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plus Krueger cash owed on bonds billed in closed months that is not yet in ledger AP (Bonding Program!C9). Keep the second term when the cash build rolls to the next close.</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sharedStrings.xml><?xml version="1.0" encoding="utf-8"?>
<sst xmlns="http://schemas.openxmlformats.org/spreadsheetml/2006/main" count="3708" uniqueCount="1478">
  <si>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</si>
  <si>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</si>
  <si>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</si>
  <si>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</si>
  <si>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</si>
  <si>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</si>
  <si>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</si>
  <si>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</si>
  <si>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</si>
  <si>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</si>
  <si>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</si>
  <si>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</si>
  <si>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</si>
  <si>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</si>
  <si>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</si>
  <si>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</si>
  <si>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</si>
  <si>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</si>
  <si>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</si>
  <si>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</si>
  <si>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</si>
  <si>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</si>
  <si>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</si>
  <si>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</si>
  <si>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</si>
  <si>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</si>
  <si>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</si>
  <si>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</si>
  <si>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</si>
  <si>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</si>
  <si>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</si>
  <si>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</si>
  <si>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</si>
  <si>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</si>
  <si>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</si>
  <si>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</si>
  <si>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</si>
  <si>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</si>
  <si>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</si>
  <si>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</si>
  <si>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</si>
  <si>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</si>
  <si>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</si>
  <si>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</si>
  <si>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</si>
  <si>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</si>
  <si>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</si>
  <si>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</si>
  <si>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</si>
  <si>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</si>
  <si>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</si>
  <si>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</si>
  <si>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</si>
  <si>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</si>
  <si>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</si>
  <si>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</si>
  <si>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</si>
  <si>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premium + Krueger above the bond line (from Bonding Program tab)</t>
  </si>
  <si>
    <t xml:space="preserve">Bonding Program, net (premium + Krueger above bond line)</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</si>
  <si>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</si>
  <si>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</si>
  <si>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</si>
  <si>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</si>
  <si>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</si>
  <si>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</si>
  <si>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</si>
  <si>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</si>
  <si>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</si>
  <si>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</si>
  <si>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</si>
  <si>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</si>
  <si>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</si>
  <si>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</si>
  <si>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</si>
  <si>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</si>
  <si>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</si>
  <si>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</si>
  <si>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</si>
  <si>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</si>
  <si>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</si>
  <si>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</si>
  <si>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</si>
  <si>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</si>
  <si>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</si>
  <si>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</si>
  <si>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</si>
  <si>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</si>
  <si>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</si>
  <si>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</si>
  <si>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</si>
  <si>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</si>
  <si>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</si>
  <si>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</si>
  <si>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</si>
  <si>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</si>
  <si>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</si>
  <si>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</si>
  <si>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</si>
  <si>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</si>
  <si>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</si>
  <si>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</si>
  <si>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</si>
  <si>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</si>
  <si>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</si>
  <si>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</si>
  <si>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</si>
  <si>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</si>
  <si>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</si>
  <si>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</si>
  <si>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</si>
  <si>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</si>
  <si>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</si>
  <si>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</si>
  <si>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</si>
  <si>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</si>
  <si>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</si>
  <si>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</si>
  <si>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</si>
  <si>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</si>
  <si>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</si>
  <si>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</si>
  <si>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</si>
  <si>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</si>
  <si>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</si>
  <si>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</si>
  <si>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</si>
  <si>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</si>
  <si>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</si>
  <si>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</si>
  <si>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</si>
  <si>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</si>
  <si>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</si>
  <si>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</si>
  <si>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</si>
  <si>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</si>
  <si>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</si>
  <si>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</si>
  <si>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</si>
  <si>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</si>
  <si>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</si>
  <si>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</si>
  <si>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</si>
  <si>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</si>
  <si>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</si>
  <si>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</si>
  <si>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</si>
  <si>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</si>
  <si>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</si>
  <si>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</si>
  <si>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</si>
  <si>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</si>
  <si>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</si>
  <si>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</si>
  <si>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</si>
  <si>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</si>
  <si>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</si>
  <si>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</si>
  <si>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</si>
  <si>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</si>
  <si>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</si>
  <si>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</si>
  <si>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</si>
  <si>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</si>
  <si>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</si>
  <si>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</si>
  <si>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</si>
  <si>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</si>
  <si>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</si>
  <si>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</si>
  <si>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</si>
  <si>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</si>
  <si>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</si>
  <si>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</si>
  <si>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</si>
  <si>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</si>
  <si>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</si>
  <si>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</si>
  <si>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</si>
  <si>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</si>
  <si>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</si>
  <si>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</si>
  <si>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</si>
  <si>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</si>
  <si>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</si>
  <si>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</si>
  <si>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</si>
  <si>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</si>
  <si>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</si>
  <si>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</si>
  <si>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</si>
  <si>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</si>
  <si>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</si>
  <si>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</si>
  <si>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</si>
  <si>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</si>
  <si>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</si>
  <si>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</si>
  <si>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</si>
  <si>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</si>
  <si>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</si>
  <si>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</si>
  <si>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</si>
  <si>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</si>
  <si>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</si>
  <si>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</si>
  <si>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</si>
  <si>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</si>
  <si>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</si>
  <si>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</si>
  <si>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</si>
  <si>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</si>
  <si>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</si>
  <si>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</si>
  <si>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</si>
  <si>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</si>
  <si>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</si>
  <si>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</si>
  <si>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</si>
  <si>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</si>
  <si>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</si>
  <si>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</si>
  <si>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</si>
  <si>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</si>
  <si>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</si>
  <si>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</si>
  <si>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</si>
  <si>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</si>
  <si>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</si>
  <si>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</si>
  <si>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</si>
  <si>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</si>
  <si>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</si>
  <si>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</si>
  <si>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</si>
  <si>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</si>
  <si>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</si>
  <si>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</si>
  <si>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</si>
  <si>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</si>
  <si>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</si>
  <si>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</si>
  <si>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</si>
  <si>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</si>
  <si>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</si>
  <si>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</si>
  <si>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</si>
  <si>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</si>
  <si>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</si>
  <si>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</si>
  <si>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</si>
  <si>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</si>
  <si>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</si>
  <si>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</si>
  <si>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</si>
  <si>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</si>
  <si>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</si>
  <si>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</si>
  <si>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</si>
  <si>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</si>
  <si>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</si>
  <si>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</si>
  <si>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</si>
  <si>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</si>
  <si>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</si>
  <si>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</si>
  <si>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</si>
  <si>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</si>
  <si>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</si>
  <si>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</si>
  <si>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</si>
  <si>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</si>
  <si>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</si>
  <si>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</si>
  <si>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</si>
  <si>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</si>
  <si>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</si>
  <si>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</si>
  <si>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</si>
  <si>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</si>
  <si>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</si>
  <si>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</si>
  <si>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</si>
  <si>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</si>
  <si>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</si>
  <si>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</si>
  <si>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</si>
  <si>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</si>
  <si>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</si>
  <si>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</si>
  <si>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</si>
  <si>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</si>
  <si>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</si>
  <si>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</si>
  <si>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</si>
  <si>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</si>
  <si>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</si>
  <si>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</si>
  <si>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</si>
  <si>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</si>
  <si>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</si>
  <si>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</si>
  <si>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</si>
  <si>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</si>
  <si>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</si>
  <si>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</si>
  <si>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</si>
  <si>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</si>
  <si>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</si>
  <si>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</si>
  <si>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</si>
  <si>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</si>
  <si>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</si>
  <si>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</si>
  <si>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</si>
  <si>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</si>
  <si>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</si>
  <si>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</si>
  <si>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</si>
  <si>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</si>
  <si>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</si>
  <si>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</si>
  <si>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</si>
  <si>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</si>
  <si>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</si>
  <si>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</si>
  <si>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</si>
  <si>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</si>
  <si>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</si>
  <si>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</si>
  <si>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</si>
  <si>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</si>
  <si>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</si>
  <si>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</si>
  <si>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</si>
  <si>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</si>
  <si>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</si>
  <si>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</si>
  <si>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</si>
  <si>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</si>
  <si>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</si>
  <si>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</si>
  <si>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</si>
  <si>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</si>
  <si>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</si>
  <si>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</si>
  <si>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</si>
  <si>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</si>
  <si>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</si>
  <si>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</si>
  <si>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</si>
  <si>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</si>
  <si>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</si>
  <si>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</si>
  <si>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</si>
  <si>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</si>
  <si>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</si>
  <si>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</si>
  <si>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</si>
  <si>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</si>
  <si>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</si>
  <si>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</si>
  <si>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</si>
  <si>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</si>
  <si>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</si>
  <si>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</si>
  <si>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</si>
  <si>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</si>
  <si>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</si>
  <si>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</si>
  <si>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</si>
  <si>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</si>
  <si>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</si>
  <si>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</si>
  <si>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(premium + Krueger above bond line)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</si>
  <si>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</si>
  <si>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</si>
  <si>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</si>
  <si>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</si>
  <si>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</si>
  <si>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</si>
  <si>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</si>
  <si>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</si>
  <si>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</si>
  <si>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</si>
  <si>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(27 Sep 2026): bond lines stay in trade billing and premiums in trade cost, as the ledger books them. Bonding, net = premium + Krueger cash above the bond line (Bonding Program tab); cash kept on equity-settled bonds is a sale of SPC equity, not income.</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</si>
  <si>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</si>
  <si>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</si>
  <si>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</si>
  <si>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</si>
  <si>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</si>
  <si>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</si>
  <si>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</si>
  <si>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</si>
  <si>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</si>
  <si>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</si>
  <si>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</si>
  <si>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</si>
  <si>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</si>
  <si>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</si>
  <si>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</si>
  <si>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</si>
  <si>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</si>
  <si>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</si>
  <si>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</si>
  <si>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</si>
  <si>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</si>
  <si>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</si>
  <si>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</si>
  <si>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</si>
  <si>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</si>
  <si>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</si>
  <si>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</si>
  <si>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</si>
  <si>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</si>
  <si>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</si>
  <si>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</si>
  <si>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</si>
  <si>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</si>
  <si>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</si>
  <si>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</si>
  <si>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</si>
  <si>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</si>
  <si>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</si>
  <si>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</si>
  <si>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</si>
  <si>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</si>
  <si>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</si>
  <si>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</si>
  <si>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</si>
  <si>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</si>
  <si>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</si>
  <si>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</si>
  <si>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</si>
  <si>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</si>
  <si>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</si>
  <si>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</si>
  <si>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</si>
  <si>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</si>
  <si>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</si>
  <si>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</si>
  <si>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</si>
  <si>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</si>
  <si>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</si>
  <si>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</si>
  <si>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</si>
  <si>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</si>
  <si>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</si>
  <si>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</si>
  <si>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</si>
  <si>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</si>
  <si>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</si>
  <si>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</si>
  <si>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</si>
  <si>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</si>
  <si>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</si>
  <si>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</si>
  <si>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</si>
  <si>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</si>
  <si>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</si>
  <si>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</si>
  <si>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</si>
  <si>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</si>
  <si>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</si>
  <si>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</si>
  <si>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</si>
  <si>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</si>
  <si>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</si>
  <si>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</si>
  <si>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</si>
  <si>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</si>
  <si>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</si>
  <si>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</si>
  <si>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</si>
  <si>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</si>
  <si>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</si>
  <si>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</si>
  <si>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</si>
  <si>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</si>
  <si>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</si>
  <si>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</si>
  <si>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</si>
  <si>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</si>
  <si>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</si>
  <si>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</si>
  <si>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</si>
  <si>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</si>
  <si>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</si>
  <si>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</si>
  <si>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</si>
  <si>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</si>
  <si>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</si>
  <si>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</si>
  <si>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</si>
  <si>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</si>
  <si>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</si>
  <si>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</si>
  <si>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</si>
  <si>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</si>
  <si>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</si>
  <si>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</si>
  <si>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</si>
  <si>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</si>
  <si>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</si>
  <si>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</si>
  <si>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</si>
  <si>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</si>
  <si>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</si>
  <si>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</si>
  <si>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</si>
  <si>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</si>
  <si>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</si>
  <si>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</si>
  <si>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</si>
  <si>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</si>
  <si>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</si>
  <si>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</si>
  <si>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</si>
  <si>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</si>
  <si>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</si>
  <si>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</si>
  <si>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</si>
  <si>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</si>
  <si>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</si>
  <si>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</si>
  <si>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</si>
  <si>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</si>
  <si>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</si>
  <si>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</si>
  <si>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</si>
  <si>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</si>
  <si>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</si>
  <si>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</si>
  <si>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</si>
  <si>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</si>
  <si>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</si>
  <si>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</si>
  <si>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</si>
  <si>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</si>
  <si>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</si>
  <si>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</si>
  <si>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</si>
  <si>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</si>
  <si>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</si>
  <si>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</si>
  <si>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</si>
  <si>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</si>
  <si>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</si>
  <si>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</si>
  <si>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</si>
  <si>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</si>
  <si>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</si>
  <si>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</si>
  <si>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</si>
  <si>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</si>
  <si>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</si>
  <si>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</si>
  <si>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</si>
  <si>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</si>
  <si>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</si>
  <si>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</si>
  <si>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</si>
  <si>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</si>
  <si>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</si>
  <si>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</si>
  <si>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</si>
  <si>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</si>
  <si>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</si>
  <si>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</si>
  <si>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</si>
  <si>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</si>
  <si>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</si>
  <si>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</si>
  <si>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</si>
  <si>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</si>
  <si>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</si>
  <si>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Straight-Line Monthly Billing of In-Place Contracts</t>
  </si>
  <si>
    <t xml:space="preserve">Each in-place contract is spread straight-line (contract value / duration) across the months it is active. Summary and hurdle rows in $ millions. Committed = Active jobs (incl. rows 24-27); Pipeline = inactive BD deals. Breakeven hurdle = 10 x monthly overhead (10% gross margin).</t>
  </si>
  <si>
    <t xml:space="preserve">Start</t>
  </si>
  <si>
    <t xml:space="preserve">Completion</t>
  </si>
  <si>
    <t xml:space="preserve">Dur</t>
  </si>
  <si>
    <t xml:space="preserve">SL Bill $/mo</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</si>
  <si>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</si>
  <si>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</si>
  <si>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</si>
  <si>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</si>
  <si>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</si>
  <si>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</si>
  <si>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TOTAL MONTHLY BILLING IN PLACE ($M)</t>
  </si>
  <si>
    <t xml:space="preserve">TOTAL JOBS ACTIVE (#)</t>
  </si>
  <si>
    <t xml:space="preserve">Monthly Overhead ($) — INPUT</t>
  </si>
  <si>
    <t xml:space="preserve">Breakeven Billing Hurdle = 10 x Overhead ($M)</t>
  </si>
  <si>
    <t xml:space="preserve">Billing Surplus / (Gap) vs Hurdle ($M)</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</si>
  <si>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</si>
  <si>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</si>
  <si>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</si>
  <si>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</si>
  <si>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</si>
  <si>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</si>
  <si>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</si>
  <si>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</si>
  <si>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</si>
  <si>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</si>
  <si>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</si>
  <si>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</si>
  <si>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</si>
  <si>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</si>
  <si>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</si>
  <si>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</si>
  <si>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</si>
  <si>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</si>
  <si>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</si>
  <si>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</si>
  <si>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</si>
  <si>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</si>
  <si>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</si>
  <si>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</si>
  <si>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</si>
  <si>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</si>
  <si>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</si>
  <si>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</si>
  <si>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</si>
  <si>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</si>
  <si>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</si>
  <si>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</si>
  <si>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</si>
  <si>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</si>
  <si>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</si>
  <si>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</si>
  <si>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</si>
  <si>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</si>
  <si>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</si>
  <si>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</si>
  <si>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</si>
  <si>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</si>
  <si>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</si>
  <si>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</si>
  <si>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</si>
  <si>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</si>
  <si>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</si>
  <si>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</si>
  <si>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</si>
  <si>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</si>
  <si>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</si>
  <si>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</si>
  <si>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</si>
  <si>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</si>
  <si>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</si>
  <si>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</si>
  <si>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</si>
  <si>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</si>
  <si>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</si>
  <si>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</si>
  <si>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</si>
  <si>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</si>
  <si>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</si>
  <si>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</si>
  <si>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</si>
  <si>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</si>
  <si>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</si>
  <si>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</si>
  <si>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</si>
  <si>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</si>
  <si>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</si>
  <si>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</si>
  <si>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</si>
  <si>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</si>
  <si>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</si>
  <si>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</si>
  <si>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</si>
  <si>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</si>
  <si>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</si>
  <si>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</si>
  <si>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</si>
  <si>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</si>
  <si>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</si>
  <si>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</si>
  <si>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</si>
  <si>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</si>
  <si>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</si>
  <si>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</si>
  <si>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</si>
  <si>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</si>
  <si>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</si>
  <si>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</si>
  <si>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</si>
  <si>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</si>
  <si>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</si>
  <si>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</si>
  <si>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</si>
  <si>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</si>
  <si>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</si>
  <si>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</si>
  <si>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</si>
  <si>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</si>
  <si>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</si>
  <si>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</si>
  <si>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</si>
  <si>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</si>
  <si>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</si>
  <si>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</si>
  <si>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</si>
  <si>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</si>
  <si>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</si>
  <si>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</si>
  <si>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</si>
  <si>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</si>
  <si>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</si>
  <si>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</si>
  <si>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</si>
  <si>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</si>
  <si>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</si>
  <si>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</si>
  <si>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</si>
  <si>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</si>
  <si>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</si>
  <si>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</si>
  <si>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</si>
  <si>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</si>
  <si>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</si>
  <si>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</si>
  <si>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</si>
  <si>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</si>
  <si>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</si>
  <si>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</si>
  <si>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</si>
  <si>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</si>
  <si>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</si>
  <si>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</si>
  <si>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</si>
  <si>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</si>
  <si>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</si>
  <si>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</si>
  <si>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</si>
  <si>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</si>
  <si>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</si>
  <si>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</si>
  <si>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</si>
  <si>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</si>
  <si>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</si>
  <si>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</si>
  <si>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</si>
  <si>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</si>
  <si>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</si>
  <si>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</si>
  <si>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</si>
  <si>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</si>
  <si>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</si>
  <si>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</si>
  <si>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</si>
  <si>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</si>
  <si>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</si>
  <si>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</si>
  <si>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</si>
  <si>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</si>
  <si>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</si>
  <si>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</si>
  <si>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</si>
  <si>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</si>
  <si>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</si>
  <si>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</si>
  <si>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</si>
  <si>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</si>
  <si>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</si>
  <si>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</si>
  <si>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</si>
  <si>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</si>
  <si>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</si>
  <si>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</si>
  <si>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</si>
  <si>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</si>
  <si>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</si>
  <si>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</si>
  <si>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</si>
  <si>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</si>
  <si>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</si>
  <si>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</si>
  <si>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</si>
  <si>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</si>
  <si>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</si>
  <si>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</si>
  <si>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</si>
  <si>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</si>
  <si>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</si>
  <si>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</si>
  <si>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</si>
  <si>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</si>
  <si>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</si>
  <si>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</si>
  <si>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</si>
  <si>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</si>
  <si>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</si>
  <si>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</si>
  <si>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</si>
  <si>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</si>
  <si>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</si>
  <si>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</si>
  <si>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</si>
  <si>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</si>
  <si>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</si>
  <si>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</si>
  <si>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</si>
  <si>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</si>
  <si>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</si>
  <si>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</si>
  <si>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</si>
  <si>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</si>
  <si>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</si>
  <si>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</si>
  <si>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</si>
  <si>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</si>
  <si>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</si>
  <si>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</si>
  <si>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</si>
  <si>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</si>
  <si>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</si>
  <si>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</si>
  <si>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</si>
  <si>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</si>
  <si>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</si>
  <si>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</si>
  <si>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</si>
  <si>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</si>
  <si>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</si>
  <si>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</si>
  <si>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</si>
  <si>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</si>
  <si>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</si>
  <si>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</si>
  <si>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</si>
  <si>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</si>
  <si>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</si>
  <si>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</si>
  <si>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</si>
  <si>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</si>
  <si>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</si>
  <si>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</si>
  <si>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</si>
  <si>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</si>
  <si>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</si>
  <si>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</si>
  <si>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</si>
  <si>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</si>
  <si>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</si>
  <si>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</si>
  <si>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</si>
  <si>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</si>
  <si>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</si>
  <si>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</si>
  <si>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</si>
  <si>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</si>
  <si>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</si>
  <si>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</si>
  <si>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</si>
  <si>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</si>
  <si>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</si>
  <si>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</si>
  <si>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</si>
  <si>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</si>
  <si>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</si>
  <si>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</si>
  <si>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</si>
  <si>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</si>
  <si>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</si>
  <si>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</si>
  <si>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</si>
  <si>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</si>
  <si>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</si>
  <si>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</si>
  <si>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</si>
  <si>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</si>
  <si>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</si>
  <si>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</si>
  <si>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</si>
  <si>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</si>
  <si>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</si>
  <si>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</si>
  <si>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</si>
  <si>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</si>
  <si>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</si>
  <si>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</si>
  <si>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</si>
  <si>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</si>
  <si>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</si>
  <si>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</si>
  <si>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</si>
  <si>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</si>
  <si>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</si>
  <si>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</si>
  <si>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</si>
  <si>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</si>
  <si>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</si>
  <si>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</si>
  <si>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</si>
  <si>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</si>
  <si>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</si>
  <si>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</si>
  <si>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</si>
  <si>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</si>
  <si>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</si>
  <si>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</si>
  <si>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</si>
  <si>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</si>
  <si>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</si>
  <si>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</si>
  <si>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</si>
  <si>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</si>
  <si>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</si>
  <si>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</si>
  <si>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</si>
  <si>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</si>
  <si>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</si>
  <si>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</si>
  <si>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</si>
  <si>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</si>
  <si>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</si>
  <si>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</si>
  <si>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</si>
  <si>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</si>
  <si>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</si>
  <si>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</si>
  <si>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</si>
  <si>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</si>
  <si>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</si>
  <si>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</si>
  <si>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</si>
  <si>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</si>
  <si>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</si>
  <si>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</si>
  <si>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</si>
  <si>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</si>
  <si>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</si>
  <si>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</si>
  <si>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</si>
  <si>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</si>
  <si>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</si>
  <si>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</si>
  <si>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</si>
  <si>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</si>
  <si>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</si>
  <si>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</si>
  <si>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</si>
  <si>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</si>
  <si>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</si>
  <si>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</si>
  <si>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</si>
  <si>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</si>
  <si>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</si>
  <si>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</si>
  <si>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</si>
  <si>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</si>
  <si>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</si>
  <si>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</si>
  <si>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</si>
  <si>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</si>
  <si>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</si>
  <si>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</si>
  <si>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</si>
  <si>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</si>
  <si>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</si>
  <si>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</si>
  <si>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</si>
  <si>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</si>
  <si>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</si>
  <si>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</si>
  <si>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</si>
  <si>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</si>
  <si>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</si>
  <si>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</si>
  <si>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</si>
  <si>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</si>
  <si>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</si>
  <si>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</si>
  <si>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</si>
  <si>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</si>
  <si>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</si>
  <si>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</si>
  <si>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</si>
  <si>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</si>
  <si>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</si>
  <si>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</si>
  <si>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</si>
  <si>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</si>
  <si>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</si>
  <si>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</si>
  <si>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</si>
  <si>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</si>
  <si>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</si>
  <si>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</si>
  <si>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</si>
  <si>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</si>
  <si>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</si>
  <si>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</si>
  <si>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</si>
  <si>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</si>
  <si>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</si>
  <si>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</si>
  <si>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</si>
  <si>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</si>
  <si>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</si>
  <si>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</si>
  <si>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</si>
  <si>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</si>
  <si>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</si>
  <si>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</si>
  <si>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</si>
  <si>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</si>
  <si>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</si>
  <si>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</si>
  <si>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</si>
  <si>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</si>
  <si>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</si>
  <si>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</si>
  <si>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</si>
  <si>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</si>
  <si>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</si>
  <si>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</si>
  <si>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</si>
  <si>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</si>
  <si>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</si>
  <si>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</si>
  <si>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</si>
  <si>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</si>
  <si>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</si>
  <si>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</si>
  <si>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</si>
  <si>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</si>
  <si>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</si>
  <si>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</si>
  <si>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</si>
  <si>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</si>
  <si>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</si>
  <si>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</si>
  <si>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</si>
  <si>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</si>
  <si>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</si>
  <si>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</si>
  <si>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</si>
  <si>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</si>
  <si>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</si>
  <si>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</si>
  <si>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</si>
  <si>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</si>
  <si>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</si>
  <si>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</si>
  <si>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</si>
  <si>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</si>
  <si>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</si>
  <si>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</si>
  <si>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</si>
  <si>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</si>
  <si>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</si>
  <si>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</si>
  <si>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</si>
  <si>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</si>
  <si>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</si>
  <si>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</si>
  <si>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</si>
  <si>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</si>
  <si>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</si>
  <si>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</si>
  <si>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</si>
  <si>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</si>
  <si>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</si>
  <si>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</si>
  <si>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</si>
  <si>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</si>
  <si>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</si>
  <si>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</si>
  <si>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</si>
  <si>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</si>
  <si>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</si>
  <si>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</si>
  <si>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</si>
  <si>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</si>
  <si>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</si>
  <si>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</si>
  <si>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</si>
  <si>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</si>
  <si>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</si>
  <si>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</si>
  <si>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</si>
  <si>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</si>
  <si>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</si>
  <si>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</si>
  <si>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</si>
  <si>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</si>
  <si>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</si>
  <si>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</si>
  <si>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</si>
  <si>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</si>
  <si>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</si>
  <si>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</si>
  <si>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</si>
  <si>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</si>
  <si>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</si>
  <si>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</si>
  <si>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</si>
  <si>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</si>
  <si>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</si>
  <si>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</si>
  <si>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</si>
  <si>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</si>
  <si>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</si>
  <si>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</si>
  <si>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</si>
  <si>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</si>
  <si>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</si>
  <si>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</si>
  <si>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</si>
  <si>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</si>
  <si>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</si>
  <si>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</si>
  <si>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</si>
  <si>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</si>
  <si>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</si>
  <si>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</si>
  <si>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</si>
  <si>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</si>
  <si>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</si>
  <si>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</si>
  <si>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</si>
  <si>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</si>
  <si>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</si>
  <si>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</si>
  <si>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</si>
  <si>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</si>
  <si>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</si>
  <si>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</si>
  <si>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</si>
  <si>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</si>
  <si>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</si>
  <si>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</si>
  <si>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</si>
  <si>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</si>
  <si>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</si>
  <si>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</si>
  <si>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</si>
  <si>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</si>
  <si>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</si>
  <si>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</si>
  <si>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</si>
  <si>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</si>
  <si>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</si>
  <si>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</si>
  <si>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</si>
  <si>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</si>
  <si>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</si>
  <si>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</si>
  <si>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</si>
  <si>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</si>
  <si>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</si>
  <si>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</si>
  <si>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</si>
  <si>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</si>
  <si>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</si>
  <si>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</si>
  <si>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</si>
  <si>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</si>
  <si>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</si>
  <si>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</si>
  <si>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</si>
  <si>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</si>
  <si>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</si>
  <si>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</si>
  <si>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</si>
  <si>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</si>
  <si>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</si>
  <si>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</si>
  <si>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</si>
  <si>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</si>
  <si>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</si>
  <si>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</si>
  <si>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</si>
  <si>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</si>
  <si>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</si>
  <si>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</si>
  <si>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</si>
  <si>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</si>
  <si>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</si>
  <si>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</si>
  <si>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</si>
  <si>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</si>
  <si>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</si>
  <si>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</si>
  <si>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</si>
  <si>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</si>
  <si>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</si>
  <si>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</si>
  <si>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</si>
  <si>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</si>
  <si>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</si>
  <si>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</si>
  <si>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</si>
  <si>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</si>
  <si>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</si>
  <si>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</si>
  <si>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</si>
  <si>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</si>
  <si>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</si>
  <si>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</si>
  <si>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</si>
  <si>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</si>
  <si>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</si>
  <si>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</si>
  <si>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</si>
  <si>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</si>
  <si>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</si>
  <si>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</si>
  <si>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</si>
  <si>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</si>
  <si>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</si>
  <si>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</si>
  <si>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</si>
  <si>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</si>
  <si>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</si>
  <si>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</si>
  <si>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</si>
  <si>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</si>
  <si>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</si>
  <si>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</si>
  <si>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</si>
  <si>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</si>
  <si>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</si>
  <si>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</si>
  <si>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</si>
  <si>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</si>
  <si>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</si>
  <si>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</si>
  <si>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</si>
  <si>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</si>
  <si>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</si>
  <si>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</si>
  <si>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</si>
  <si>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</si>
  <si>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</si>
  <si>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</si>
  <si>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</si>
  <si>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</si>
  <si>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</si>
  <si>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</si>
  <si>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</si>
  <si>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</si>
  <si>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</si>
  <si>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</si>
  <si>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</si>
  <si>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</si>
  <si>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</si>
  <si>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</si>
  <si>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</si>
  <si>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</si>
  <si>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</si>
  <si>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</si>
  <si>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</si>
  <si>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</si>
  <si>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</si>
  <si>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</si>
  <si>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</si>
  <si>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</si>
  <si>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</si>
  <si>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</si>
  <si>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</si>
  <si>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</si>
  <si>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</si>
  <si>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</si>
  <si>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</si>
  <si>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</si>
  <si>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</si>
  <si>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</si>
  <si>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</si>
  <si>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</si>
  <si>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</si>
  <si>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</si>
  <si>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</si>
  <si>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</si>
  <si>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</si>
  <si>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</si>
  <si>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</si>
  <si>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</si>
  <si>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</si>
  <si>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</si>
  <si>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</si>
  <si>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</si>
  <si>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</si>
  <si>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</si>
  <si>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</si>
  <si>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</si>
  <si>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</si>
  <si>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</si>
  <si>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</si>
  <si>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</si>
  <si>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</si>
  <si>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</si>
  <si>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</si>
  <si>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</si>
  <si>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</si>
  <si>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</si>
  <si>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</si>
  <si>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</si>
  <si>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</si>
  <si>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</si>
  <si>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</si>
  <si>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</si>
  <si>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</si>
  <si>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</si>
  <si>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</si>
  <si>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</si>
  <si>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</si>
  <si>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</si>
  <si>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</si>
  <si>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</si>
  <si>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</si>
  <si>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</si>
  <si>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</si>
  <si>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</si>
  <si>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</si>
  <si>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</si>
  <si>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</si>
  <si>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</si>
  <si>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</si>
  <si>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</si>
  <si>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</si>
  <si>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</si>
  <si>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</si>
  <si>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</si>
  <si>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</si>
  <si>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</si>
  <si>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</si>
  <si>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</si>
  <si>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</si>
  <si>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</si>
  <si>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</si>
  <si>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</si>
  <si>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</si>
  <si>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</si>
  <si>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</si>
  <si>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</si>
  <si>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</si>
  <si>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</si>
  <si>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</si>
  <si>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</si>
  <si>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</si>
  <si>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</si>
  <si>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</si>
  <si>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</si>
  <si>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</si>
  <si>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</si>
  <si>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</si>
  <si>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</si>
  <si>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</si>
  <si>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</si>
  <si>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</si>
  <si>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</si>
  <si>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</si>
  <si>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</si>
  <si>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</si>
  <si>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</si>
  <si>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</si>
  <si>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</si>
  <si>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</si>
  <si>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</si>
  <si>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</si>
  <si>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</si>
  <si>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</si>
  <si>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</si>
  <si>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</si>
  <si>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</si>
  <si>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</si>
  <si>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</si>
  <si>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</si>
  <si>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</si>
  <si>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</si>
  <si>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</si>
  <si>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</si>
  <si>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</si>
  <si>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</si>
  <si>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</si>
  <si>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</si>
  <si>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</si>
  <si>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</si>
  <si>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</si>
  <si>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</si>
  <si>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</si>
  <si>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</si>
  <si>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</si>
  <si>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</si>
  <si>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</si>
  <si>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</si>
  <si>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</si>
  <si>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</si>
  <si>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</si>
  <si>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</si>
  <si>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</si>
  <si>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</si>
  <si>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</si>
  <si>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</si>
  <si>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</si>
  <si>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</si>
  <si>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</si>
  <si>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</si>
  <si>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</si>
  <si>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</si>
  <si>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</si>
  <si>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</si>
  <si>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</si>
  <si>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</si>
  <si>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</si>
  <si>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</si>
  <si>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</si>
  <si>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</si>
  <si>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</si>
  <si>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</si>
  <si>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</si>
  <si>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</si>
  <si>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</si>
  <si>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</si>
  <si>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</si>
  <si>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</si>
  <si>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</si>
  <si>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</si>
  <si>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</si>
  <si>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</si>
  <si>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</si>
  <si>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</si>
  <si>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</si>
  <si>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</si>
  <si>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t>
  </si>
  <si>
    <t xml:space="preserve">Bonding never makes profit: bond line less CBI premium less Krueger cash. Below zero is an LV cost (Model row 196); above zero is cash kept as SPC equity.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</si>
  <si>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</si>
  <si>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</si>
  <si>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</si>
  <si>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</si>
  <si>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</si>
  <si>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</si>
  <si>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</si>
  <si>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</si>
  <si>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</si>
  <si>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Last closed month #</t>
  </si>
  <si>
    <t xml:space="preserve">Auto, from Model row 4 (Aug-26 = 5)</t>
  </si>
  <si>
    <t xml:space="preserve">Krueger cash not yet in ledger</t>
  </si>
  <si>
    <t xml:space="preserve">Owed on bonds billed in closed months; paid in Model J358</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</si>
  <si>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</si>
  <si>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</si>
  <si>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</si>
  <si>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</si>
  <si>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</si>
  <si>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</si>
  <si>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</si>
  <si>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</si>
  <si>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</si>
  <si>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</si>
  <si>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</si>
  <si>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Equity-kept reclass booked in ledger</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</si>
  <si>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</si>
  <si>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</si>
  <si>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</si>
  <si>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</si>
  <si>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</si>
  <si>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</si>
  <si>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</si>
  <si>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</si>
  <si>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P&amp;L result (Model row 196)</t>
  </si>
  <si>
    <t xml:space="preserve">Cash kept -&gt; SPC equity</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</si>
  <si>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</si>
  <si>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</si>
  <si>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</si>
  <si>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</si>
  <si>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</si>
  <si>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</si>
  <si>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</si>
  <si>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</si>
  <si>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</si>
  <si>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</si>
  <si>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</si>
  <si>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the P&amp;L result in the bond month, less whatever the ledger already booked for that job in closed months (bond line in billing, premium in cost, and any Krueger accrual or equity reclass once Andresen books them). When the ledger matches the rule, closed-month rows net to zero.</t>
  </si>
  <si>
    <t xml:space="preserve">Model J358 (cash build): 8/31 payables plus C9, the Krueger cash owed on closed-month bonds that is not yet in ledger AP. Keep it when the cash build rolls.</t>
  </si>
  <si>
    <t xml:space="preserve">Deal Terms: the LIHTC true-up excludes bonding. Bond-line cash is never owed back to an owner.</t>
  </si>
  <si>
    <t xml:space="preserve">Direct bonding: to model a direct CBI program on a future job, set its Program fee rate override (col N) to the all-in direct rate. The Krueger fee column then carries only the rate above the premium.</t>
  </si>
  <si>
    <t xml:space="preserve">The rule (Chris Aiello, 27 Sep 2026): Krueger's fee is the program rate x GMP less the CBI premium, settled in SPC equity in closing order until the cap, then cash. Bond lines stay in trade billing and premiums in trade cost, as the ledger books them.</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</si>
</sst>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
    <numFmt numFmtId="185" formatCode="#,##0.0,,;\(#,##0.0,,\);&quot;&quot;"/>
    <numFmt numFmtId="186" formatCode="0;;&quot;&quot;"/>
    <numFmt numFmtId="187" formatCode="#,##0.0,,;[RED]\(#,##0.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b val="true"/>
      <sz val="10"/>
      <color rgb="FF0000FF"/>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5">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FFFF00"/>
        <bgColor rgb="FFFFF2CC"/>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86" fontId="4"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9" fillId="14" borderId="0" xfId="0" applyFont="true" applyBorder="false" applyAlignment="true" applyProtection="false">
      <alignment horizontal="center" vertical="bottom" textRotation="0" wrapText="false" indent="0" shrinkToFit="false"/>
      <protection locked="true" hidden="false"/>
    </xf>
    <xf numFmtId="182" fontId="37" fillId="15" borderId="6" xfId="0" applyFont="true" applyBorder="true" applyAlignment="true" applyProtection="false">
      <alignment horizontal="general"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7" fontId="4"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42" fillId="17" borderId="0" xfId="0" applyFont="true" applyBorder="false" applyAlignment="true" applyProtection="false">
      <alignment horizontal="general" vertical="bottom" textRotation="0" wrapText="false" indent="0" shrinkToFit="false"/>
      <protection locked="true" hidden="false"/>
    </xf>
    <xf numFmtId="164" fontId="18" fillId="18" borderId="2" xfId="0" applyFont="true" applyBorder="true" applyAlignment="true" applyProtection="false">
      <alignment horizontal="general" vertical="bottom" textRotation="0" wrapText="false" indent="0" shrinkToFit="false"/>
      <protection locked="true" hidden="false"/>
    </xf>
    <xf numFmtId="170" fontId="18" fillId="19" borderId="2" xfId="0" applyFont="true" applyBorder="true" applyAlignment="true" applyProtection="false">
      <alignment horizontal="general" vertical="bottom" textRotation="0" wrapText="false" indent="0" shrinkToFit="false"/>
      <protection locked="true" hidden="false"/>
    </xf>
    <xf numFmtId="164" fontId="18" fillId="18" borderId="9" xfId="0" applyFont="true" applyBorder="true" applyAlignment="true" applyProtection="false">
      <alignment horizontal="general" vertical="bottom" textRotation="0" wrapText="false" indent="0" shrinkToFit="false"/>
      <protection locked="true" hidden="false"/>
    </xf>
    <xf numFmtId="170" fontId="18" fillId="19" borderId="9" xfId="0" applyFont="true" applyBorder="tru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5"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64" fontId="18" fillId="24" borderId="0" xfId="0" applyFont="true" applyBorder="false" applyAlignment="true" applyProtection="false">
      <alignment horizontal="general" vertical="bottom" textRotation="0" wrapText="false" indent="0" shrinkToFit="false"/>
      <protection locked="true" hidden="false"/>
    </xf>
    <xf numFmtId="170" fontId="18" fillId="24"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9" borderId="0" xfId="0" applyFont="true" applyBorder="false" applyAlignment="true" applyProtection="false">
      <alignment horizontal="general" vertical="bottom" textRotation="0" wrapText="false" indent="0" shrinkToFit="false"/>
      <protection locked="true" hidden="false"/>
    </xf>
    <xf numFmtId="170" fontId="18" fillId="19"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5"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6"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6"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6"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6"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6"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7" borderId="0" xfId="0" applyFont="true" applyBorder="false" applyAlignment="true" applyProtection="false">
      <alignment horizontal="general" vertical="bottom" textRotation="0" wrapText="false" indent="0" shrinkToFit="false"/>
      <protection locked="true" hidden="false"/>
    </xf>
    <xf numFmtId="164" fontId="17" fillId="28" borderId="10" xfId="0" applyFont="true" applyBorder="true" applyAlignment="true" applyProtection="false">
      <alignment horizontal="general" vertical="bottom" textRotation="0" wrapText="false" indent="0" shrinkToFit="false"/>
      <protection locked="true" hidden="false"/>
    </xf>
    <xf numFmtId="170" fontId="17" fillId="28"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8"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9"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9" borderId="3" xfId="0" applyFont="true" applyBorder="true" applyAlignment="true" applyProtection="false">
      <alignment horizontal="right" vertical="center" textRotation="0" wrapText="false" indent="0" shrinkToFit="false"/>
      <protection locked="true" hidden="false"/>
    </xf>
    <xf numFmtId="179" fontId="9" fillId="29"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30" borderId="0" xfId="0" applyFont="true" applyBorder="false" applyAlignment="true" applyProtection="false">
      <alignment horizontal="general" vertical="bottom" textRotation="0" wrapText="false" indent="0" shrinkToFit="false"/>
      <protection locked="true" hidden="false"/>
    </xf>
    <xf numFmtId="170" fontId="25" fillId="30" borderId="0" xfId="0" applyFont="true" applyBorder="false" applyAlignment="true" applyProtection="false">
      <alignment horizontal="general" vertical="bottom" textRotation="0" wrapText="false" indent="0" shrinkToFit="false"/>
      <protection locked="true" hidden="false"/>
    </xf>
    <xf numFmtId="164" fontId="17" fillId="28" borderId="0" xfId="0" applyFont="true" applyBorder="false" applyAlignment="true" applyProtection="false">
      <alignment horizontal="general" vertical="bottom" textRotation="0" wrapText="false" indent="0" shrinkToFit="false"/>
      <protection locked="true" hidden="false"/>
    </xf>
    <xf numFmtId="170" fontId="17" fillId="28"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7" borderId="0" xfId="0" applyFont="true" applyBorder="false" applyAlignment="true" applyProtection="false">
      <alignment horizontal="general" vertical="bottom" textRotation="0" wrapText="false" indent="0" shrinkToFit="false"/>
      <protection locked="true" hidden="false"/>
    </xf>
    <xf numFmtId="164" fontId="17" fillId="18" borderId="0" xfId="0" applyFont="true" applyBorder="false" applyAlignment="true" applyProtection="false">
      <alignment horizontal="general" vertical="bottom" textRotation="0" wrapText="false" indent="0" shrinkToFit="false"/>
      <protection locked="true" hidden="false"/>
    </xf>
    <xf numFmtId="170" fontId="17" fillId="18" borderId="0" xfId="0" applyFont="true" applyBorder="false" applyAlignment="true" applyProtection="false">
      <alignment horizontal="general" vertical="bottom" textRotation="0" wrapText="false" indent="0" shrinkToFit="false"/>
      <protection locked="true" hidden="false"/>
    </xf>
    <xf numFmtId="164" fontId="47" fillId="18" borderId="0" xfId="0" applyFont="true" applyBorder="false" applyAlignment="true" applyProtection="false">
      <alignment horizontal="general" vertical="bottom" textRotation="0" wrapText="false" indent="0" shrinkToFit="false"/>
      <protection locked="true" hidden="false"/>
    </xf>
    <xf numFmtId="170" fontId="47" fillId="18" borderId="0" xfId="0" applyFont="true" applyBorder="false" applyAlignment="true" applyProtection="false">
      <alignment horizontal="general" vertical="bottom" textRotation="0" wrapText="false" indent="0" shrinkToFit="false"/>
      <protection locked="true" hidden="false"/>
    </xf>
    <xf numFmtId="164" fontId="25" fillId="31" borderId="11" xfId="0" applyFont="true" applyBorder="true" applyAlignment="true" applyProtection="false">
      <alignment horizontal="general" vertical="bottom" textRotation="0" wrapText="false" indent="0" shrinkToFit="false"/>
      <protection locked="true" hidden="false"/>
    </xf>
    <xf numFmtId="170" fontId="25" fillId="31" borderId="11"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2" borderId="0" xfId="0" applyFont="true" applyBorder="false" applyAlignment="true" applyProtection="false">
      <alignment horizontal="general" vertical="bottom" textRotation="0" wrapText="false" indent="0" shrinkToFit="false"/>
      <protection locked="true" hidden="false"/>
    </xf>
    <xf numFmtId="170" fontId="25" fillId="32"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2" borderId="0" xfId="0" applyFont="true" applyBorder="false" applyAlignment="true" applyProtection="false">
      <alignment horizontal="general" vertical="bottom" textRotation="0" wrapText="false" indent="0" shrinkToFit="false"/>
      <protection locked="true" hidden="false"/>
    </xf>
    <xf numFmtId="170" fontId="17" fillId="32"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7" fillId="24" borderId="0" xfId="0" applyFont="true" applyBorder="false" applyAlignment="true" applyProtection="false">
      <alignment horizontal="general" vertical="bottom" textRotation="0" wrapText="false" indent="0" shrinkToFit="false"/>
      <protection locked="true" hidden="false"/>
    </xf>
    <xf numFmtId="170" fontId="47" fillId="24"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3" borderId="6" xfId="0" applyFont="true" applyBorder="true" applyAlignment="true" applyProtection="false">
      <alignment horizontal="right" vertical="bottom" textRotation="0" wrapText="false" indent="0" shrinkToFit="false"/>
      <protection locked="true" hidden="false"/>
    </xf>
    <xf numFmtId="188" fontId="22" fillId="33"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3"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3"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3"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4" borderId="14" xfId="0" applyFont="true" applyBorder="true" applyAlignment="true" applyProtection="false">
      <alignment horizontal="general" vertical="bottom" textRotation="0" wrapText="false" indent="0" shrinkToFit="false"/>
      <protection locked="true" hidden="false"/>
    </xf>
    <xf numFmtId="192" fontId="32" fillId="34" borderId="14" xfId="0" applyFont="true" applyBorder="true" applyAlignment="true" applyProtection="false">
      <alignment horizontal="right" vertical="bottom" textRotation="0" wrapText="false" indent="0" shrinkToFit="false"/>
      <protection locked="true" hidden="false"/>
    </xf>
    <xf numFmtId="192" fontId="52" fillId="34"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ill>
        <patternFill>
          <bgColor rgb="FFC4581A"/>
        </patternFill>
      </fill>
    </dxf>
    <dxf>
      <fill>
        <patternFill>
          <bgColor rgb="FF5E7B9B"/>
        </patternFill>
      </fill>
    </dxf>
  </dxfs>
  <colors>
    <indexedColors>
      <rgbColor rgb="FF000000"/>
      <rgbColor rgb="FFFFFFFF"/>
      <rgbColor rgb="FFFF0000"/>
      <rgbColor rgb="FFE8ECF1"/>
      <rgbColor rgb="FF0000FF"/>
      <rgbColor rgb="FFFFFF00"/>
      <rgbColor rgb="FFEAEDF2"/>
      <rgbColor rgb="FFE2E7F0"/>
      <rgbColor rgb="FF800000"/>
      <rgbColor rgb="FF008000"/>
      <rgbColor rgb="FF1E2C44"/>
      <rgbColor rgb="FF717F4B"/>
      <rgbColor rgb="FFF5F5F5"/>
      <rgbColor rgb="FF2E7D32"/>
      <rgbColor rgb="FFBFC7DA"/>
      <rgbColor rgb="FF888888"/>
      <rgbColor rgb="FF8EA3BE"/>
      <rgbColor rgb="FF666666"/>
      <rgbColor rgb="FFFFF8E1"/>
      <rgbColor rgb="FFE2EFDA"/>
      <rgbColor rgb="FF660066"/>
      <rgbColor rgb="FFDDE3ED"/>
      <rgbColor rgb="FF548235"/>
      <rgbColor rgb="FFB4C6E7"/>
      <rgbColor rgb="FF2C3A51"/>
      <rgbColor rgb="FFF2F2F2"/>
      <rgbColor rgb="FFFDEBD0"/>
      <rgbColor rgb="FFE3E8F0"/>
      <rgbColor rgb="FFF8FAFC"/>
      <rgbColor rgb="FF800000"/>
      <rgbColor rgb="FF475569"/>
      <rgbColor rgb="FF0000FF"/>
      <rgbColor rgb="FFE8ECF2"/>
      <rgbColor rgb="FFDCE6F1"/>
      <rgbColor rgb="FFD4EDDA"/>
      <rgbColor rgb="FFFFF2CC"/>
      <rgbColor rgb="FFD6DCE4"/>
      <rgbColor rgb="FFFCE4D6"/>
      <rgbColor rgb="FFE0E0E0"/>
      <rgbColor rgb="FFF8D7DA"/>
      <rgbColor rgb="FF2E75B6"/>
      <rgbColor rgb="FFD6E4F0"/>
      <rgbColor rgb="FF7B9464"/>
      <rgbColor rgb="FFF1E4DB"/>
      <rgbColor rgb="FFFBE9E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Program'!$S$11=1,B$3='Bonding Program'!$H$11),'Bonding Program'!$AA$11,0)-IF(B$3&lt;='Bonding Program'!$C$8,IF(AND('Bonding Program'!$K$11&lt;&gt;"",B$3='Bonding Program'!$K$11),'Bonding Program'!$J$11,0)-IF(AND('Bonding Program'!$M$11&lt;&gt;"",B$3='Bonding Program'!$M$11),'Bonding Program'!$L$11,0)-IF(AND('Bonding Program'!$P$11&lt;&gt;"",B$3='Bonding Program'!$P$11),'Bonding Program'!$O$11,0)-IF(AND('Bonding Program'!$R$11&lt;&gt;"",B$3='Bonding Program'!$R$11),'Bonding Program'!$Q$11,0),0)</f>
        <v>0</v>
      </c>
      <c r="C152" s="19" t="n">
        <f aca="false">IF(AND('Bonding Program'!$S$11=1,C$3='Bonding Program'!$H$11),'Bonding Program'!$AA$11,0)-IF(C$3&lt;='Bonding Program'!$C$8,IF(AND('Bonding Program'!$K$11&lt;&gt;"",C$3='Bonding Program'!$K$11),'Bonding Program'!$J$11,0)-IF(AND('Bonding Program'!$M$11&lt;&gt;"",C$3='Bonding Program'!$M$11),'Bonding Program'!$L$11,0)-IF(AND('Bonding Program'!$P$11&lt;&gt;"",C$3='Bonding Program'!$P$11),'Bonding Program'!$O$11,0)-IF(AND('Bonding Program'!$R$11&lt;&gt;"",C$3='Bonding Program'!$R$11),'Bonding Program'!$Q$11,0),0)</f>
        <v>0</v>
      </c>
      <c r="D152" s="19" t="n">
        <f aca="false">IF(AND('Bonding Program'!$S$11=1,D$3='Bonding Program'!$H$11),'Bonding Program'!$AA$11,0)-IF(D$3&lt;='Bonding Program'!$C$8,IF(AND('Bonding Program'!$K$11&lt;&gt;"",D$3='Bonding Program'!$K$11),'Bonding Program'!$J$11,0)-IF(AND('Bonding Program'!$M$11&lt;&gt;"",D$3='Bonding Program'!$M$11),'Bonding Program'!$L$11,0)-IF(AND('Bonding Program'!$P$11&lt;&gt;"",D$3='Bonding Program'!$P$11),'Bonding Program'!$O$11,0)-IF(AND('Bonding Program'!$R$11&lt;&gt;"",D$3='Bonding Program'!$R$11),'Bonding Program'!$Q$11,0),0)</f>
        <v>0</v>
      </c>
      <c r="E152" s="19" t="n">
        <f aca="false">IF(AND('Bonding Program'!$S$11=1,E$3='Bonding Program'!$H$11),'Bonding Program'!$AA$11,0)-IF(E$3&lt;='Bonding Program'!$C$8,IF(AND('Bonding Program'!$K$11&lt;&gt;"",E$3='Bonding Program'!$K$11),'Bonding Program'!$J$11,0)-IF(AND('Bonding Program'!$M$11&lt;&gt;"",E$3='Bonding Program'!$M$11),'Bonding Program'!$L$11,0)-IF(AND('Bonding Program'!$P$11&lt;&gt;"",E$3='Bonding Program'!$P$11),'Bonding Program'!$O$11,0)-IF(AND('Bonding Program'!$R$11&lt;&gt;"",E$3='Bonding Program'!$R$11),'Bonding Program'!$Q$11,0),0)</f>
        <v>0</v>
      </c>
      <c r="F152" s="19" t="n">
        <f aca="false">IF(AND('Bonding Program'!$S$11=1,F$3='Bonding Program'!$H$11),'Bonding Program'!$AA$11,0)-IF(F$3&lt;='Bonding Program'!$C$8,IF(AND('Bonding Program'!$K$11&lt;&gt;"",F$3='Bonding Program'!$K$11),'Bonding Program'!$J$11,0)-IF(AND('Bonding Program'!$M$11&lt;&gt;"",F$3='Bonding Program'!$M$11),'Bonding Program'!$L$11,0)-IF(AND('Bonding Program'!$P$11&lt;&gt;"",F$3='Bonding Program'!$P$11),'Bonding Program'!$O$11,0)-IF(AND('Bonding Program'!$R$11&lt;&gt;"",F$3='Bonding Program'!$R$11),'Bonding Program'!$Q$11,0),0)</f>
        <v>0</v>
      </c>
      <c r="G152" s="19" t="n">
        <f aca="false">IF(AND('Bonding Program'!$S$11=1,G$3='Bonding Program'!$H$11),'Bonding Program'!$AA$11,0)-IF(G$3&lt;='Bonding Program'!$C$8,IF(AND('Bonding Program'!$K$11&lt;&gt;"",G$3='Bonding Program'!$K$11),'Bonding Program'!$J$11,0)-IF(AND('Bonding Program'!$M$11&lt;&gt;"",G$3='Bonding Program'!$M$11),'Bonding Program'!$L$11,0)-IF(AND('Bonding Program'!$P$11&lt;&gt;"",G$3='Bonding Program'!$P$11),'Bonding Program'!$O$11,0)-IF(AND('Bonding Program'!$R$11&lt;&gt;"",G$3='Bonding Program'!$R$11),'Bonding Program'!$Q$11,0),0)</f>
        <v>0</v>
      </c>
      <c r="H152" s="19" t="n">
        <f aca="false">IF(AND('Bonding Program'!$S$11=1,H$3='Bonding Program'!$H$11),'Bonding Program'!$AA$11,0)-IF(H$3&lt;='Bonding Program'!$C$8,IF(AND('Bonding Program'!$K$11&lt;&gt;"",H$3='Bonding Program'!$K$11),'Bonding Program'!$J$11,0)-IF(AND('Bonding Program'!$M$11&lt;&gt;"",H$3='Bonding Program'!$M$11),'Bonding Program'!$L$11,0)-IF(AND('Bonding Program'!$P$11&lt;&gt;"",H$3='Bonding Program'!$P$11),'Bonding Program'!$O$11,0)-IF(AND('Bonding Program'!$R$11&lt;&gt;"",H$3='Bonding Program'!$R$11),'Bonding Program'!$Q$11,0),0)</f>
        <v>0</v>
      </c>
      <c r="I152" s="19" t="n">
        <f aca="false">IF(AND('Bonding Program'!$S$11=1,I$3='Bonding Program'!$H$11),'Bonding Program'!$AA$11,0)-IF(I$3&lt;='Bonding Program'!$C$8,IF(AND('Bonding Program'!$K$11&lt;&gt;"",I$3='Bonding Program'!$K$11),'Bonding Program'!$J$11,0)-IF(AND('Bonding Program'!$M$11&lt;&gt;"",I$3='Bonding Program'!$M$11),'Bonding Program'!$L$11,0)-IF(AND('Bonding Program'!$P$11&lt;&gt;"",I$3='Bonding Program'!$P$11),'Bonding Program'!$O$11,0)-IF(AND('Bonding Program'!$R$11&lt;&gt;"",I$3='Bonding Program'!$R$11),'Bonding Program'!$Q$11,0),0)</f>
        <v>0</v>
      </c>
      <c r="J152" s="19" t="n">
        <f aca="false">IF(AND('Bonding Program'!$S$11=1,J$3='Bonding Program'!$H$11),'Bonding Program'!$AA$11,0)-IF(J$3&lt;='Bonding Program'!$C$8,IF(AND('Bonding Program'!$K$11&lt;&gt;"",J$3='Bonding Program'!$K$11),'Bonding Program'!$J$11,0)-IF(AND('Bonding Program'!$M$11&lt;&gt;"",J$3='Bonding Program'!$M$11),'Bonding Program'!$L$11,0)-IF(AND('Bonding Program'!$P$11&lt;&gt;"",J$3='Bonding Program'!$P$11),'Bonding Program'!$O$11,0)-IF(AND('Bonding Program'!$R$11&lt;&gt;"",J$3='Bonding Program'!$R$11),'Bonding Program'!$Q$11,0),0)</f>
        <v>0</v>
      </c>
      <c r="K152" s="19" t="n">
        <f aca="false">IF(AND('Bonding Program'!$S$11=1,K$3='Bonding Program'!$H$11),'Bonding Program'!$AA$11,0)-IF(K$3&lt;='Bonding Program'!$C$8,IF(AND('Bonding Program'!$K$11&lt;&gt;"",K$3='Bonding Program'!$K$11),'Bonding Program'!$J$11,0)-IF(AND('Bonding Program'!$M$11&lt;&gt;"",K$3='Bonding Program'!$M$11),'Bonding Program'!$L$11,0)-IF(AND('Bonding Program'!$P$11&lt;&gt;"",K$3='Bonding Program'!$P$11),'Bonding Program'!$O$11,0)-IF(AND('Bonding Program'!$R$11&lt;&gt;"",K$3='Bonding Program'!$R$11),'Bonding Program'!$Q$11,0),0)</f>
        <v>0</v>
      </c>
      <c r="L152" s="19" t="n">
        <f aca="false">IF(AND('Bonding Program'!$S$11=1,L$3='Bonding Program'!$H$11),'Bonding Program'!$AA$11,0)-IF(L$3&lt;='Bonding Program'!$C$8,IF(AND('Bonding Program'!$K$11&lt;&gt;"",L$3='Bonding Program'!$K$11),'Bonding Program'!$J$11,0)-IF(AND('Bonding Program'!$M$11&lt;&gt;"",L$3='Bonding Program'!$M$11),'Bonding Program'!$L$11,0)-IF(AND('Bonding Program'!$P$11&lt;&gt;"",L$3='Bonding Program'!$P$11),'Bonding Program'!$O$11,0)-IF(AND('Bonding Program'!$R$11&lt;&gt;"",L$3='Bonding Program'!$R$11),'Bonding Program'!$Q$11,0),0)</f>
        <v>0</v>
      </c>
      <c r="M152" s="19" t="n">
        <f aca="false">IF(AND('Bonding Program'!$S$11=1,M$3='Bonding Program'!$H$11),'Bonding Program'!$AA$11,0)-IF(M$3&lt;='Bonding Program'!$C$8,IF(AND('Bonding Program'!$K$11&lt;&gt;"",M$3='Bonding Program'!$K$11),'Bonding Program'!$J$11,0)-IF(AND('Bonding Program'!$M$11&lt;&gt;"",M$3='Bonding Program'!$M$11),'Bonding Program'!$L$11,0)-IF(AND('Bonding Program'!$P$11&lt;&gt;"",M$3='Bonding Program'!$P$11),'Bonding Program'!$O$11,0)-IF(AND('Bonding Program'!$R$11&lt;&gt;"",M$3='Bonding Program'!$R$11),'Bonding Program'!$Q$11,0),0)</f>
        <v>0</v>
      </c>
      <c r="N152" s="19" t="n">
        <f aca="false">IF(AND('Bonding Program'!$S$11=1,N$3='Bonding Program'!$H$11),'Bonding Program'!$AA$11,0)-IF(N$3&lt;='Bonding Program'!$C$8,IF(AND('Bonding Program'!$K$11&lt;&gt;"",N$3='Bonding Program'!$K$11),'Bonding Program'!$J$11,0)-IF(AND('Bonding Program'!$M$11&lt;&gt;"",N$3='Bonding Program'!$M$11),'Bonding Program'!$L$11,0)-IF(AND('Bonding Program'!$P$11&lt;&gt;"",N$3='Bonding Program'!$P$11),'Bonding Program'!$O$11,0)-IF(AND('Bonding Program'!$R$11&lt;&gt;"",N$3='Bonding Program'!$R$11),'Bonding Program'!$Q$11,0),0)</f>
        <v>0</v>
      </c>
      <c r="O152" s="19" t="n">
        <f aca="false">IF(AND('Bonding Program'!$S$11=1,O$3='Bonding Program'!$H$11),'Bonding Program'!$AA$11,0)-IF(O$3&lt;='Bonding Program'!$C$8,IF(AND('Bonding Program'!$K$11&lt;&gt;"",O$3='Bonding Program'!$K$11),'Bonding Program'!$J$11,0)-IF(AND('Bonding Program'!$M$11&lt;&gt;"",O$3='Bonding Program'!$M$11),'Bonding Program'!$L$11,0)-IF(AND('Bonding Program'!$P$11&lt;&gt;"",O$3='Bonding Program'!$P$11),'Bonding Program'!$O$11,0)-IF(AND('Bonding Program'!$R$11&lt;&gt;"",O$3='Bonding Program'!$R$11),'Bonding Program'!$Q$11,0),0)</f>
        <v>0</v>
      </c>
      <c r="P152" s="19" t="n">
        <f aca="false">IF(AND('Bonding Program'!$S$11=1,P$3='Bonding Program'!$H$11),'Bonding Program'!$AA$11,0)-IF(P$3&lt;='Bonding Program'!$C$8,IF(AND('Bonding Program'!$K$11&lt;&gt;"",P$3='Bonding Program'!$K$11),'Bonding Program'!$J$11,0)-IF(AND('Bonding Program'!$M$11&lt;&gt;"",P$3='Bonding Program'!$M$11),'Bonding Program'!$L$11,0)-IF(AND('Bonding Program'!$P$11&lt;&gt;"",P$3='Bonding Program'!$P$11),'Bonding Program'!$O$11,0)-IF(AND('Bonding Program'!$R$11&lt;&gt;"",P$3='Bonding Program'!$R$11),'Bonding Program'!$Q$11,0),0)</f>
        <v>0</v>
      </c>
      <c r="Q152" s="19" t="n">
        <f aca="false">IF(AND('Bonding Program'!$S$11=1,Q$3='Bonding Program'!$H$11),'Bonding Program'!$AA$11,0)-IF(Q$3&lt;='Bonding Program'!$C$8,IF(AND('Bonding Program'!$K$11&lt;&gt;"",Q$3='Bonding Program'!$K$11),'Bonding Program'!$J$11,0)-IF(AND('Bonding Program'!$M$11&lt;&gt;"",Q$3='Bonding Program'!$M$11),'Bonding Program'!$L$11,0)-IF(AND('Bonding Program'!$P$11&lt;&gt;"",Q$3='Bonding Program'!$P$11),'Bonding Program'!$O$11,0)-IF(AND('Bonding Program'!$R$11&lt;&gt;"",Q$3='Bonding Program'!$R$11),'Bonding Program'!$Q$11,0),0)</f>
        <v>0</v>
      </c>
      <c r="R152" s="19" t="n">
        <f aca="false">IF(AND('Bonding Program'!$S$11=1,R$3='Bonding Program'!$H$11),'Bonding Program'!$AA$11,0)-IF(R$3&lt;='Bonding Program'!$C$8,IF(AND('Bonding Program'!$K$11&lt;&gt;"",R$3='Bonding Program'!$K$11),'Bonding Program'!$J$11,0)-IF(AND('Bonding Program'!$M$11&lt;&gt;"",R$3='Bonding Program'!$M$11),'Bonding Program'!$L$11,0)-IF(AND('Bonding Program'!$P$11&lt;&gt;"",R$3='Bonding Program'!$P$11),'Bonding Program'!$O$11,0)-IF(AND('Bonding Program'!$R$11&lt;&gt;"",R$3='Bonding Program'!$R$11),'Bonding Program'!$Q$11,0),0)</f>
        <v>0</v>
      </c>
      <c r="S152" s="19" t="n">
        <f aca="false">IF(AND('Bonding Program'!$S$11=1,S$3='Bonding Program'!$H$11),'Bonding Program'!$AA$11,0)-IF(S$3&lt;='Bonding Program'!$C$8,IF(AND('Bonding Program'!$K$11&lt;&gt;"",S$3='Bonding Program'!$K$11),'Bonding Program'!$J$11,0)-IF(AND('Bonding Program'!$M$11&lt;&gt;"",S$3='Bonding Program'!$M$11),'Bonding Program'!$L$11,0)-IF(AND('Bonding Program'!$P$11&lt;&gt;"",S$3='Bonding Program'!$P$11),'Bonding Program'!$O$11,0)-IF(AND('Bonding Program'!$R$11&lt;&gt;"",S$3='Bonding Program'!$R$11),'Bonding Program'!$Q$11,0),0)</f>
        <v>0</v>
      </c>
      <c r="T152" s="19" t="n">
        <f aca="false">IF(AND('Bonding Program'!$S$11=1,T$3='Bonding Program'!$H$11),'Bonding Program'!$AA$11,0)-IF(T$3&lt;='Bonding Program'!$C$8,IF(AND('Bonding Program'!$K$11&lt;&gt;"",T$3='Bonding Program'!$K$11),'Bonding Program'!$J$11,0)-IF(AND('Bonding Program'!$M$11&lt;&gt;"",T$3='Bonding Program'!$M$11),'Bonding Program'!$L$11,0)-IF(AND('Bonding Program'!$P$11&lt;&gt;"",T$3='Bonding Program'!$P$11),'Bonding Program'!$O$11,0)-IF(AND('Bonding Program'!$R$11&lt;&gt;"",T$3='Bonding Program'!$R$11),'Bonding Program'!$Q$11,0),0)</f>
        <v>0</v>
      </c>
      <c r="U152" s="19" t="n">
        <f aca="false">IF(AND('Bonding Program'!$S$11=1,U$3='Bonding Program'!$H$11),'Bonding Program'!$AA$11,0)-IF(U$3&lt;='Bonding Program'!$C$8,IF(AND('Bonding Program'!$K$11&lt;&gt;"",U$3='Bonding Program'!$K$11),'Bonding Program'!$J$11,0)-IF(AND('Bonding Program'!$M$11&lt;&gt;"",U$3='Bonding Program'!$M$11),'Bonding Program'!$L$11,0)-IF(AND('Bonding Program'!$P$11&lt;&gt;"",U$3='Bonding Program'!$P$11),'Bonding Program'!$O$11,0)-IF(AND('Bonding Program'!$R$11&lt;&gt;"",U$3='Bonding Program'!$R$11),'Bonding Program'!$Q$11,0),0)</f>
        <v>0</v>
      </c>
      <c r="V152" s="19" t="n">
        <f aca="false">IF(AND('Bonding Program'!$S$11=1,V$3='Bonding Program'!$H$11),'Bonding Program'!$AA$11,0)-IF(V$3&lt;='Bonding Program'!$C$8,IF(AND('Bonding Program'!$K$11&lt;&gt;"",V$3='Bonding Program'!$K$11),'Bonding Program'!$J$11,0)-IF(AND('Bonding Program'!$M$11&lt;&gt;"",V$3='Bonding Program'!$M$11),'Bonding Program'!$L$11,0)-IF(AND('Bonding Program'!$P$11&lt;&gt;"",V$3='Bonding Program'!$P$11),'Bonding Program'!$O$11,0)-IF(AND('Bonding Program'!$R$11&lt;&gt;"",V$3='Bonding Program'!$R$11),'Bonding Program'!$Q$11,0),0)</f>
        <v>0</v>
      </c>
      <c r="W152" s="19" t="n">
        <f aca="false">IF(AND('Bonding Program'!$S$11=1,W$3='Bonding Program'!$H$11),'Bonding Program'!$AA$11,0)-IF(W$3&lt;='Bonding Program'!$C$8,IF(AND('Bonding Program'!$K$11&lt;&gt;"",W$3='Bonding Program'!$K$11),'Bonding Program'!$J$11,0)-IF(AND('Bonding Program'!$M$11&lt;&gt;"",W$3='Bonding Program'!$M$11),'Bonding Program'!$L$11,0)-IF(AND('Bonding Program'!$P$11&lt;&gt;"",W$3='Bonding Program'!$P$11),'Bonding Program'!$O$11,0)-IF(AND('Bonding Program'!$R$11&lt;&gt;"",W$3='Bonding Program'!$R$11),'Bonding Program'!$Q$11,0),0)</f>
        <v>0</v>
      </c>
      <c r="X152" s="19" t="n">
        <f aca="false">IF(AND('Bonding Program'!$S$11=1,X$3='Bonding Program'!$H$11),'Bonding Program'!$AA$11,0)-IF(X$3&lt;='Bonding Program'!$C$8,IF(AND('Bonding Program'!$K$11&lt;&gt;"",X$3='Bonding Program'!$K$11),'Bonding Program'!$J$11,0)-IF(AND('Bonding Program'!$M$11&lt;&gt;"",X$3='Bonding Program'!$M$11),'Bonding Program'!$L$11,0)-IF(AND('Bonding Program'!$P$11&lt;&gt;"",X$3='Bonding Program'!$P$11),'Bonding Program'!$O$11,0)-IF(AND('Bonding Program'!$R$11&lt;&gt;"",X$3='Bonding Program'!$R$11),'Bonding Program'!$Q$11,0),0)</f>
        <v>0</v>
      </c>
      <c r="Y152" s="19" t="n">
        <f aca="false">IF(AND('Bonding Program'!$S$11=1,Y$3='Bonding Program'!$H$11),'Bonding Program'!$AA$11,0)-IF(Y$3&lt;='Bonding Program'!$C$8,IF(AND('Bonding Program'!$K$11&lt;&gt;"",Y$3='Bonding Program'!$K$11),'Bonding Program'!$J$11,0)-IF(AND('Bonding Program'!$M$11&lt;&gt;"",Y$3='Bonding Program'!$M$11),'Bonding Program'!$L$11,0)-IF(AND('Bonding Program'!$P$11&lt;&gt;"",Y$3='Bonding Program'!$P$11),'Bonding Program'!$O$11,0)-IF(AND('Bonding Program'!$R$11&lt;&gt;"",Y$3='Bonding Program'!$R$11),'Bonding Program'!$Q$11,0),0)</f>
        <v>0</v>
      </c>
      <c r="Z152" s="19" t="n">
        <f aca="false">IF(AND('Bonding Program'!$S$11=1,Z$3='Bonding Program'!$H$11),'Bonding Program'!$AA$11,0)-IF(Z$3&lt;='Bonding Program'!$C$8,IF(AND('Bonding Program'!$K$11&lt;&gt;"",Z$3='Bonding Program'!$K$11),'Bonding Program'!$J$11,0)-IF(AND('Bonding Program'!$M$11&lt;&gt;"",Z$3='Bonding Program'!$M$11),'Bonding Program'!$L$11,0)-IF(AND('Bonding Program'!$P$11&lt;&gt;"",Z$3='Bonding Program'!$P$11),'Bonding Program'!$O$11,0)-IF(AND('Bonding Program'!$R$11&lt;&gt;"",Z$3='Bonding Program'!$R$11),'Bonding Program'!$Q$11,0),0)</f>
        <v>0</v>
      </c>
      <c r="AA152" s="19" t="n">
        <f aca="false">IF(AND('Bonding Program'!$S$11=1,AA$3='Bonding Program'!$H$11),'Bonding Program'!$AA$11,0)-IF(AA$3&lt;='Bonding Program'!$C$8,IF(AND('Bonding Program'!$K$11&lt;&gt;"",AA$3='Bonding Program'!$K$11),'Bonding Program'!$J$11,0)-IF(AND('Bonding Program'!$M$11&lt;&gt;"",AA$3='Bonding Program'!$M$11),'Bonding Program'!$L$11,0)-IF(AND('Bonding Program'!$P$11&lt;&gt;"",AA$3='Bonding Program'!$P$11),'Bonding Program'!$O$11,0)-IF(AND('Bonding Program'!$R$11&lt;&gt;"",AA$3='Bonding Program'!$R$11),'Bonding Program'!$Q$11,0),0)</f>
        <v>0</v>
      </c>
      <c r="AB152" s="19" t="n">
        <f aca="false">IF(AND('Bonding Program'!$S$11=1,AB$3='Bonding Program'!$H$11),'Bonding Program'!$AA$11,0)-IF(AB$3&lt;='Bonding Program'!$C$8,IF(AND('Bonding Program'!$K$11&lt;&gt;"",AB$3='Bonding Program'!$K$11),'Bonding Program'!$J$11,0)-IF(AND('Bonding Program'!$M$11&lt;&gt;"",AB$3='Bonding Program'!$M$11),'Bonding Program'!$L$11,0)-IF(AND('Bonding Program'!$P$11&lt;&gt;"",AB$3='Bonding Program'!$P$11),'Bonding Program'!$O$11,0)-IF(AND('Bonding Program'!$R$11&lt;&gt;"",AB$3='Bonding Program'!$R$11),'Bonding Program'!$Q$11,0),0)</f>
        <v>0</v>
      </c>
      <c r="AC152" s="19" t="n">
        <f aca="false">IF(AND('Bonding Program'!$S$11=1,AC$3='Bonding Program'!$H$11),'Bonding Program'!$AA$11,0)-IF(AC$3&lt;='Bonding Program'!$C$8,IF(AND('Bonding Program'!$K$11&lt;&gt;"",AC$3='Bonding Program'!$K$11),'Bonding Program'!$J$11,0)-IF(AND('Bonding Program'!$M$11&lt;&gt;"",AC$3='Bonding Program'!$M$11),'Bonding Program'!$L$11,0)-IF(AND('Bonding Program'!$P$11&lt;&gt;"",AC$3='Bonding Program'!$P$11),'Bonding Program'!$O$11,0)-IF(AND('Bonding Program'!$R$11&lt;&gt;"",AC$3='Bonding Program'!$R$11),'Bonding Program'!$Q$11,0),0)</f>
        <v>0</v>
      </c>
      <c r="AD152" s="19" t="n">
        <f aca="false">IF(AND('Bonding Program'!$S$11=1,AD$3='Bonding Program'!$H$11),'Bonding Program'!$AA$11,0)-IF(AD$3&lt;='Bonding Program'!$C$8,IF(AND('Bonding Program'!$K$11&lt;&gt;"",AD$3='Bonding Program'!$K$11),'Bonding Program'!$J$11,0)-IF(AND('Bonding Program'!$M$11&lt;&gt;"",AD$3='Bonding Program'!$M$11),'Bonding Program'!$L$11,0)-IF(AND('Bonding Program'!$P$11&lt;&gt;"",AD$3='Bonding Program'!$P$11),'Bonding Program'!$O$11,0)-IF(AND('Bonding Program'!$R$11&lt;&gt;"",AD$3='Bonding Program'!$R$11),'Bonding Program'!$Q$11,0),0)</f>
        <v>0</v>
      </c>
      <c r="AE152" s="19" t="n">
        <f aca="false">IF(AND('Bonding Program'!$S$11=1,AE$3='Bonding Program'!$H$11),'Bonding Program'!$AA$11,0)-IF(AE$3&lt;='Bonding Program'!$C$8,IF(AND('Bonding Program'!$K$11&lt;&gt;"",AE$3='Bonding Program'!$K$11),'Bonding Program'!$J$11,0)-IF(AND('Bonding Program'!$M$11&lt;&gt;"",AE$3='Bonding Program'!$M$11),'Bonding Program'!$L$11,0)-IF(AND('Bonding Program'!$P$11&lt;&gt;"",AE$3='Bonding Program'!$P$11),'Bonding Program'!$O$11,0)-IF(AND('Bonding Program'!$R$11&lt;&gt;"",AE$3='Bonding Program'!$R$11),'Bonding Program'!$Q$11,0),0)</f>
        <v>0</v>
      </c>
      <c r="AF152" s="19" t="n">
        <f aca="false">IF(AND('Bonding Program'!$S$11=1,AF$3='Bonding Program'!$H$11),'Bonding Program'!$AA$11,0)-IF(AF$3&lt;='Bonding Program'!$C$8,IF(AND('Bonding Program'!$K$11&lt;&gt;"",AF$3='Bonding Program'!$K$11),'Bonding Program'!$J$11,0)-IF(AND('Bonding Program'!$M$11&lt;&gt;"",AF$3='Bonding Program'!$M$11),'Bonding Program'!$L$11,0)-IF(AND('Bonding Program'!$P$11&lt;&gt;"",AF$3='Bonding Program'!$P$11),'Bonding Program'!$O$11,0)-IF(AND('Bonding Program'!$R$11&lt;&gt;"",AF$3='Bonding Program'!$R$11),'Bonding Program'!$Q$11,0),0)</f>
        <v>0</v>
      </c>
      <c r="AG152" s="19" t="n">
        <f aca="false">IF(AND('Bonding Program'!$S$11=1,AG$3='Bonding Program'!$H$11),'Bonding Program'!$AA$11,0)-IF(AG$3&lt;='Bonding Program'!$C$8,IF(AND('Bonding Program'!$K$11&lt;&gt;"",AG$3='Bonding Program'!$K$11),'Bonding Program'!$J$11,0)-IF(AND('Bonding Program'!$M$11&lt;&gt;"",AG$3='Bonding Program'!$M$11),'Bonding Program'!$L$11,0)-IF(AND('Bonding Program'!$P$11&lt;&gt;"",AG$3='Bonding Program'!$P$11),'Bonding Program'!$O$11,0)-IF(AND('Bonding Program'!$R$11&lt;&gt;"",AG$3='Bonding Program'!$R$11),'Bonding Program'!$Q$11,0),0)</f>
        <v>0</v>
      </c>
      <c r="AH152" s="19" t="n">
        <f aca="false">IF(AND('Bonding Program'!$S$11=1,AH$3='Bonding Program'!$H$11),'Bonding Program'!$AA$11,0)-IF(AH$3&lt;='Bonding Program'!$C$8,IF(AND('Bonding Program'!$K$11&lt;&gt;"",AH$3='Bonding Program'!$K$11),'Bonding Program'!$J$11,0)-IF(AND('Bonding Program'!$M$11&lt;&gt;"",AH$3='Bonding Program'!$M$11),'Bonding Program'!$L$11,0)-IF(AND('Bonding Program'!$P$11&lt;&gt;"",AH$3='Bonding Program'!$P$11),'Bonding Program'!$O$11,0)-IF(AND('Bonding Program'!$R$11&lt;&gt;"",AH$3='Bonding Program'!$R$11),'Bonding Program'!$Q$11,0),0)</f>
        <v>0</v>
      </c>
      <c r="AI152" s="19" t="n">
        <f aca="false">IF(AND('Bonding Program'!$S$11=1,AI$3='Bonding Program'!$H$11),'Bonding Program'!$AA$11,0)-IF(AI$3&lt;='Bonding Program'!$C$8,IF(AND('Bonding Program'!$K$11&lt;&gt;"",AI$3='Bonding Program'!$K$11),'Bonding Program'!$J$11,0)-IF(AND('Bonding Program'!$M$11&lt;&gt;"",AI$3='Bonding Program'!$M$11),'Bonding Program'!$L$11,0)-IF(AND('Bonding Program'!$P$11&lt;&gt;"",AI$3='Bonding Program'!$P$11),'Bonding Program'!$O$11,0)-IF(AND('Bonding Program'!$R$11&lt;&gt;"",AI$3='Bonding Program'!$R$11),'Bonding Program'!$Q$11,0),0)</f>
        <v>0</v>
      </c>
      <c r="AJ152" s="19" t="n">
        <f aca="false">IF(AND('Bonding Program'!$S$11=1,AJ$3='Bonding Program'!$H$11),'Bonding Program'!$AA$11,0)-IF(AJ$3&lt;='Bonding Program'!$C$8,IF(AND('Bonding Program'!$K$11&lt;&gt;"",AJ$3='Bonding Program'!$K$11),'Bonding Program'!$J$11,0)-IF(AND('Bonding Program'!$M$11&lt;&gt;"",AJ$3='Bonding Program'!$M$11),'Bonding Program'!$L$11,0)-IF(AND('Bonding Program'!$P$11&lt;&gt;"",AJ$3='Bonding Program'!$P$11),'Bonding Program'!$O$11,0)-IF(AND('Bonding Program'!$R$11&lt;&gt;"",AJ$3='Bonding Program'!$R$11),'Bonding Program'!$Q$11,0),0)</f>
        <v>0</v>
      </c>
      <c r="AK152" s="19" t="n">
        <f aca="false">IF(AND('Bonding Program'!$S$11=1,AK$3='Bonding Program'!$H$11),'Bonding Program'!$AA$11,0)-IF(AK$3&lt;='Bonding Program'!$C$8,IF(AND('Bonding Program'!$K$11&lt;&gt;"",AK$3='Bonding Program'!$K$11),'Bonding Program'!$J$11,0)-IF(AND('Bonding Program'!$M$11&lt;&gt;"",AK$3='Bonding Program'!$M$11),'Bonding Program'!$L$11,0)-IF(AND('Bonding Program'!$P$11&lt;&gt;"",AK$3='Bonding Program'!$P$11),'Bonding Program'!$O$11,0)-IF(AND('Bonding Program'!$R$11&lt;&gt;"",AK$3='Bonding Program'!$R$11),'Bonding Program'!$Q$11,0),0)</f>
        <v>0</v>
      </c>
      <c r="AL152" s="19" t="n">
        <f aca="false">IF(AND('Bonding Program'!$S$11=1,AL$3='Bonding Program'!$H$11),'Bonding Program'!$AA$11,0)-IF(AL$3&lt;='Bonding Program'!$C$8,IF(AND('Bonding Program'!$K$11&lt;&gt;"",AL$3='Bonding Program'!$K$11),'Bonding Program'!$J$11,0)-IF(AND('Bonding Program'!$M$11&lt;&gt;"",AL$3='Bonding Program'!$M$11),'Bonding Program'!$L$11,0)-IF(AND('Bonding Program'!$P$11&lt;&gt;"",AL$3='Bonding Program'!$P$11),'Bonding Program'!$O$11,0)-IF(AND('Bonding Program'!$R$11&lt;&gt;"",AL$3='Bonding Program'!$R$11),'Bonding Program'!$Q$11,0),0)</f>
        <v>0</v>
      </c>
      <c r="AM152" s="19" t="n">
        <f aca="false">IF(AND('Bonding Program'!$S$11=1,AM$3='Bonding Program'!$H$11),'Bonding Program'!$AA$11,0)-IF(AM$3&lt;='Bonding Program'!$C$8,IF(AND('Bonding Program'!$K$11&lt;&gt;"",AM$3='Bonding Program'!$K$11),'Bonding Program'!$J$11,0)-IF(AND('Bonding Program'!$M$11&lt;&gt;"",AM$3='Bonding Program'!$M$11),'Bonding Program'!$L$11,0)-IF(AND('Bonding Program'!$P$11&lt;&gt;"",AM$3='Bonding Program'!$P$11),'Bonding Program'!$O$11,0)-IF(AND('Bonding Program'!$R$11&lt;&gt;"",AM$3='Bonding Program'!$R$11),'Bonding Program'!$Q$11,0),0)</f>
        <v>0</v>
      </c>
      <c r="AN152" s="19" t="n">
        <f aca="false">IF(AND('Bonding Program'!$S$11=1,AN$3='Bonding Program'!$H$11),'Bonding Program'!$AA$11,0)-IF(AN$3&lt;='Bonding Program'!$C$8,IF(AND('Bonding Program'!$K$11&lt;&gt;"",AN$3='Bonding Program'!$K$11),'Bonding Program'!$J$11,0)-IF(AND('Bonding Program'!$M$11&lt;&gt;"",AN$3='Bonding Program'!$M$11),'Bonding Program'!$L$11,0)-IF(AND('Bonding Program'!$P$11&lt;&gt;"",AN$3='Bonding Program'!$P$11),'Bonding Program'!$O$11,0)-IF(AND('Bonding Program'!$R$11&lt;&gt;"",AN$3='Bonding Program'!$R$11),'Bonding Program'!$Q$11,0),0)</f>
        <v>0</v>
      </c>
      <c r="AO152" s="19" t="n">
        <f aca="false">IF(AND('Bonding Program'!$S$11=1,AO$3='Bonding Program'!$H$11),'Bonding Program'!$AA$11,0)-IF(AO$3&lt;='Bonding Program'!$C$8,IF(AND('Bonding Program'!$K$11&lt;&gt;"",AO$3='Bonding Program'!$K$11),'Bonding Program'!$J$11,0)-IF(AND('Bonding Program'!$M$11&lt;&gt;"",AO$3='Bonding Program'!$M$11),'Bonding Program'!$L$11,0)-IF(AND('Bonding Program'!$P$11&lt;&gt;"",AO$3='Bonding Program'!$P$11),'Bonding Program'!$O$11,0)-IF(AND('Bonding Program'!$R$11&lt;&gt;"",AO$3='Bonding Program'!$R$11),'Bonding Program'!$Q$11,0),0)</f>
        <v>0</v>
      </c>
      <c r="AP152" s="19" t="n">
        <f aca="false">IF(AND('Bonding Program'!$S$11=1,AP$3='Bonding Program'!$H$11),'Bonding Program'!$AA$11,0)-IF(AP$3&lt;='Bonding Program'!$C$8,IF(AND('Bonding Program'!$K$11&lt;&gt;"",AP$3='Bonding Program'!$K$11),'Bonding Program'!$J$11,0)-IF(AND('Bonding Program'!$M$11&lt;&gt;"",AP$3='Bonding Program'!$M$11),'Bonding Program'!$L$11,0)-IF(AND('Bonding Program'!$P$11&lt;&gt;"",AP$3='Bonding Program'!$P$11),'Bonding Program'!$O$11,0)-IF(AND('Bonding Program'!$R$11&lt;&gt;"",AP$3='Bonding Program'!$R$11),'Bonding Program'!$Q$11,0),0)</f>
        <v>0</v>
      </c>
      <c r="AQ152" s="19" t="n">
        <f aca="false">IF(AND('Bonding Program'!$S$11=1,AQ$3='Bonding Program'!$H$11),'Bonding Program'!$AA$11,0)-IF(AQ$3&lt;='Bonding Program'!$C$8,IF(AND('Bonding Program'!$K$11&lt;&gt;"",AQ$3='Bonding Program'!$K$11),'Bonding Program'!$J$11,0)-IF(AND('Bonding Program'!$M$11&lt;&gt;"",AQ$3='Bonding Program'!$M$11),'Bonding Program'!$L$11,0)-IF(AND('Bonding Program'!$P$11&lt;&gt;"",AQ$3='Bonding Program'!$P$11),'Bonding Program'!$O$11,0)-IF(AND('Bonding Program'!$R$11&lt;&gt;"",AQ$3='Bonding Program'!$R$11),'Bonding Program'!$Q$11,0),0)</f>
        <v>0</v>
      </c>
      <c r="AR152" s="19" t="n">
        <f aca="false">IF(AND('Bonding Program'!$S$11=1,AR$3='Bonding Program'!$H$11),'Bonding Program'!$AA$11,0)-IF(AR$3&lt;='Bonding Program'!$C$8,IF(AND('Bonding Program'!$K$11&lt;&gt;"",AR$3='Bonding Program'!$K$11),'Bonding Program'!$J$11,0)-IF(AND('Bonding Program'!$M$11&lt;&gt;"",AR$3='Bonding Program'!$M$11),'Bonding Program'!$L$11,0)-IF(AND('Bonding Program'!$P$11&lt;&gt;"",AR$3='Bonding Program'!$P$11),'Bonding Program'!$O$11,0)-IF(AND('Bonding Program'!$R$11&lt;&gt;"",AR$3='Bonding Program'!$R$11),'Bonding Program'!$Q$11,0),0)</f>
        <v>0</v>
      </c>
      <c r="AS152" s="19" t="n">
        <f aca="false">IF(AND('Bonding Program'!$S$11=1,AS$3='Bonding Program'!$H$11),'Bonding Program'!$AA$11,0)-IF(AS$3&lt;='Bonding Program'!$C$8,IF(AND('Bonding Program'!$K$11&lt;&gt;"",AS$3='Bonding Program'!$K$11),'Bonding Program'!$J$11,0)-IF(AND('Bonding Program'!$M$11&lt;&gt;"",AS$3='Bonding Program'!$M$11),'Bonding Program'!$L$11,0)-IF(AND('Bonding Program'!$P$11&lt;&gt;"",AS$3='Bonding Program'!$P$11),'Bonding Program'!$O$11,0)-IF(AND('Bonding Program'!$R$11&lt;&gt;"",AS$3='Bonding Program'!$R$11),'Bonding Program'!$Q$11,0),0)</f>
        <v>0</v>
      </c>
      <c r="AT152" s="19" t="n">
        <f aca="false">IF(AND('Bonding Program'!$S$11=1,AT$3='Bonding Program'!$H$11),'Bonding Program'!$AA$11,0)-IF(AT$3&lt;='Bonding Program'!$C$8,IF(AND('Bonding Program'!$K$11&lt;&gt;"",AT$3='Bonding Program'!$K$11),'Bonding Program'!$J$11,0)-IF(AND('Bonding Program'!$M$11&lt;&gt;"",AT$3='Bonding Program'!$M$11),'Bonding Program'!$L$11,0)-IF(AND('Bonding Program'!$P$11&lt;&gt;"",AT$3='Bonding Program'!$P$11),'Bonding Program'!$O$11,0)-IF(AND('Bonding Program'!$R$11&lt;&gt;"",AT$3='Bonding Program'!$R$11),'Bonding Program'!$Q$11,0),0)</f>
        <v>0</v>
      </c>
      <c r="AU152" s="19" t="n">
        <f aca="false">IF(AND('Bonding Program'!$S$11=1,AU$3='Bonding Program'!$H$11),'Bonding Program'!$AA$11,0)-IF(AU$3&lt;='Bonding Program'!$C$8,IF(AND('Bonding Program'!$K$11&lt;&gt;"",AU$3='Bonding Program'!$K$11),'Bonding Program'!$J$11,0)-IF(AND('Bonding Program'!$M$11&lt;&gt;"",AU$3='Bonding Program'!$M$11),'Bonding Program'!$L$11,0)-IF(AND('Bonding Program'!$P$11&lt;&gt;"",AU$3='Bonding Program'!$P$11),'Bonding Program'!$O$11,0)-IF(AND('Bonding Program'!$R$11&lt;&gt;"",AU$3='Bonding Program'!$R$11),'Bonding Program'!$Q$11,0),0)</f>
        <v>0</v>
      </c>
      <c r="AV152" s="19" t="n">
        <f aca="false">IF(AND('Bonding Program'!$S$11=1,AV$3='Bonding Program'!$H$11),'Bonding Program'!$AA$11,0)-IF(AV$3&lt;='Bonding Program'!$C$8,IF(AND('Bonding Program'!$K$11&lt;&gt;"",AV$3='Bonding Program'!$K$11),'Bonding Program'!$J$11,0)-IF(AND('Bonding Program'!$M$11&lt;&gt;"",AV$3='Bonding Program'!$M$11),'Bonding Program'!$L$11,0)-IF(AND('Bonding Program'!$P$11&lt;&gt;"",AV$3='Bonding Program'!$P$11),'Bonding Program'!$O$11,0)-IF(AND('Bonding Program'!$R$11&lt;&gt;"",AV$3='Bonding Program'!$R$11),'Bonding Program'!$Q$11,0),0)</f>
        <v>0</v>
      </c>
      <c r="AW152" s="19" t="n">
        <f aca="false">IF(AND('Bonding Program'!$S$11=1,AW$3='Bonding Program'!$H$11),'Bonding Program'!$AA$11,0)-IF(AW$3&lt;='Bonding Program'!$C$8,IF(AND('Bonding Program'!$K$11&lt;&gt;"",AW$3='Bonding Program'!$K$11),'Bonding Program'!$J$11,0)-IF(AND('Bonding Program'!$M$11&lt;&gt;"",AW$3='Bonding Program'!$M$11),'Bonding Program'!$L$11,0)-IF(AND('Bonding Program'!$P$11&lt;&gt;"",AW$3='Bonding Program'!$P$11),'Bonding Program'!$O$11,0)-IF(AND('Bonding Program'!$R$11&lt;&gt;"",AW$3='Bonding Program'!$R$11),'Bonding Program'!$Q$11,0),0)</f>
        <v>0</v>
      </c>
      <c r="AX152" s="19" t="n">
        <f aca="false">IF(AND('Bonding Program'!$S$11=1,AX$3='Bonding Program'!$H$11),'Bonding Program'!$AA$11,0)-IF(AX$3&lt;='Bonding Program'!$C$8,IF(AND('Bonding Program'!$K$11&lt;&gt;"",AX$3='Bonding Program'!$K$11),'Bonding Program'!$J$11,0)-IF(AND('Bonding Program'!$M$11&lt;&gt;"",AX$3='Bonding Program'!$M$11),'Bonding Program'!$L$11,0)-IF(AND('Bonding Program'!$P$11&lt;&gt;"",AX$3='Bonding Program'!$P$11),'Bonding Program'!$O$11,0)-IF(AND('Bonding Program'!$R$11&lt;&gt;"",AX$3='Bonding Program'!$R$11),'Bonding Program'!$Q$11,0),0)</f>
        <v>0</v>
      </c>
      <c r="AY152" s="19" t="n">
        <f aca="false">IF(AND('Bonding Program'!$S$11=1,AY$3='Bonding Program'!$H$11),'Bonding Program'!$AA$11,0)-IF(AY$3&lt;='Bonding Program'!$C$8,IF(AND('Bonding Program'!$K$11&lt;&gt;"",AY$3='Bonding Program'!$K$11),'Bonding Program'!$J$11,0)-IF(AND('Bonding Program'!$M$11&lt;&gt;"",AY$3='Bonding Program'!$M$11),'Bonding Program'!$L$11,0)-IF(AND('Bonding Program'!$P$11&lt;&gt;"",AY$3='Bonding Program'!$P$11),'Bonding Program'!$O$11,0)-IF(AND('Bonding Program'!$R$11&lt;&gt;"",AY$3='Bonding Program'!$R$11),'Bonding Program'!$Q$11,0),0)</f>
        <v>0</v>
      </c>
      <c r="AZ152" s="19" t="n">
        <f aca="false">IF(AND('Bonding Program'!$S$11=1,AZ$3='Bonding Program'!$H$11),'Bonding Program'!$AA$11,0)-IF(AZ$3&lt;='Bonding Program'!$C$8,IF(AND('Bonding Program'!$K$11&lt;&gt;"",AZ$3='Bonding Program'!$K$11),'Bonding Program'!$J$11,0)-IF(AND('Bonding Program'!$M$11&lt;&gt;"",AZ$3='Bonding Program'!$M$11),'Bonding Program'!$L$11,0)-IF(AND('Bonding Program'!$P$11&lt;&gt;"",AZ$3='Bonding Program'!$P$11),'Bonding Program'!$O$11,0)-IF(AND('Bonding Program'!$R$11&lt;&gt;"",AZ$3='Bonding Program'!$R$11),'Bonding Program'!$Q$11,0),0)</f>
        <v>0</v>
      </c>
      <c r="BA152" s="19" t="n">
        <f aca="false">IF(AND('Bonding Program'!$S$11=1,BA$3='Bonding Program'!$H$11),'Bonding Program'!$AA$11,0)-IF(BA$3&lt;='Bonding Program'!$C$8,IF(AND('Bonding Program'!$K$11&lt;&gt;"",BA$3='Bonding Program'!$K$11),'Bonding Program'!$J$11,0)-IF(AND('Bonding Program'!$M$11&lt;&gt;"",BA$3='Bonding Program'!$M$11),'Bonding Program'!$L$11,0)-IF(AND('Bonding Program'!$P$11&lt;&gt;"",BA$3='Bonding Program'!$P$11),'Bonding Program'!$O$11,0)-IF(AND('Bonding Program'!$R$11&lt;&gt;"",BA$3='Bonding Program'!$R$11),'Bonding Program'!$Q$11,0),0)</f>
        <v>0</v>
      </c>
      <c r="BB152" s="19" t="n">
        <f aca="false">IF(AND('Bonding Program'!$S$11=1,BB$3='Bonding Program'!$H$11),'Bonding Program'!$AA$11,0)-IF(BB$3&lt;='Bonding Program'!$C$8,IF(AND('Bonding Program'!$K$11&lt;&gt;"",BB$3='Bonding Program'!$K$11),'Bonding Program'!$J$11,0)-IF(AND('Bonding Program'!$M$11&lt;&gt;"",BB$3='Bonding Program'!$M$11),'Bonding Program'!$L$11,0)-IF(AND('Bonding Program'!$P$11&lt;&gt;"",BB$3='Bonding Program'!$P$11),'Bonding Program'!$O$11,0)-IF(AND('Bonding Program'!$R$11&lt;&gt;"",BB$3='Bonding Program'!$R$11),'Bonding Program'!$Q$11,0),0)</f>
        <v>0</v>
      </c>
      <c r="BC152" s="19" t="n">
        <f aca="false">IF(AND('Bonding Program'!$S$11=1,BC$3='Bonding Program'!$H$11),'Bonding Program'!$AA$11,0)-IF(BC$3&lt;='Bonding Program'!$C$8,IF(AND('Bonding Program'!$K$11&lt;&gt;"",BC$3='Bonding Program'!$K$11),'Bonding Program'!$J$11,0)-IF(AND('Bonding Program'!$M$11&lt;&gt;"",BC$3='Bonding Program'!$M$11),'Bonding Program'!$L$11,0)-IF(AND('Bonding Program'!$P$11&lt;&gt;"",BC$3='Bonding Program'!$P$11),'Bonding Program'!$O$11,0)-IF(AND('Bonding Program'!$R$11&lt;&gt;"",BC$3='Bonding Program'!$R$11),'Bonding Program'!$Q$11,0),0)</f>
        <v>0</v>
      </c>
      <c r="BD152" s="19" t="n">
        <f aca="false">IF(AND('Bonding Program'!$S$11=1,BD$3='Bonding Program'!$H$11),'Bonding Program'!$AA$11,0)-IF(BD$3&lt;='Bonding Program'!$C$8,IF(AND('Bonding Program'!$K$11&lt;&gt;"",BD$3='Bonding Program'!$K$11),'Bonding Program'!$J$11,0)-IF(AND('Bonding Program'!$M$11&lt;&gt;"",BD$3='Bonding Program'!$M$11),'Bonding Program'!$L$11,0)-IF(AND('Bonding Program'!$P$11&lt;&gt;"",BD$3='Bonding Program'!$P$11),'Bonding Program'!$O$11,0)-IF(AND('Bonding Program'!$R$11&lt;&gt;"",BD$3='Bonding Program'!$R$11),'Bonding Program'!$Q$11,0),0)</f>
        <v>0</v>
      </c>
      <c r="BE152" s="19" t="n">
        <f aca="false">IF(AND('Bonding Program'!$S$11=1,BE$3='Bonding Program'!$H$11),'Bonding Program'!$AA$11,0)-IF(BE$3&lt;='Bonding Program'!$C$8,IF(AND('Bonding Program'!$K$11&lt;&gt;"",BE$3='Bonding Program'!$K$11),'Bonding Program'!$J$11,0)-IF(AND('Bonding Program'!$M$11&lt;&gt;"",BE$3='Bonding Program'!$M$11),'Bonding Program'!$L$11,0)-IF(AND('Bonding Program'!$P$11&lt;&gt;"",BE$3='Bonding Program'!$P$11),'Bonding Program'!$O$11,0)-IF(AND('Bonding Program'!$R$11&lt;&gt;"",BE$3='Bonding Program'!$R$11),'Bonding Program'!$Q$11,0),0)</f>
        <v>0</v>
      </c>
      <c r="BF152" s="19" t="n">
        <f aca="false">IF(AND('Bonding Program'!$S$11=1,BF$3='Bonding Program'!$H$11),'Bonding Program'!$AA$11,0)-IF(BF$3&lt;='Bonding Program'!$C$8,IF(AND('Bonding Program'!$K$11&lt;&gt;"",BF$3='Bonding Program'!$K$11),'Bonding Program'!$J$11,0)-IF(AND('Bonding Program'!$M$11&lt;&gt;"",BF$3='Bonding Program'!$M$11),'Bonding Program'!$L$11,0)-IF(AND('Bonding Program'!$P$11&lt;&gt;"",BF$3='Bonding Program'!$P$11),'Bonding Program'!$O$11,0)-IF(AND('Bonding Program'!$R$11&lt;&gt;"",BF$3='Bonding Program'!$R$11),'Bonding Program'!$Q$11,0),0)</f>
        <v>0</v>
      </c>
      <c r="BG152" s="19" t="n">
        <f aca="false">IF(AND('Bonding Program'!$S$11=1,BG$3='Bonding Program'!$H$11),'Bonding Program'!$AA$11,0)-IF(BG$3&lt;='Bonding Program'!$C$8,IF(AND('Bonding Program'!$K$11&lt;&gt;"",BG$3='Bonding Program'!$K$11),'Bonding Program'!$J$11,0)-IF(AND('Bonding Program'!$M$11&lt;&gt;"",BG$3='Bonding Program'!$M$11),'Bonding Program'!$L$11,0)-IF(AND('Bonding Program'!$P$11&lt;&gt;"",BG$3='Bonding Program'!$P$11),'Bonding Program'!$O$11,0)-IF(AND('Bonding Program'!$R$11&lt;&gt;"",BG$3='Bonding Program'!$R$11),'Bonding Program'!$Q$11,0),0)</f>
        <v>0</v>
      </c>
      <c r="BH152" s="19" t="n">
        <f aca="false">IF(AND('Bonding Program'!$S$11=1,BH$3='Bonding Program'!$H$11),'Bonding Program'!$AA$11,0)-IF(BH$3&lt;='Bonding Program'!$C$8,IF(AND('Bonding Program'!$K$11&lt;&gt;"",BH$3='Bonding Program'!$K$11),'Bonding Program'!$J$11,0)-IF(AND('Bonding Program'!$M$11&lt;&gt;"",BH$3='Bonding Program'!$M$11),'Bonding Program'!$L$11,0)-IF(AND('Bonding Program'!$P$11&lt;&gt;"",BH$3='Bonding Program'!$P$11),'Bonding Program'!$O$11,0)-IF(AND('Bonding Program'!$R$11&lt;&gt;"",BH$3='Bonding Program'!$R$11),'Bonding Program'!$Q$11,0),0)</f>
        <v>0</v>
      </c>
      <c r="BI152" s="19" t="n">
        <f aca="false">IF(AND('Bonding Program'!$S$11=1,BI$3='Bonding Program'!$H$11),'Bonding Program'!$AA$11,0)-IF(BI$3&lt;='Bonding Program'!$C$8,IF(AND('Bonding Program'!$K$11&lt;&gt;"",BI$3='Bonding Program'!$K$11),'Bonding Program'!$J$11,0)-IF(AND('Bonding Program'!$M$11&lt;&gt;"",BI$3='Bonding Program'!$M$11),'Bonding Program'!$L$11,0)-IF(AND('Bonding Program'!$P$11&lt;&gt;"",BI$3='Bonding Program'!$P$11),'Bonding Program'!$O$11,0)-IF(AND('Bonding Program'!$R$11&lt;&gt;"",BI$3='Bonding Program'!$R$11),'Bonding Program'!$Q$11,0),0)</f>
        <v>0</v>
      </c>
      <c r="BJ152" s="19" t="n">
        <f aca="false">IF(AND('Bonding Program'!$S$11=1,BJ$3='Bonding Program'!$H$11),'Bonding Program'!$AA$11,0)-IF(BJ$3&lt;='Bonding Program'!$C$8,IF(AND('Bonding Program'!$K$11&lt;&gt;"",BJ$3='Bonding Program'!$K$11),'Bonding Program'!$J$11,0)-IF(AND('Bonding Program'!$M$11&lt;&gt;"",BJ$3='Bonding Program'!$M$11),'Bonding Program'!$L$11,0)-IF(AND('Bonding Program'!$P$11&lt;&gt;"",BJ$3='Bonding Program'!$P$11),'Bonding Program'!$O$11,0)-IF(AND('Bonding Program'!$R$11&lt;&gt;"",BJ$3='Bonding Program'!$R$11),'Bonding Program'!$Q$11,0),0)</f>
        <v>0</v>
      </c>
      <c r="BK152" s="19" t="n">
        <f aca="false">IF(AND('Bonding Program'!$S$11=1,BK$3='Bonding Program'!$H$11),'Bonding Program'!$AA$11,0)-IF(BK$3&lt;='Bonding Program'!$C$8,IF(AND('Bonding Program'!$K$11&lt;&gt;"",BK$3='Bonding Program'!$K$11),'Bonding Program'!$J$11,0)-IF(AND('Bonding Program'!$M$11&lt;&gt;"",BK$3='Bonding Program'!$M$11),'Bonding Program'!$L$11,0)-IF(AND('Bonding Program'!$P$11&lt;&gt;"",BK$3='Bonding Program'!$P$11),'Bonding Program'!$O$11,0)-IF(AND('Bonding Program'!$R$11&lt;&gt;"",BK$3='Bonding Program'!$R$11),'Bonding Program'!$Q$11,0),0)</f>
        <v>0</v>
      </c>
      <c r="BL152" s="19" t="n">
        <f aca="false">IF(AND('Bonding Program'!$S$11=1,BL$3='Bonding Program'!$H$11),'Bonding Program'!$AA$11,0)-IF(BL$3&lt;='Bonding Program'!$C$8,IF(AND('Bonding Program'!$K$11&lt;&gt;"",BL$3='Bonding Program'!$K$11),'Bonding Program'!$J$11,0)-IF(AND('Bonding Program'!$M$11&lt;&gt;"",BL$3='Bonding Program'!$M$11),'Bonding Program'!$L$11,0)-IF(AND('Bonding Program'!$P$11&lt;&gt;"",BL$3='Bonding Program'!$P$11),'Bonding Program'!$O$11,0)-IF(AND('Bonding Program'!$R$11&lt;&gt;"",BL$3='Bonding Program'!$R$11),'Bonding Program'!$Q$11,0),0)</f>
        <v>0</v>
      </c>
      <c r="BM152" s="19" t="n">
        <f aca="false">IF(AND('Bonding Program'!$S$11=1,BM$3='Bonding Program'!$H$11),'Bonding Program'!$AA$11,0)-IF(BM$3&lt;='Bonding Program'!$C$8,IF(AND('Bonding Program'!$K$11&lt;&gt;"",BM$3='Bonding Program'!$K$11),'Bonding Program'!$J$11,0)-IF(AND('Bonding Program'!$M$11&lt;&gt;"",BM$3='Bonding Program'!$M$11),'Bonding Program'!$L$11,0)-IF(AND('Bonding Program'!$P$11&lt;&gt;"",BM$3='Bonding Program'!$P$11),'Bonding Program'!$O$11,0)-IF(AND('Bonding Program'!$R$11&lt;&gt;"",BM$3='Bonding Program'!$R$11),'Bonding Program'!$Q$11,0),0)</f>
        <v>0</v>
      </c>
      <c r="BN152" s="19" t="n">
        <f aca="false">IF(AND('Bonding Program'!$S$11=1,BN$3='Bonding Program'!$H$11),'Bonding Program'!$AA$11,0)-IF(BN$3&lt;='Bonding Program'!$C$8,IF(AND('Bonding Program'!$K$11&lt;&gt;"",BN$3='Bonding Program'!$K$11),'Bonding Program'!$J$11,0)-IF(AND('Bonding Program'!$M$11&lt;&gt;"",BN$3='Bonding Program'!$M$11),'Bonding Program'!$L$11,0)-IF(AND('Bonding Program'!$P$11&lt;&gt;"",BN$3='Bonding Program'!$P$11),'Bonding Program'!$O$11,0)-IF(AND('Bonding Program'!$R$11&lt;&gt;"",BN$3='Bonding Program'!$R$11),'Bonding Program'!$Q$11,0),0)</f>
        <v>0</v>
      </c>
      <c r="BO152" s="19" t="n">
        <f aca="false">IF(AND('Bonding Program'!$S$11=1,BO$3='Bonding Program'!$H$11),'Bonding Program'!$AA$11,0)-IF(BO$3&lt;='Bonding Program'!$C$8,IF(AND('Bonding Program'!$K$11&lt;&gt;"",BO$3='Bonding Program'!$K$11),'Bonding Program'!$J$11,0)-IF(AND('Bonding Program'!$M$11&lt;&gt;"",BO$3='Bonding Program'!$M$11),'Bonding Program'!$L$11,0)-IF(AND('Bonding Program'!$P$11&lt;&gt;"",BO$3='Bonding Program'!$P$11),'Bonding Program'!$O$11,0)-IF(AND('Bonding Program'!$R$11&lt;&gt;"",BO$3='Bonding Program'!$R$11),'Bonding Program'!$Q$11,0),0)</f>
        <v>0</v>
      </c>
      <c r="BP152" s="19" t="n">
        <f aca="false">IF(AND('Bonding Program'!$S$11=1,BP$3='Bonding Program'!$H$11),'Bonding Program'!$AA$11,0)-IF(BP$3&lt;='Bonding Program'!$C$8,IF(AND('Bonding Program'!$K$11&lt;&gt;"",BP$3='Bonding Program'!$K$11),'Bonding Program'!$J$11,0)-IF(AND('Bonding Program'!$M$11&lt;&gt;"",BP$3='Bonding Program'!$M$11),'Bonding Program'!$L$11,0)-IF(AND('Bonding Program'!$P$11&lt;&gt;"",BP$3='Bonding Program'!$P$11),'Bonding Program'!$O$11,0)-IF(AND('Bonding Program'!$R$11&lt;&gt;"",BP$3='Bonding Program'!$R$11),'Bonding Program'!$Q$11,0),0)</f>
        <v>0</v>
      </c>
      <c r="BQ152" s="19" t="n">
        <f aca="false">IF(AND('Bonding Program'!$S$11=1,BQ$3='Bonding Program'!$H$11),'Bonding Program'!$AA$11,0)-IF(BQ$3&lt;='Bonding Program'!$C$8,IF(AND('Bonding Program'!$K$11&lt;&gt;"",BQ$3='Bonding Program'!$K$11),'Bonding Program'!$J$11,0)-IF(AND('Bonding Program'!$M$11&lt;&gt;"",BQ$3='Bonding Program'!$M$11),'Bonding Program'!$L$11,0)-IF(AND('Bonding Program'!$P$11&lt;&gt;"",BQ$3='Bonding Program'!$P$11),'Bonding Program'!$O$11,0)-IF(AND('Bonding Program'!$R$11&lt;&gt;"",BQ$3='Bonding Program'!$R$11),'Bonding Program'!$Q$11,0),0)</f>
        <v>0</v>
      </c>
      <c r="BR152" s="19" t="n">
        <f aca="false">IF(AND('Bonding Program'!$S$11=1,BR$3='Bonding Program'!$H$11),'Bonding Program'!$AA$11,0)-IF(BR$3&lt;='Bonding Program'!$C$8,IF(AND('Bonding Program'!$K$11&lt;&gt;"",BR$3='Bonding Program'!$K$11),'Bonding Program'!$J$11,0)-IF(AND('Bonding Program'!$M$11&lt;&gt;"",BR$3='Bonding Program'!$M$11),'Bonding Program'!$L$11,0)-IF(AND('Bonding Program'!$P$11&lt;&gt;"",BR$3='Bonding Program'!$P$11),'Bonding Program'!$O$11,0)-IF(AND('Bonding Program'!$R$11&lt;&gt;"",BR$3='Bonding Program'!$R$11),'Bonding Program'!$Q$11,0),0)</f>
        <v>0</v>
      </c>
      <c r="BS152" s="19" t="n">
        <f aca="false">IF(AND('Bonding Program'!$S$11=1,BS$3='Bonding Program'!$H$11),'Bonding Program'!$AA$11,0)-IF(BS$3&lt;='Bonding Program'!$C$8,IF(AND('Bonding Program'!$K$11&lt;&gt;"",BS$3='Bonding Program'!$K$11),'Bonding Program'!$J$11,0)-IF(AND('Bonding Program'!$M$11&lt;&gt;"",BS$3='Bonding Program'!$M$11),'Bonding Program'!$L$11,0)-IF(AND('Bonding Program'!$P$11&lt;&gt;"",BS$3='Bonding Program'!$P$11),'Bonding Program'!$O$11,0)-IF(AND('Bonding Program'!$R$11&lt;&gt;"",BS$3='Bonding Program'!$R$11),'Bonding Program'!$Q$11,0),0)</f>
        <v>0</v>
      </c>
      <c r="BT152" s="19" t="n">
        <f aca="false">IF(AND('Bonding Program'!$S$11=1,BT$3='Bonding Program'!$H$11),'Bonding Program'!$AA$11,0)-IF(BT$3&lt;='Bonding Program'!$C$8,IF(AND('Bonding Program'!$K$11&lt;&gt;"",BT$3='Bonding Program'!$K$11),'Bonding Program'!$J$11,0)-IF(AND('Bonding Program'!$M$11&lt;&gt;"",BT$3='Bonding Program'!$M$11),'Bonding Program'!$L$11,0)-IF(AND('Bonding Program'!$P$11&lt;&gt;"",BT$3='Bonding Program'!$P$11),'Bonding Program'!$O$11,0)-IF(AND('Bonding Program'!$R$11&lt;&gt;"",BT$3='Bonding Program'!$R$11),'Bonding Program'!$Q$11,0),0)</f>
        <v>0</v>
      </c>
      <c r="BU152" s="19" t="n">
        <f aca="false">IF(AND('Bonding Program'!$S$11=1,BU$3='Bonding Program'!$H$11),'Bonding Program'!$AA$11,0)-IF(BU$3&lt;='Bonding Program'!$C$8,IF(AND('Bonding Program'!$K$11&lt;&gt;"",BU$3='Bonding Program'!$K$11),'Bonding Program'!$J$11,0)-IF(AND('Bonding Program'!$M$11&lt;&gt;"",BU$3='Bonding Program'!$M$11),'Bonding Program'!$L$11,0)-IF(AND('Bonding Program'!$P$11&lt;&gt;"",BU$3='Bonding Program'!$P$11),'Bonding Program'!$O$11,0)-IF(AND('Bonding Program'!$R$11&lt;&gt;"",BU$3='Bonding Program'!$R$11),'Bonding Program'!$Q$11,0),0)</f>
        <v>0</v>
      </c>
      <c r="BV152" s="19" t="n">
        <f aca="false">IF(AND('Bonding Program'!$S$11=1,BV$3='Bonding Program'!$H$11),'Bonding Program'!$AA$11,0)-IF(BV$3&lt;='Bonding Program'!$C$8,IF(AND('Bonding Program'!$K$11&lt;&gt;"",BV$3='Bonding Program'!$K$11),'Bonding Program'!$J$11,0)-IF(AND('Bonding Program'!$M$11&lt;&gt;"",BV$3='Bonding Program'!$M$11),'Bonding Program'!$L$11,0)-IF(AND('Bonding Program'!$P$11&lt;&gt;"",BV$3='Bonding Program'!$P$11),'Bonding Program'!$O$11,0)-IF(AND('Bonding Program'!$R$11&lt;&gt;"",BV$3='Bonding Program'!$R$11),'Bonding Program'!$Q$11,0),0)</f>
        <v>0</v>
      </c>
      <c r="BW152" s="19" t="n">
        <f aca="false">IF(AND('Bonding Program'!$S$11=1,BW$3='Bonding Program'!$H$11),'Bonding Program'!$AA$11,0)-IF(BW$3&lt;='Bonding Program'!$C$8,IF(AND('Bonding Program'!$K$11&lt;&gt;"",BW$3='Bonding Program'!$K$11),'Bonding Program'!$J$11,0)-IF(AND('Bonding Program'!$M$11&lt;&gt;"",BW$3='Bonding Program'!$M$11),'Bonding Program'!$L$11,0)-IF(AND('Bonding Program'!$P$11&lt;&gt;"",BW$3='Bonding Program'!$P$11),'Bonding Program'!$O$11,0)-IF(AND('Bonding Program'!$R$11&lt;&gt;"",BW$3='Bonding Program'!$R$11),'Bonding Program'!$Q$11,0),0)</f>
        <v>0</v>
      </c>
      <c r="BX152" s="19" t="n">
        <f aca="false">IF(AND('Bonding Program'!$S$11=1,BX$3='Bonding Program'!$H$11),'Bonding Program'!$AA$11,0)-IF(BX$3&lt;='Bonding Program'!$C$8,IF(AND('Bonding Program'!$K$11&lt;&gt;"",BX$3='Bonding Program'!$K$11),'Bonding Program'!$J$11,0)-IF(AND('Bonding Program'!$M$11&lt;&gt;"",BX$3='Bonding Program'!$M$11),'Bonding Program'!$L$11,0)-IF(AND('Bonding Program'!$P$11&lt;&gt;"",BX$3='Bonding Program'!$P$11),'Bonding Program'!$O$11,0)-IF(AND('Bonding Program'!$R$11&lt;&gt;"",BX$3='Bonding Program'!$R$11),'Bonding Program'!$Q$11,0),0)</f>
        <v>0</v>
      </c>
      <c r="BY152" s="19" t="n">
        <f aca="false">IF(AND('Bonding Program'!$S$11=1,BY$3='Bonding Program'!$H$11),'Bonding Program'!$AA$11,0)-IF(BY$3&lt;='Bonding Program'!$C$8,IF(AND('Bonding Program'!$K$11&lt;&gt;"",BY$3='Bonding Program'!$K$11),'Bonding Program'!$J$11,0)-IF(AND('Bonding Program'!$M$11&lt;&gt;"",BY$3='Bonding Program'!$M$11),'Bonding Program'!$L$11,0)-IF(AND('Bonding Program'!$P$11&lt;&gt;"",BY$3='Bonding Program'!$P$11),'Bonding Program'!$O$11,0)-IF(AND('Bonding Program'!$R$11&lt;&gt;"",BY$3='Bonding Program'!$R$11),'Bonding Program'!$Q$11,0),0)</f>
        <v>0</v>
      </c>
      <c r="BZ152" s="19" t="n">
        <f aca="false">IF(AND('Bonding Program'!$S$11=1,BZ$3='Bonding Program'!$H$11),'Bonding Program'!$AA$11,0)-IF(BZ$3&lt;='Bonding Program'!$C$8,IF(AND('Bonding Program'!$K$11&lt;&gt;"",BZ$3='Bonding Program'!$K$11),'Bonding Program'!$J$11,0)-IF(AND('Bonding Program'!$M$11&lt;&gt;"",BZ$3='Bonding Program'!$M$11),'Bonding Program'!$L$11,0)-IF(AND('Bonding Program'!$P$11&lt;&gt;"",BZ$3='Bonding Program'!$P$11),'Bonding Program'!$O$11,0)-IF(AND('Bonding Program'!$R$11&lt;&gt;"",BZ$3='Bonding Program'!$R$11),'Bonding Program'!$Q$11,0),0)</f>
        <v>0</v>
      </c>
      <c r="CA152" s="19" t="n">
        <f aca="false">IF(AND('Bonding Program'!$S$11=1,CA$3='Bonding Program'!$H$11),'Bonding Program'!$AA$11,0)-IF(CA$3&lt;='Bonding Program'!$C$8,IF(AND('Bonding Program'!$K$11&lt;&gt;"",CA$3='Bonding Program'!$K$11),'Bonding Program'!$J$11,0)-IF(AND('Bonding Program'!$M$11&lt;&gt;"",CA$3='Bonding Program'!$M$11),'Bonding Program'!$L$11,0)-IF(AND('Bonding Program'!$P$11&lt;&gt;"",CA$3='Bonding Program'!$P$11),'Bonding Program'!$O$11,0)-IF(AND('Bonding Program'!$R$11&lt;&gt;"",CA$3='Bonding Program'!$R$11),'Bonding Program'!$Q$11,0),0)</f>
        <v>0</v>
      </c>
      <c r="CB152" s="19" t="n">
        <f aca="false">IF(AND('Bonding Program'!$S$11=1,CB$3='Bonding Program'!$H$11),'Bonding Program'!$AA$11,0)-IF(CB$3&lt;='Bonding Program'!$C$8,IF(AND('Bonding Program'!$K$11&lt;&gt;"",CB$3='Bonding Program'!$K$11),'Bonding Program'!$J$11,0)-IF(AND('Bonding Program'!$M$11&lt;&gt;"",CB$3='Bonding Program'!$M$11),'Bonding Program'!$L$11,0)-IF(AND('Bonding Program'!$P$11&lt;&gt;"",CB$3='Bonding Program'!$P$11),'Bonding Program'!$O$11,0)-IF(AND('Bonding Program'!$R$11&lt;&gt;"",CB$3='Bonding Program'!$R$11),'Bonding Program'!$Q$11,0),0)</f>
        <v>0</v>
      </c>
      <c r="CC152" s="19" t="n">
        <f aca="false">IF(AND('Bonding Program'!$S$11=1,CC$3='Bonding Program'!$H$11),'Bonding Program'!$AA$11,0)-IF(CC$3&lt;='Bonding Program'!$C$8,IF(AND('Bonding Program'!$K$11&lt;&gt;"",CC$3='Bonding Program'!$K$11),'Bonding Program'!$J$11,0)-IF(AND('Bonding Program'!$M$11&lt;&gt;"",CC$3='Bonding Program'!$M$11),'Bonding Program'!$L$11,0)-IF(AND('Bonding Program'!$P$11&lt;&gt;"",CC$3='Bonding Program'!$P$11),'Bonding Program'!$O$11,0)-IF(AND('Bonding Program'!$R$11&lt;&gt;"",CC$3='Bonding Program'!$R$11),'Bonding Program'!$Q$11,0),0)</f>
        <v>0</v>
      </c>
      <c r="CD152" s="19" t="n">
        <f aca="false">IF(AND('Bonding Program'!$S$11=1,CD$3='Bonding Program'!$H$11),'Bonding Program'!$AA$11,0)-IF(CD$3&lt;='Bonding Program'!$C$8,IF(AND('Bonding Program'!$K$11&lt;&gt;"",CD$3='Bonding Program'!$K$11),'Bonding Program'!$J$11,0)-IF(AND('Bonding Program'!$M$11&lt;&gt;"",CD$3='Bonding Program'!$M$11),'Bonding Program'!$L$11,0)-IF(AND('Bonding Program'!$P$11&lt;&gt;"",CD$3='Bonding Program'!$P$11),'Bonding Program'!$O$11,0)-IF(AND('Bonding Program'!$R$11&lt;&gt;"",CD$3='Bonding Program'!$R$11),'Bonding Program'!$Q$11,0),0)</f>
        <v>0</v>
      </c>
      <c r="CE152" s="19" t="n">
        <f aca="false">IF(AND('Bonding Program'!$S$11=1,CE$3='Bonding Program'!$H$11),'Bonding Program'!$AA$11,0)-IF(CE$3&lt;='Bonding Program'!$C$8,IF(AND('Bonding Program'!$K$11&lt;&gt;"",CE$3='Bonding Program'!$K$11),'Bonding Program'!$J$11,0)-IF(AND('Bonding Program'!$M$11&lt;&gt;"",CE$3='Bonding Program'!$M$11),'Bonding Program'!$L$11,0)-IF(AND('Bonding Program'!$P$11&lt;&gt;"",CE$3='Bonding Program'!$P$11),'Bonding Program'!$O$11,0)-IF(AND('Bonding Program'!$R$11&lt;&gt;"",CE$3='Bonding Program'!$R$11),'Bonding Program'!$Q$11,0),0)</f>
        <v>0</v>
      </c>
      <c r="CF152" s="19" t="n">
        <f aca="false">IF(AND('Bonding Program'!$S$11=1,CF$3='Bonding Program'!$H$11),'Bonding Program'!$AA$11,0)-IF(CF$3&lt;='Bonding Program'!$C$8,IF(AND('Bonding Program'!$K$11&lt;&gt;"",CF$3='Bonding Program'!$K$11),'Bonding Program'!$J$11,0)-IF(AND('Bonding Program'!$M$11&lt;&gt;"",CF$3='Bonding Program'!$M$11),'Bonding Program'!$L$11,0)-IF(AND('Bonding Program'!$P$11&lt;&gt;"",CF$3='Bonding Program'!$P$11),'Bonding Program'!$O$11,0)-IF(AND('Bonding Program'!$R$11&lt;&gt;"",CF$3='Bonding Program'!$R$11),'Bonding Program'!$Q$11,0),0)</f>
        <v>0</v>
      </c>
      <c r="CG152" s="19" t="n">
        <f aca="false">IF(AND('Bonding Program'!$S$11=1,CG$3='Bonding Program'!$H$11),'Bonding Program'!$AA$11,0)-IF(CG$3&lt;='Bonding Program'!$C$8,IF(AND('Bonding Program'!$K$11&lt;&gt;"",CG$3='Bonding Program'!$K$11),'Bonding Program'!$J$11,0)-IF(AND('Bonding Program'!$M$11&lt;&gt;"",CG$3='Bonding Program'!$M$11),'Bonding Program'!$L$11,0)-IF(AND('Bonding Program'!$P$11&lt;&gt;"",CG$3='Bonding Program'!$P$11),'Bonding Program'!$O$11,0)-IF(AND('Bonding Program'!$R$11&lt;&gt;"",CG$3='Bonding Program'!$R$11),'Bonding Program'!$Q$11,0),0)</f>
        <v>0</v>
      </c>
      <c r="CH152" s="19" t="n">
        <f aca="false">IF(AND('Bonding Program'!$S$11=1,CH$3='Bonding Program'!$H$11),'Bonding Program'!$AA$11,0)-IF(CH$3&lt;='Bonding Program'!$C$8,IF(AND('Bonding Program'!$K$11&lt;&gt;"",CH$3='Bonding Program'!$K$11),'Bonding Program'!$J$11,0)-IF(AND('Bonding Program'!$M$11&lt;&gt;"",CH$3='Bonding Program'!$M$11),'Bonding Program'!$L$11,0)-IF(AND('Bonding Program'!$P$11&lt;&gt;"",CH$3='Bonding Program'!$P$11),'Bonding Program'!$O$11,0)-IF(AND('Bonding Program'!$R$11&lt;&gt;"",CH$3='Bonding Program'!$R$11),'Bonding Program'!$Q$11,0),0)</f>
        <v>0</v>
      </c>
      <c r="CI152" s="19" t="n">
        <f aca="false">IF(AND('Bonding Program'!$S$11=1,CI$3='Bonding Program'!$H$11),'Bonding Program'!$AA$11,0)-IF(CI$3&lt;='Bonding Program'!$C$8,IF(AND('Bonding Program'!$K$11&lt;&gt;"",CI$3='Bonding Program'!$K$11),'Bonding Program'!$J$11,0)-IF(AND('Bonding Program'!$M$11&lt;&gt;"",CI$3='Bonding Program'!$M$11),'Bonding Program'!$L$11,0)-IF(AND('Bonding Program'!$P$11&lt;&gt;"",CI$3='Bonding Program'!$P$11),'Bonding Program'!$O$11,0)-IF(AND('Bonding Program'!$R$11&lt;&gt;"",CI$3='Bonding Program'!$R$11),'Bonding Program'!$Q$11,0),0)</f>
        <v>0</v>
      </c>
      <c r="CJ152" s="19" t="n">
        <f aca="false">IF(AND('Bonding Program'!$S$11=1,CJ$3='Bonding Program'!$H$11),'Bonding Program'!$AA$11,0)-IF(CJ$3&lt;='Bonding Program'!$C$8,IF(AND('Bonding Program'!$K$11&lt;&gt;"",CJ$3='Bonding Program'!$K$11),'Bonding Program'!$J$11,0)-IF(AND('Bonding Program'!$M$11&lt;&gt;"",CJ$3='Bonding Program'!$M$11),'Bonding Program'!$L$11,0)-IF(AND('Bonding Program'!$P$11&lt;&gt;"",CJ$3='Bonding Program'!$P$11),'Bonding Program'!$O$11,0)-IF(AND('Bonding Program'!$R$11&lt;&gt;"",CJ$3='Bonding Program'!$R$11),'Bonding Program'!$Q$11,0),0)</f>
        <v>0</v>
      </c>
      <c r="CK152" s="19" t="n">
        <f aca="false">IF(AND('Bonding Program'!$S$11=1,CK$3='Bonding Program'!$H$11),'Bonding Program'!$AA$11,0)-IF(CK$3&lt;='Bonding Program'!$C$8,IF(AND('Bonding Program'!$K$11&lt;&gt;"",CK$3='Bonding Program'!$K$11),'Bonding Program'!$J$11,0)-IF(AND('Bonding Program'!$M$11&lt;&gt;"",CK$3='Bonding Program'!$M$11),'Bonding Program'!$L$11,0)-IF(AND('Bonding Program'!$P$11&lt;&gt;"",CK$3='Bonding Program'!$P$11),'Bonding Program'!$O$11,0)-IF(AND('Bonding Program'!$R$11&lt;&gt;"",CK$3='Bonding Program'!$R$11),'Bonding Program'!$Q$11,0),0)</f>
        <v>0</v>
      </c>
      <c r="CL152" s="19" t="n">
        <f aca="false">IF(AND('Bonding Program'!$S$11=1,CL$3='Bonding Program'!$H$11),'Bonding Program'!$AA$11,0)-IF(CL$3&lt;='Bonding Program'!$C$8,IF(AND('Bonding Program'!$K$11&lt;&gt;"",CL$3='Bonding Program'!$K$11),'Bonding Program'!$J$11,0)-IF(AND('Bonding Program'!$M$11&lt;&gt;"",CL$3='Bonding Program'!$M$11),'Bonding Program'!$L$11,0)-IF(AND('Bonding Program'!$P$11&lt;&gt;"",CL$3='Bonding Program'!$P$11),'Bonding Program'!$O$11,0)-IF(AND('Bonding Program'!$R$11&lt;&gt;"",CL$3='Bonding Program'!$R$11),'Bonding Program'!$Q$11,0),0)</f>
        <v>0</v>
      </c>
      <c r="CM152" s="19" t="n">
        <f aca="false">IF(AND('Bonding Program'!$S$11=1,CM$3='Bonding Program'!$H$11),'Bonding Program'!$AA$11,0)-IF(CM$3&lt;='Bonding Program'!$C$8,IF(AND('Bonding Program'!$K$11&lt;&gt;"",CM$3='Bonding Program'!$K$11),'Bonding Program'!$J$11,0)-IF(AND('Bonding Program'!$M$11&lt;&gt;"",CM$3='Bonding Program'!$M$11),'Bonding Program'!$L$11,0)-IF(AND('Bonding Program'!$P$11&lt;&gt;"",CM$3='Bonding Program'!$P$11),'Bonding Program'!$O$11,0)-IF(AND('Bonding Program'!$R$11&lt;&gt;"",CM$3='Bonding Program'!$R$11),'Bonding Program'!$Q$11,0),0)</f>
        <v>0</v>
      </c>
      <c r="CN152" s="19" t="n">
        <f aca="false">IF(AND('Bonding Program'!$S$11=1,CN$3='Bonding Program'!$H$11),'Bonding Program'!$AA$11,0)-IF(CN$3&lt;='Bonding Program'!$C$8,IF(AND('Bonding Program'!$K$11&lt;&gt;"",CN$3='Bonding Program'!$K$11),'Bonding Program'!$J$11,0)-IF(AND('Bonding Program'!$M$11&lt;&gt;"",CN$3='Bonding Program'!$M$11),'Bonding Program'!$L$11,0)-IF(AND('Bonding Program'!$P$11&lt;&gt;"",CN$3='Bonding Program'!$P$11),'Bonding Program'!$O$11,0)-IF(AND('Bonding Program'!$R$11&lt;&gt;"",CN$3='Bonding Program'!$R$11),'Bonding Program'!$Q$11,0),0)</f>
        <v>0</v>
      </c>
      <c r="CO152" s="19" t="n">
        <f aca="false">IF(AND('Bonding Program'!$S$11=1,CO$3='Bonding Program'!$H$11),'Bonding Program'!$AA$11,0)-IF(CO$3&lt;='Bonding Program'!$C$8,IF(AND('Bonding Program'!$K$11&lt;&gt;"",CO$3='Bonding Program'!$K$11),'Bonding Program'!$J$11,0)-IF(AND('Bonding Program'!$M$11&lt;&gt;"",CO$3='Bonding Program'!$M$11),'Bonding Program'!$L$11,0)-IF(AND('Bonding Program'!$P$11&lt;&gt;"",CO$3='Bonding Program'!$P$11),'Bonding Program'!$O$11,0)-IF(AND('Bonding Program'!$R$11&lt;&gt;"",CO$3='Bonding Program'!$R$11),'Bonding Program'!$Q$11,0),0)</f>
        <v>0</v>
      </c>
      <c r="CP152" s="19" t="n">
        <f aca="false">IF(AND('Bonding Program'!$S$11=1,CP$3='Bonding Program'!$H$11),'Bonding Program'!$AA$11,0)-IF(CP$3&lt;='Bonding Program'!$C$8,IF(AND('Bonding Program'!$K$11&lt;&gt;"",CP$3='Bonding Program'!$K$11),'Bonding Program'!$J$11,0)-IF(AND('Bonding Program'!$M$11&lt;&gt;"",CP$3='Bonding Program'!$M$11),'Bonding Program'!$L$11,0)-IF(AND('Bonding Program'!$P$11&lt;&gt;"",CP$3='Bonding Program'!$P$11),'Bonding Program'!$O$11,0)-IF(AND('Bonding Program'!$R$11&lt;&gt;"",CP$3='Bonding Program'!$R$11),'Bonding Program'!$Q$11,0),0)</f>
        <v>0</v>
      </c>
      <c r="CQ152" s="19" t="n">
        <f aca="false">IF(AND('Bonding Program'!$S$11=1,CQ$3='Bonding Program'!$H$11),'Bonding Program'!$AA$11,0)-IF(CQ$3&lt;='Bonding Program'!$C$8,IF(AND('Bonding Program'!$K$11&lt;&gt;"",CQ$3='Bonding Program'!$K$11),'Bonding Program'!$J$11,0)-IF(AND('Bonding Program'!$M$11&lt;&gt;"",CQ$3='Bonding Program'!$M$11),'Bonding Program'!$L$11,0)-IF(AND('Bonding Program'!$P$11&lt;&gt;"",CQ$3='Bonding Program'!$P$11),'Bonding Program'!$O$11,0)-IF(AND('Bonding Program'!$R$11&lt;&gt;"",CQ$3='Bonding Program'!$R$11),'Bonding Program'!$Q$11,0),0)</f>
        <v>0</v>
      </c>
      <c r="CR152" s="19" t="n">
        <f aca="false">IF(AND('Bonding Program'!$S$11=1,CR$3='Bonding Program'!$H$11),'Bonding Program'!$AA$11,0)-IF(CR$3&lt;='Bonding Program'!$C$8,IF(AND('Bonding Program'!$K$11&lt;&gt;"",CR$3='Bonding Program'!$K$11),'Bonding Program'!$J$11,0)-IF(AND('Bonding Program'!$M$11&lt;&gt;"",CR$3='Bonding Program'!$M$11),'Bonding Program'!$L$11,0)-IF(AND('Bonding Program'!$P$11&lt;&gt;"",CR$3='Bonding Program'!$P$11),'Bonding Program'!$O$11,0)-IF(AND('Bonding Program'!$R$11&lt;&gt;"",CR$3='Bonding Program'!$R$11),'Bonding Program'!$Q$11,0),0)</f>
        <v>0</v>
      </c>
      <c r="CS152" s="19" t="n">
        <f aca="false">IF(AND('Bonding Program'!$S$11=1,CS$3='Bonding Program'!$H$11),'Bonding Program'!$AA$11,0)-IF(CS$3&lt;='Bonding Program'!$C$8,IF(AND('Bonding Program'!$K$11&lt;&gt;"",CS$3='Bonding Program'!$K$11),'Bonding Program'!$J$11,0)-IF(AND('Bonding Program'!$M$11&lt;&gt;"",CS$3='Bonding Program'!$M$11),'Bonding Program'!$L$11,0)-IF(AND('Bonding Program'!$P$11&lt;&gt;"",CS$3='Bonding Program'!$P$11),'Bonding Program'!$O$11,0)-IF(AND('Bonding Program'!$R$11&lt;&gt;"",CS$3='Bonding Program'!$R$11),'Bonding Program'!$Q$11,0),0)</f>
        <v>0</v>
      </c>
      <c r="CT152" s="19" t="n">
        <f aca="false">IF(AND('Bonding Program'!$S$11=1,CT$3='Bonding Program'!$H$11),'Bonding Program'!$AA$11,0)-IF(CT$3&lt;='Bonding Program'!$C$8,IF(AND('Bonding Program'!$K$11&lt;&gt;"",CT$3='Bonding Program'!$K$11),'Bonding Program'!$J$11,0)-IF(AND('Bonding Program'!$M$11&lt;&gt;"",CT$3='Bonding Program'!$M$11),'Bonding Program'!$L$11,0)-IF(AND('Bonding Program'!$P$11&lt;&gt;"",CT$3='Bonding Program'!$P$11),'Bonding Program'!$O$11,0)-IF(AND('Bonding Program'!$R$11&lt;&gt;"",CT$3='Bonding Program'!$R$11),'Bonding Program'!$Q$11,0),0)</f>
        <v>0</v>
      </c>
      <c r="CU152" s="19" t="n">
        <f aca="false">IF(AND('Bonding Program'!$S$11=1,CU$3='Bonding Program'!$H$11),'Bonding Program'!$AA$11,0)-IF(CU$3&lt;='Bonding Program'!$C$8,IF(AND('Bonding Program'!$K$11&lt;&gt;"",CU$3='Bonding Program'!$K$11),'Bonding Program'!$J$11,0)-IF(AND('Bonding Program'!$M$11&lt;&gt;"",CU$3='Bonding Program'!$M$11),'Bonding Program'!$L$11,0)-IF(AND('Bonding Program'!$P$11&lt;&gt;"",CU$3='Bonding Program'!$P$11),'Bonding Program'!$O$11,0)-IF(AND('Bonding Program'!$R$11&lt;&gt;"",CU$3='Bonding Program'!$R$11),'Bonding Program'!$Q$11,0),0)</f>
        <v>0</v>
      </c>
      <c r="CV152" s="19" t="n">
        <f aca="false">IF(AND('Bonding Program'!$S$11=1,CV$3='Bonding Program'!$H$11),'Bonding Program'!$AA$11,0)-IF(CV$3&lt;='Bonding Program'!$C$8,IF(AND('Bonding Program'!$K$11&lt;&gt;"",CV$3='Bonding Program'!$K$11),'Bonding Program'!$J$11,0)-IF(AND('Bonding Program'!$M$11&lt;&gt;"",CV$3='Bonding Program'!$M$11),'Bonding Program'!$L$11,0)-IF(AND('Bonding Program'!$P$11&lt;&gt;"",CV$3='Bonding Program'!$P$11),'Bonding Program'!$O$11,0)-IF(AND('Bonding Program'!$R$11&lt;&gt;"",CV$3='Bonding Program'!$R$11),'Bonding Program'!$Q$11,0),0)</f>
        <v>0</v>
      </c>
      <c r="CW152" s="19" t="n">
        <f aca="false">IF(AND('Bonding Program'!$S$11=1,CW$3='Bonding Program'!$H$11),'Bonding Program'!$AA$11,0)-IF(CW$3&lt;='Bonding Program'!$C$8,IF(AND('Bonding Program'!$K$11&lt;&gt;"",CW$3='Bonding Program'!$K$11),'Bonding Program'!$J$11,0)-IF(AND('Bonding Program'!$M$11&lt;&gt;"",CW$3='Bonding Program'!$M$11),'Bonding Program'!$L$11,0)-IF(AND('Bonding Program'!$P$11&lt;&gt;"",CW$3='Bonding Program'!$P$11),'Bonding Program'!$O$11,0)-IF(AND('Bonding Program'!$R$11&lt;&gt;"",CW$3='Bonding Program'!$R$11),'Bonding Program'!$Q$11,0),0)</f>
        <v>0</v>
      </c>
      <c r="CX152" s="19" t="n">
        <f aca="false">IF(AND('Bonding Program'!$S$11=1,CX$3='Bonding Program'!$H$11),'Bonding Program'!$AA$11,0)-IF(CX$3&lt;='Bonding Program'!$C$8,IF(AND('Bonding Program'!$K$11&lt;&gt;"",CX$3='Bonding Program'!$K$11),'Bonding Program'!$J$11,0)-IF(AND('Bonding Program'!$M$11&lt;&gt;"",CX$3='Bonding Program'!$M$11),'Bonding Program'!$L$11,0)-IF(AND('Bonding Program'!$P$11&lt;&gt;"",CX$3='Bonding Program'!$P$11),'Bonding Program'!$O$11,0)-IF(AND('Bonding Program'!$R$11&lt;&gt;"",CX$3='Bonding Program'!$R$11),'Bonding Program'!$Q$11,0),0)</f>
        <v>0</v>
      </c>
      <c r="CY152" s="19" t="n">
        <f aca="false">IF(AND('Bonding Program'!$S$11=1,CY$3='Bonding Program'!$H$11),'Bonding Program'!$AA$11,0)-IF(CY$3&lt;='Bonding Program'!$C$8,IF(AND('Bonding Program'!$K$11&lt;&gt;"",CY$3='Bonding Program'!$K$11),'Bonding Program'!$J$11,0)-IF(AND('Bonding Program'!$M$11&lt;&gt;"",CY$3='Bonding Program'!$M$11),'Bonding Program'!$L$11,0)-IF(AND('Bonding Program'!$P$11&lt;&gt;"",CY$3='Bonding Program'!$P$11),'Bonding Program'!$O$11,0)-IF(AND('Bonding Program'!$R$11&lt;&gt;"",CY$3='Bonding Program'!$R$11),'Bonding Program'!$Q$11,0),0)</f>
        <v>0</v>
      </c>
      <c r="CZ152" s="19" t="n">
        <f aca="false">IF(AND('Bonding Program'!$S$11=1,CZ$3='Bonding Program'!$H$11),'Bonding Program'!$AA$11,0)-IF(CZ$3&lt;='Bonding Program'!$C$8,IF(AND('Bonding Program'!$K$11&lt;&gt;"",CZ$3='Bonding Program'!$K$11),'Bonding Program'!$J$11,0)-IF(AND('Bonding Program'!$M$11&lt;&gt;"",CZ$3='Bonding Program'!$M$11),'Bonding Program'!$L$11,0)-IF(AND('Bonding Program'!$P$11&lt;&gt;"",CZ$3='Bonding Program'!$P$11),'Bonding Program'!$O$11,0)-IF(AND('Bonding Program'!$R$11&lt;&gt;"",CZ$3='Bonding Program'!$R$11),'Bonding Program'!$Q$11,0),0)</f>
        <v>0</v>
      </c>
      <c r="DA152" s="19" t="n">
        <f aca="false">IF(AND('Bonding Program'!$S$11=1,DA$3='Bonding Program'!$H$11),'Bonding Program'!$AA$11,0)-IF(DA$3&lt;='Bonding Program'!$C$8,IF(AND('Bonding Program'!$K$11&lt;&gt;"",DA$3='Bonding Program'!$K$11),'Bonding Program'!$J$11,0)-IF(AND('Bonding Program'!$M$11&lt;&gt;"",DA$3='Bonding Program'!$M$11),'Bonding Program'!$L$11,0)-IF(AND('Bonding Program'!$P$11&lt;&gt;"",DA$3='Bonding Program'!$P$11),'Bonding Program'!$O$11,0)-IF(AND('Bonding Program'!$R$11&lt;&gt;"",DA$3='Bonding Program'!$R$11),'Bonding Program'!$Q$11,0),0)</f>
        <v>0</v>
      </c>
      <c r="DB152" s="19" t="n">
        <f aca="false">IF(AND('Bonding Program'!$S$11=1,DB$3='Bonding Program'!$H$11),'Bonding Program'!$AA$11,0)-IF(DB$3&lt;='Bonding Program'!$C$8,IF(AND('Bonding Program'!$K$11&lt;&gt;"",DB$3='Bonding Program'!$K$11),'Bonding Program'!$J$11,0)-IF(AND('Bonding Program'!$M$11&lt;&gt;"",DB$3='Bonding Program'!$M$11),'Bonding Program'!$L$11,0)-IF(AND('Bonding Program'!$P$11&lt;&gt;"",DB$3='Bonding Program'!$P$11),'Bonding Program'!$O$11,0)-IF(AND('Bonding Program'!$R$11&lt;&gt;"",DB$3='Bonding Program'!$R$11),'Bonding Program'!$Q$11,0),0)</f>
        <v>0</v>
      </c>
      <c r="DC152" s="19" t="n">
        <f aca="false">IF(AND('Bonding Program'!$S$11=1,DC$3='Bonding Program'!$H$11),'Bonding Program'!$AA$11,0)-IF(DC$3&lt;='Bonding Program'!$C$8,IF(AND('Bonding Program'!$K$11&lt;&gt;"",DC$3='Bonding Program'!$K$11),'Bonding Program'!$J$11,0)-IF(AND('Bonding Program'!$M$11&lt;&gt;"",DC$3='Bonding Program'!$M$11),'Bonding Program'!$L$11,0)-IF(AND('Bonding Program'!$P$11&lt;&gt;"",DC$3='Bonding Program'!$P$11),'Bonding Program'!$O$11,0)-IF(AND('Bonding Program'!$R$11&lt;&gt;"",DC$3='Bonding Program'!$R$11),'Bonding Program'!$Q$11,0),0)</f>
        <v>0</v>
      </c>
      <c r="DD152" s="19" t="n">
        <f aca="false">IF(AND('Bonding Program'!$S$11=1,DD$3='Bonding Program'!$H$11),'Bonding Program'!$AA$11,0)-IF(DD$3&lt;='Bonding Program'!$C$8,IF(AND('Bonding Program'!$K$11&lt;&gt;"",DD$3='Bonding Program'!$K$11),'Bonding Program'!$J$11,0)-IF(AND('Bonding Program'!$M$11&lt;&gt;"",DD$3='Bonding Program'!$M$11),'Bonding Program'!$L$11,0)-IF(AND('Bonding Program'!$P$11&lt;&gt;"",DD$3='Bonding Program'!$P$11),'Bonding Program'!$O$11,0)-IF(AND('Bonding Program'!$R$11&lt;&gt;"",DD$3='Bonding Program'!$R$11),'Bonding Program'!$Q$11,0),0)</f>
        <v>0</v>
      </c>
      <c r="DE152" s="19" t="n">
        <f aca="false">IF(AND('Bonding Program'!$S$11=1,DE$3='Bonding Program'!$H$11),'Bonding Program'!$AA$11,0)-IF(DE$3&lt;='Bonding Program'!$C$8,IF(AND('Bonding Program'!$K$11&lt;&gt;"",DE$3='Bonding Program'!$K$11),'Bonding Program'!$J$11,0)-IF(AND('Bonding Program'!$M$11&lt;&gt;"",DE$3='Bonding Program'!$M$11),'Bonding Program'!$L$11,0)-IF(AND('Bonding Program'!$P$11&lt;&gt;"",DE$3='Bonding Program'!$P$11),'Bonding Program'!$O$11,0)-IF(AND('Bonding Program'!$R$11&lt;&gt;"",DE$3='Bonding Program'!$R$11),'Bonding Program'!$Q$11,0),0)</f>
        <v>0</v>
      </c>
    </row>
    <row r="153" customFormat="false" ht="15" hidden="false" customHeight="true" outlineLevel="1" collapsed="false">
      <c r="A153" s="28" t="s">
        <v>8</v>
      </c>
      <c r="B153" s="19" t="n">
        <f aca="false">IF(AND('Bonding Program'!$S$12=1,B$3='Bonding Program'!$H$12),'Bonding Program'!$AA$12,0)-IF(B$3&lt;='Bonding Program'!$C$8,IF(AND('Bonding Program'!$K$12&lt;&gt;"",B$3='Bonding Program'!$K$12),'Bonding Program'!$J$12,0)-IF(AND('Bonding Program'!$M$12&lt;&gt;"",B$3='Bonding Program'!$M$12),'Bonding Program'!$L$12,0)-IF(AND('Bonding Program'!$P$12&lt;&gt;"",B$3='Bonding Program'!$P$12),'Bonding Program'!$O$12,0)-IF(AND('Bonding Program'!$R$12&lt;&gt;"",B$3='Bonding Program'!$R$12),'Bonding Program'!$Q$12,0),0)</f>
        <v>0</v>
      </c>
      <c r="C153" s="19" t="n">
        <f aca="false">IF(AND('Bonding Program'!$S$12=1,C$3='Bonding Program'!$H$12),'Bonding Program'!$AA$12,0)-IF(C$3&lt;='Bonding Program'!$C$8,IF(AND('Bonding Program'!$K$12&lt;&gt;"",C$3='Bonding Program'!$K$12),'Bonding Program'!$J$12,0)-IF(AND('Bonding Program'!$M$12&lt;&gt;"",C$3='Bonding Program'!$M$12),'Bonding Program'!$L$12,0)-IF(AND('Bonding Program'!$P$12&lt;&gt;"",C$3='Bonding Program'!$P$12),'Bonding Program'!$O$12,0)-IF(AND('Bonding Program'!$R$12&lt;&gt;"",C$3='Bonding Program'!$R$12),'Bonding Program'!$Q$12,0),0)</f>
        <v>0</v>
      </c>
      <c r="D153" s="19" t="n">
        <f aca="false">IF(AND('Bonding Program'!$S$12=1,D$3='Bonding Program'!$H$12),'Bonding Program'!$AA$12,0)-IF(D$3&lt;='Bonding Program'!$C$8,IF(AND('Bonding Program'!$K$12&lt;&gt;"",D$3='Bonding Program'!$K$12),'Bonding Program'!$J$12,0)-IF(AND('Bonding Program'!$M$12&lt;&gt;"",D$3='Bonding Program'!$M$12),'Bonding Program'!$L$12,0)-IF(AND('Bonding Program'!$P$12&lt;&gt;"",D$3='Bonding Program'!$P$12),'Bonding Program'!$O$12,0)-IF(AND('Bonding Program'!$R$12&lt;&gt;"",D$3='Bonding Program'!$R$12),'Bonding Program'!$Q$12,0),0)</f>
        <v>0</v>
      </c>
      <c r="E153" s="19" t="n">
        <f aca="false">IF(AND('Bonding Program'!$S$12=1,E$3='Bonding Program'!$H$12),'Bonding Program'!$AA$12,0)-IF(E$3&lt;='Bonding Program'!$C$8,IF(AND('Bonding Program'!$K$12&lt;&gt;"",E$3='Bonding Program'!$K$12),'Bonding Program'!$J$12,0)-IF(AND('Bonding Program'!$M$12&lt;&gt;"",E$3='Bonding Program'!$M$12),'Bonding Program'!$L$12,0)-IF(AND('Bonding Program'!$P$12&lt;&gt;"",E$3='Bonding Program'!$P$12),'Bonding Program'!$O$12,0)-IF(AND('Bonding Program'!$R$12&lt;&gt;"",E$3='Bonding Program'!$R$12),'Bonding Program'!$Q$12,0),0)</f>
        <v>0</v>
      </c>
      <c r="F153" s="19" t="n">
        <f aca="false">IF(AND('Bonding Program'!$S$12=1,F$3='Bonding Program'!$H$12),'Bonding Program'!$AA$12,0)-IF(F$3&lt;='Bonding Program'!$C$8,IF(AND('Bonding Program'!$K$12&lt;&gt;"",F$3='Bonding Program'!$K$12),'Bonding Program'!$J$12,0)-IF(AND('Bonding Program'!$M$12&lt;&gt;"",F$3='Bonding Program'!$M$12),'Bonding Program'!$L$12,0)-IF(AND('Bonding Program'!$P$12&lt;&gt;"",F$3='Bonding Program'!$P$12),'Bonding Program'!$O$12,0)-IF(AND('Bonding Program'!$R$12&lt;&gt;"",F$3='Bonding Program'!$R$12),'Bonding Program'!$Q$12,0),0)</f>
        <v>0</v>
      </c>
      <c r="G153" s="19" t="n">
        <f aca="false">IF(AND('Bonding Program'!$S$12=1,G$3='Bonding Program'!$H$12),'Bonding Program'!$AA$12,0)-IF(G$3&lt;='Bonding Program'!$C$8,IF(AND('Bonding Program'!$K$12&lt;&gt;"",G$3='Bonding Program'!$K$12),'Bonding Program'!$J$12,0)-IF(AND('Bonding Program'!$M$12&lt;&gt;"",G$3='Bonding Program'!$M$12),'Bonding Program'!$L$12,0)-IF(AND('Bonding Program'!$P$12&lt;&gt;"",G$3='Bonding Program'!$P$12),'Bonding Program'!$O$12,0)-IF(AND('Bonding Program'!$R$12&lt;&gt;"",G$3='Bonding Program'!$R$12),'Bonding Program'!$Q$12,0),0)</f>
        <v>0</v>
      </c>
      <c r="H153" s="19" t="n">
        <f aca="false">IF(AND('Bonding Program'!$S$12=1,H$3='Bonding Program'!$H$12),'Bonding Program'!$AA$12,0)-IF(H$3&lt;='Bonding Program'!$C$8,IF(AND('Bonding Program'!$K$12&lt;&gt;"",H$3='Bonding Program'!$K$12),'Bonding Program'!$J$12,0)-IF(AND('Bonding Program'!$M$12&lt;&gt;"",H$3='Bonding Program'!$M$12),'Bonding Program'!$L$12,0)-IF(AND('Bonding Program'!$P$12&lt;&gt;"",H$3='Bonding Program'!$P$12),'Bonding Program'!$O$12,0)-IF(AND('Bonding Program'!$R$12&lt;&gt;"",H$3='Bonding Program'!$R$12),'Bonding Program'!$Q$12,0),0)</f>
        <v>0</v>
      </c>
      <c r="I153" s="19" t="n">
        <f aca="false">IF(AND('Bonding Program'!$S$12=1,I$3='Bonding Program'!$H$12),'Bonding Program'!$AA$12,0)-IF(I$3&lt;='Bonding Program'!$C$8,IF(AND('Bonding Program'!$K$12&lt;&gt;"",I$3='Bonding Program'!$K$12),'Bonding Program'!$J$12,0)-IF(AND('Bonding Program'!$M$12&lt;&gt;"",I$3='Bonding Program'!$M$12),'Bonding Program'!$L$12,0)-IF(AND('Bonding Program'!$P$12&lt;&gt;"",I$3='Bonding Program'!$P$12),'Bonding Program'!$O$12,0)-IF(AND('Bonding Program'!$R$12&lt;&gt;"",I$3='Bonding Program'!$R$12),'Bonding Program'!$Q$12,0),0)</f>
        <v>0</v>
      </c>
      <c r="J153" s="19" t="n">
        <f aca="false">IF(AND('Bonding Program'!$S$12=1,J$3='Bonding Program'!$H$12),'Bonding Program'!$AA$12,0)-IF(J$3&lt;='Bonding Program'!$C$8,IF(AND('Bonding Program'!$K$12&lt;&gt;"",J$3='Bonding Program'!$K$12),'Bonding Program'!$J$12,0)-IF(AND('Bonding Program'!$M$12&lt;&gt;"",J$3='Bonding Program'!$M$12),'Bonding Program'!$L$12,0)-IF(AND('Bonding Program'!$P$12&lt;&gt;"",J$3='Bonding Program'!$P$12),'Bonding Program'!$O$12,0)-IF(AND('Bonding Program'!$R$12&lt;&gt;"",J$3='Bonding Program'!$R$12),'Bonding Program'!$Q$12,0),0)</f>
        <v>0</v>
      </c>
      <c r="K153" s="19" t="n">
        <f aca="false">IF(AND('Bonding Program'!$S$12=1,K$3='Bonding Program'!$H$12),'Bonding Program'!$AA$12,0)-IF(K$3&lt;='Bonding Program'!$C$8,IF(AND('Bonding Program'!$K$12&lt;&gt;"",K$3='Bonding Program'!$K$12),'Bonding Program'!$J$12,0)-IF(AND('Bonding Program'!$M$12&lt;&gt;"",K$3='Bonding Program'!$M$12),'Bonding Program'!$L$12,0)-IF(AND('Bonding Program'!$P$12&lt;&gt;"",K$3='Bonding Program'!$P$12),'Bonding Program'!$O$12,0)-IF(AND('Bonding Program'!$R$12&lt;&gt;"",K$3='Bonding Program'!$R$12),'Bonding Program'!$Q$12,0),0)</f>
        <v>0</v>
      </c>
      <c r="L153" s="19" t="n">
        <f aca="false">IF(AND('Bonding Program'!$S$12=1,L$3='Bonding Program'!$H$12),'Bonding Program'!$AA$12,0)-IF(L$3&lt;='Bonding Program'!$C$8,IF(AND('Bonding Program'!$K$12&lt;&gt;"",L$3='Bonding Program'!$K$12),'Bonding Program'!$J$12,0)-IF(AND('Bonding Program'!$M$12&lt;&gt;"",L$3='Bonding Program'!$M$12),'Bonding Program'!$L$12,0)-IF(AND('Bonding Program'!$P$12&lt;&gt;"",L$3='Bonding Program'!$P$12),'Bonding Program'!$O$12,0)-IF(AND('Bonding Program'!$R$12&lt;&gt;"",L$3='Bonding Program'!$R$12),'Bonding Program'!$Q$12,0),0)</f>
        <v>0</v>
      </c>
      <c r="M153" s="19" t="n">
        <f aca="false">IF(AND('Bonding Program'!$S$12=1,M$3='Bonding Program'!$H$12),'Bonding Program'!$AA$12,0)-IF(M$3&lt;='Bonding Program'!$C$8,IF(AND('Bonding Program'!$K$12&lt;&gt;"",M$3='Bonding Program'!$K$12),'Bonding Program'!$J$12,0)-IF(AND('Bonding Program'!$M$12&lt;&gt;"",M$3='Bonding Program'!$M$12),'Bonding Program'!$L$12,0)-IF(AND('Bonding Program'!$P$12&lt;&gt;"",M$3='Bonding Program'!$P$12),'Bonding Program'!$O$12,0)-IF(AND('Bonding Program'!$R$12&lt;&gt;"",M$3='Bonding Program'!$R$12),'Bonding Program'!$Q$12,0),0)</f>
        <v>0</v>
      </c>
      <c r="N153" s="19" t="n">
        <f aca="false">IF(AND('Bonding Program'!$S$12=1,N$3='Bonding Program'!$H$12),'Bonding Program'!$AA$12,0)-IF(N$3&lt;='Bonding Program'!$C$8,IF(AND('Bonding Program'!$K$12&lt;&gt;"",N$3='Bonding Program'!$K$12),'Bonding Program'!$J$12,0)-IF(AND('Bonding Program'!$M$12&lt;&gt;"",N$3='Bonding Program'!$M$12),'Bonding Program'!$L$12,0)-IF(AND('Bonding Program'!$P$12&lt;&gt;"",N$3='Bonding Program'!$P$12),'Bonding Program'!$O$12,0)-IF(AND('Bonding Program'!$R$12&lt;&gt;"",N$3='Bonding Program'!$R$12),'Bonding Program'!$Q$12,0),0)</f>
        <v>0</v>
      </c>
      <c r="O153" s="19" t="n">
        <f aca="false">IF(AND('Bonding Program'!$S$12=1,O$3='Bonding Program'!$H$12),'Bonding Program'!$AA$12,0)-IF(O$3&lt;='Bonding Program'!$C$8,IF(AND('Bonding Program'!$K$12&lt;&gt;"",O$3='Bonding Program'!$K$12),'Bonding Program'!$J$12,0)-IF(AND('Bonding Program'!$M$12&lt;&gt;"",O$3='Bonding Program'!$M$12),'Bonding Program'!$L$12,0)-IF(AND('Bonding Program'!$P$12&lt;&gt;"",O$3='Bonding Program'!$P$12),'Bonding Program'!$O$12,0)-IF(AND('Bonding Program'!$R$12&lt;&gt;"",O$3='Bonding Program'!$R$12),'Bonding Program'!$Q$12,0),0)</f>
        <v>0</v>
      </c>
      <c r="P153" s="19" t="n">
        <f aca="false">IF(AND('Bonding Program'!$S$12=1,P$3='Bonding Program'!$H$12),'Bonding Program'!$AA$12,0)-IF(P$3&lt;='Bonding Program'!$C$8,IF(AND('Bonding Program'!$K$12&lt;&gt;"",P$3='Bonding Program'!$K$12),'Bonding Program'!$J$12,0)-IF(AND('Bonding Program'!$M$12&lt;&gt;"",P$3='Bonding Program'!$M$12),'Bonding Program'!$L$12,0)-IF(AND('Bonding Program'!$P$12&lt;&gt;"",P$3='Bonding Program'!$P$12),'Bonding Program'!$O$12,0)-IF(AND('Bonding Program'!$R$12&lt;&gt;"",P$3='Bonding Program'!$R$12),'Bonding Program'!$Q$12,0),0)</f>
        <v>0</v>
      </c>
      <c r="Q153" s="19" t="n">
        <f aca="false">IF(AND('Bonding Program'!$S$12=1,Q$3='Bonding Program'!$H$12),'Bonding Program'!$AA$12,0)-IF(Q$3&lt;='Bonding Program'!$C$8,IF(AND('Bonding Program'!$K$12&lt;&gt;"",Q$3='Bonding Program'!$K$12),'Bonding Program'!$J$12,0)-IF(AND('Bonding Program'!$M$12&lt;&gt;"",Q$3='Bonding Program'!$M$12),'Bonding Program'!$L$12,0)-IF(AND('Bonding Program'!$P$12&lt;&gt;"",Q$3='Bonding Program'!$P$12),'Bonding Program'!$O$12,0)-IF(AND('Bonding Program'!$R$12&lt;&gt;"",Q$3='Bonding Program'!$R$12),'Bonding Program'!$Q$12,0),0)</f>
        <v>0</v>
      </c>
      <c r="R153" s="19" t="n">
        <f aca="false">IF(AND('Bonding Program'!$S$12=1,R$3='Bonding Program'!$H$12),'Bonding Program'!$AA$12,0)-IF(R$3&lt;='Bonding Program'!$C$8,IF(AND('Bonding Program'!$K$12&lt;&gt;"",R$3='Bonding Program'!$K$12),'Bonding Program'!$J$12,0)-IF(AND('Bonding Program'!$M$12&lt;&gt;"",R$3='Bonding Program'!$M$12),'Bonding Program'!$L$12,0)-IF(AND('Bonding Program'!$P$12&lt;&gt;"",R$3='Bonding Program'!$P$12),'Bonding Program'!$O$12,0)-IF(AND('Bonding Program'!$R$12&lt;&gt;"",R$3='Bonding Program'!$R$12),'Bonding Program'!$Q$12,0),0)</f>
        <v>0</v>
      </c>
      <c r="S153" s="19" t="n">
        <f aca="false">IF(AND('Bonding Program'!$S$12=1,S$3='Bonding Program'!$H$12),'Bonding Program'!$AA$12,0)-IF(S$3&lt;='Bonding Program'!$C$8,IF(AND('Bonding Program'!$K$12&lt;&gt;"",S$3='Bonding Program'!$K$12),'Bonding Program'!$J$12,0)-IF(AND('Bonding Program'!$M$12&lt;&gt;"",S$3='Bonding Program'!$M$12),'Bonding Program'!$L$12,0)-IF(AND('Bonding Program'!$P$12&lt;&gt;"",S$3='Bonding Program'!$P$12),'Bonding Program'!$O$12,0)-IF(AND('Bonding Program'!$R$12&lt;&gt;"",S$3='Bonding Program'!$R$12),'Bonding Program'!$Q$12,0),0)</f>
        <v>0</v>
      </c>
      <c r="T153" s="19" t="n">
        <f aca="false">IF(AND('Bonding Program'!$S$12=1,T$3='Bonding Program'!$H$12),'Bonding Program'!$AA$12,0)-IF(T$3&lt;='Bonding Program'!$C$8,IF(AND('Bonding Program'!$K$12&lt;&gt;"",T$3='Bonding Program'!$K$12),'Bonding Program'!$J$12,0)-IF(AND('Bonding Program'!$M$12&lt;&gt;"",T$3='Bonding Program'!$M$12),'Bonding Program'!$L$12,0)-IF(AND('Bonding Program'!$P$12&lt;&gt;"",T$3='Bonding Program'!$P$12),'Bonding Program'!$O$12,0)-IF(AND('Bonding Program'!$R$12&lt;&gt;"",T$3='Bonding Program'!$R$12),'Bonding Program'!$Q$12,0),0)</f>
        <v>0</v>
      </c>
      <c r="U153" s="19" t="n">
        <f aca="false">IF(AND('Bonding Program'!$S$12=1,U$3='Bonding Program'!$H$12),'Bonding Program'!$AA$12,0)-IF(U$3&lt;='Bonding Program'!$C$8,IF(AND('Bonding Program'!$K$12&lt;&gt;"",U$3='Bonding Program'!$K$12),'Bonding Program'!$J$12,0)-IF(AND('Bonding Program'!$M$12&lt;&gt;"",U$3='Bonding Program'!$M$12),'Bonding Program'!$L$12,0)-IF(AND('Bonding Program'!$P$12&lt;&gt;"",U$3='Bonding Program'!$P$12),'Bonding Program'!$O$12,0)-IF(AND('Bonding Program'!$R$12&lt;&gt;"",U$3='Bonding Program'!$R$12),'Bonding Program'!$Q$12,0),0)</f>
        <v>0</v>
      </c>
      <c r="V153" s="19" t="n">
        <f aca="false">IF(AND('Bonding Program'!$S$12=1,V$3='Bonding Program'!$H$12),'Bonding Program'!$AA$12,0)-IF(V$3&lt;='Bonding Program'!$C$8,IF(AND('Bonding Program'!$K$12&lt;&gt;"",V$3='Bonding Program'!$K$12),'Bonding Program'!$J$12,0)-IF(AND('Bonding Program'!$M$12&lt;&gt;"",V$3='Bonding Program'!$M$12),'Bonding Program'!$L$12,0)-IF(AND('Bonding Program'!$P$12&lt;&gt;"",V$3='Bonding Program'!$P$12),'Bonding Program'!$O$12,0)-IF(AND('Bonding Program'!$R$12&lt;&gt;"",V$3='Bonding Program'!$R$12),'Bonding Program'!$Q$12,0),0)</f>
        <v>0</v>
      </c>
      <c r="W153" s="19" t="n">
        <f aca="false">IF(AND('Bonding Program'!$S$12=1,W$3='Bonding Program'!$H$12),'Bonding Program'!$AA$12,0)-IF(W$3&lt;='Bonding Program'!$C$8,IF(AND('Bonding Program'!$K$12&lt;&gt;"",W$3='Bonding Program'!$K$12),'Bonding Program'!$J$12,0)-IF(AND('Bonding Program'!$M$12&lt;&gt;"",W$3='Bonding Program'!$M$12),'Bonding Program'!$L$12,0)-IF(AND('Bonding Program'!$P$12&lt;&gt;"",W$3='Bonding Program'!$P$12),'Bonding Program'!$O$12,0)-IF(AND('Bonding Program'!$R$12&lt;&gt;"",W$3='Bonding Program'!$R$12),'Bonding Program'!$Q$12,0),0)</f>
        <v>0</v>
      </c>
      <c r="X153" s="19" t="n">
        <f aca="false">IF(AND('Bonding Program'!$S$12=1,X$3='Bonding Program'!$H$12),'Bonding Program'!$AA$12,0)-IF(X$3&lt;='Bonding Program'!$C$8,IF(AND('Bonding Program'!$K$12&lt;&gt;"",X$3='Bonding Program'!$K$12),'Bonding Program'!$J$12,0)-IF(AND('Bonding Program'!$M$12&lt;&gt;"",X$3='Bonding Program'!$M$12),'Bonding Program'!$L$12,0)-IF(AND('Bonding Program'!$P$12&lt;&gt;"",X$3='Bonding Program'!$P$12),'Bonding Program'!$O$12,0)-IF(AND('Bonding Program'!$R$12&lt;&gt;"",X$3='Bonding Program'!$R$12),'Bonding Program'!$Q$12,0),0)</f>
        <v>0</v>
      </c>
      <c r="Y153" s="19" t="n">
        <f aca="false">IF(AND('Bonding Program'!$S$12=1,Y$3='Bonding Program'!$H$12),'Bonding Program'!$AA$12,0)-IF(Y$3&lt;='Bonding Program'!$C$8,IF(AND('Bonding Program'!$K$12&lt;&gt;"",Y$3='Bonding Program'!$K$12),'Bonding Program'!$J$12,0)-IF(AND('Bonding Program'!$M$12&lt;&gt;"",Y$3='Bonding Program'!$M$12),'Bonding Program'!$L$12,0)-IF(AND('Bonding Program'!$P$12&lt;&gt;"",Y$3='Bonding Program'!$P$12),'Bonding Program'!$O$12,0)-IF(AND('Bonding Program'!$R$12&lt;&gt;"",Y$3='Bonding Program'!$R$12),'Bonding Program'!$Q$12,0),0)</f>
        <v>0</v>
      </c>
      <c r="Z153" s="19" t="n">
        <f aca="false">IF(AND('Bonding Program'!$S$12=1,Z$3='Bonding Program'!$H$12),'Bonding Program'!$AA$12,0)-IF(Z$3&lt;='Bonding Program'!$C$8,IF(AND('Bonding Program'!$K$12&lt;&gt;"",Z$3='Bonding Program'!$K$12),'Bonding Program'!$J$12,0)-IF(AND('Bonding Program'!$M$12&lt;&gt;"",Z$3='Bonding Program'!$M$12),'Bonding Program'!$L$12,0)-IF(AND('Bonding Program'!$P$12&lt;&gt;"",Z$3='Bonding Program'!$P$12),'Bonding Program'!$O$12,0)-IF(AND('Bonding Program'!$R$12&lt;&gt;"",Z$3='Bonding Program'!$R$12),'Bonding Program'!$Q$12,0),0)</f>
        <v>0</v>
      </c>
      <c r="AA153" s="19" t="n">
        <f aca="false">IF(AND('Bonding Program'!$S$12=1,AA$3='Bonding Program'!$H$12),'Bonding Program'!$AA$12,0)-IF(AA$3&lt;='Bonding Program'!$C$8,IF(AND('Bonding Program'!$K$12&lt;&gt;"",AA$3='Bonding Program'!$K$12),'Bonding Program'!$J$12,0)-IF(AND('Bonding Program'!$M$12&lt;&gt;"",AA$3='Bonding Program'!$M$12),'Bonding Program'!$L$12,0)-IF(AND('Bonding Program'!$P$12&lt;&gt;"",AA$3='Bonding Program'!$P$12),'Bonding Program'!$O$12,0)-IF(AND('Bonding Program'!$R$12&lt;&gt;"",AA$3='Bonding Program'!$R$12),'Bonding Program'!$Q$12,0),0)</f>
        <v>0</v>
      </c>
      <c r="AB153" s="19" t="n">
        <f aca="false">IF(AND('Bonding Program'!$S$12=1,AB$3='Bonding Program'!$H$12),'Bonding Program'!$AA$12,0)-IF(AB$3&lt;='Bonding Program'!$C$8,IF(AND('Bonding Program'!$K$12&lt;&gt;"",AB$3='Bonding Program'!$K$12),'Bonding Program'!$J$12,0)-IF(AND('Bonding Program'!$M$12&lt;&gt;"",AB$3='Bonding Program'!$M$12),'Bonding Program'!$L$12,0)-IF(AND('Bonding Program'!$P$12&lt;&gt;"",AB$3='Bonding Program'!$P$12),'Bonding Program'!$O$12,0)-IF(AND('Bonding Program'!$R$12&lt;&gt;"",AB$3='Bonding Program'!$R$12),'Bonding Program'!$Q$12,0),0)</f>
        <v>0</v>
      </c>
      <c r="AC153" s="19" t="n">
        <f aca="false">IF(AND('Bonding Program'!$S$12=1,AC$3='Bonding Program'!$H$12),'Bonding Program'!$AA$12,0)-IF(AC$3&lt;='Bonding Program'!$C$8,IF(AND('Bonding Program'!$K$12&lt;&gt;"",AC$3='Bonding Program'!$K$12),'Bonding Program'!$J$12,0)-IF(AND('Bonding Program'!$M$12&lt;&gt;"",AC$3='Bonding Program'!$M$12),'Bonding Program'!$L$12,0)-IF(AND('Bonding Program'!$P$12&lt;&gt;"",AC$3='Bonding Program'!$P$12),'Bonding Program'!$O$12,0)-IF(AND('Bonding Program'!$R$12&lt;&gt;"",AC$3='Bonding Program'!$R$12),'Bonding Program'!$Q$12,0),0)</f>
        <v>0</v>
      </c>
      <c r="AD153" s="19" t="n">
        <f aca="false">IF(AND('Bonding Program'!$S$12=1,AD$3='Bonding Program'!$H$12),'Bonding Program'!$AA$12,0)-IF(AD$3&lt;='Bonding Program'!$C$8,IF(AND('Bonding Program'!$K$12&lt;&gt;"",AD$3='Bonding Program'!$K$12),'Bonding Program'!$J$12,0)-IF(AND('Bonding Program'!$M$12&lt;&gt;"",AD$3='Bonding Program'!$M$12),'Bonding Program'!$L$12,0)-IF(AND('Bonding Program'!$P$12&lt;&gt;"",AD$3='Bonding Program'!$P$12),'Bonding Program'!$O$12,0)-IF(AND('Bonding Program'!$R$12&lt;&gt;"",AD$3='Bonding Program'!$R$12),'Bonding Program'!$Q$12,0),0)</f>
        <v>0</v>
      </c>
      <c r="AE153" s="19" t="n">
        <f aca="false">IF(AND('Bonding Program'!$S$12=1,AE$3='Bonding Program'!$H$12),'Bonding Program'!$AA$12,0)-IF(AE$3&lt;='Bonding Program'!$C$8,IF(AND('Bonding Program'!$K$12&lt;&gt;"",AE$3='Bonding Program'!$K$12),'Bonding Program'!$J$12,0)-IF(AND('Bonding Program'!$M$12&lt;&gt;"",AE$3='Bonding Program'!$M$12),'Bonding Program'!$L$12,0)-IF(AND('Bonding Program'!$P$12&lt;&gt;"",AE$3='Bonding Program'!$P$12),'Bonding Program'!$O$12,0)-IF(AND('Bonding Program'!$R$12&lt;&gt;"",AE$3='Bonding Program'!$R$12),'Bonding Program'!$Q$12,0),0)</f>
        <v>0</v>
      </c>
      <c r="AF153" s="19" t="n">
        <f aca="false">IF(AND('Bonding Program'!$S$12=1,AF$3='Bonding Program'!$H$12),'Bonding Program'!$AA$12,0)-IF(AF$3&lt;='Bonding Program'!$C$8,IF(AND('Bonding Program'!$K$12&lt;&gt;"",AF$3='Bonding Program'!$K$12),'Bonding Program'!$J$12,0)-IF(AND('Bonding Program'!$M$12&lt;&gt;"",AF$3='Bonding Program'!$M$12),'Bonding Program'!$L$12,0)-IF(AND('Bonding Program'!$P$12&lt;&gt;"",AF$3='Bonding Program'!$P$12),'Bonding Program'!$O$12,0)-IF(AND('Bonding Program'!$R$12&lt;&gt;"",AF$3='Bonding Program'!$R$12),'Bonding Program'!$Q$12,0),0)</f>
        <v>0</v>
      </c>
      <c r="AG153" s="19" t="n">
        <f aca="false">IF(AND('Bonding Program'!$S$12=1,AG$3='Bonding Program'!$H$12),'Bonding Program'!$AA$12,0)-IF(AG$3&lt;='Bonding Program'!$C$8,IF(AND('Bonding Program'!$K$12&lt;&gt;"",AG$3='Bonding Program'!$K$12),'Bonding Program'!$J$12,0)-IF(AND('Bonding Program'!$M$12&lt;&gt;"",AG$3='Bonding Program'!$M$12),'Bonding Program'!$L$12,0)-IF(AND('Bonding Program'!$P$12&lt;&gt;"",AG$3='Bonding Program'!$P$12),'Bonding Program'!$O$12,0)-IF(AND('Bonding Program'!$R$12&lt;&gt;"",AG$3='Bonding Program'!$R$12),'Bonding Program'!$Q$12,0),0)</f>
        <v>0</v>
      </c>
      <c r="AH153" s="19" t="n">
        <f aca="false">IF(AND('Bonding Program'!$S$12=1,AH$3='Bonding Program'!$H$12),'Bonding Program'!$AA$12,0)-IF(AH$3&lt;='Bonding Program'!$C$8,IF(AND('Bonding Program'!$K$12&lt;&gt;"",AH$3='Bonding Program'!$K$12),'Bonding Program'!$J$12,0)-IF(AND('Bonding Program'!$M$12&lt;&gt;"",AH$3='Bonding Program'!$M$12),'Bonding Program'!$L$12,0)-IF(AND('Bonding Program'!$P$12&lt;&gt;"",AH$3='Bonding Program'!$P$12),'Bonding Program'!$O$12,0)-IF(AND('Bonding Program'!$R$12&lt;&gt;"",AH$3='Bonding Program'!$R$12),'Bonding Program'!$Q$12,0),0)</f>
        <v>0</v>
      </c>
      <c r="AI153" s="19" t="n">
        <f aca="false">IF(AND('Bonding Program'!$S$12=1,AI$3='Bonding Program'!$H$12),'Bonding Program'!$AA$12,0)-IF(AI$3&lt;='Bonding Program'!$C$8,IF(AND('Bonding Program'!$K$12&lt;&gt;"",AI$3='Bonding Program'!$K$12),'Bonding Program'!$J$12,0)-IF(AND('Bonding Program'!$M$12&lt;&gt;"",AI$3='Bonding Program'!$M$12),'Bonding Program'!$L$12,0)-IF(AND('Bonding Program'!$P$12&lt;&gt;"",AI$3='Bonding Program'!$P$12),'Bonding Program'!$O$12,0)-IF(AND('Bonding Program'!$R$12&lt;&gt;"",AI$3='Bonding Program'!$R$12),'Bonding Program'!$Q$12,0),0)</f>
        <v>0</v>
      </c>
      <c r="AJ153" s="19" t="n">
        <f aca="false">IF(AND('Bonding Program'!$S$12=1,AJ$3='Bonding Program'!$H$12),'Bonding Program'!$AA$12,0)-IF(AJ$3&lt;='Bonding Program'!$C$8,IF(AND('Bonding Program'!$K$12&lt;&gt;"",AJ$3='Bonding Program'!$K$12),'Bonding Program'!$J$12,0)-IF(AND('Bonding Program'!$M$12&lt;&gt;"",AJ$3='Bonding Program'!$M$12),'Bonding Program'!$L$12,0)-IF(AND('Bonding Program'!$P$12&lt;&gt;"",AJ$3='Bonding Program'!$P$12),'Bonding Program'!$O$12,0)-IF(AND('Bonding Program'!$R$12&lt;&gt;"",AJ$3='Bonding Program'!$R$12),'Bonding Program'!$Q$12,0),0)</f>
        <v>0</v>
      </c>
      <c r="AK153" s="19" t="n">
        <f aca="false">IF(AND('Bonding Program'!$S$12=1,AK$3='Bonding Program'!$H$12),'Bonding Program'!$AA$12,0)-IF(AK$3&lt;='Bonding Program'!$C$8,IF(AND('Bonding Program'!$K$12&lt;&gt;"",AK$3='Bonding Program'!$K$12),'Bonding Program'!$J$12,0)-IF(AND('Bonding Program'!$M$12&lt;&gt;"",AK$3='Bonding Program'!$M$12),'Bonding Program'!$L$12,0)-IF(AND('Bonding Program'!$P$12&lt;&gt;"",AK$3='Bonding Program'!$P$12),'Bonding Program'!$O$12,0)-IF(AND('Bonding Program'!$R$12&lt;&gt;"",AK$3='Bonding Program'!$R$12),'Bonding Program'!$Q$12,0),0)</f>
        <v>0</v>
      </c>
      <c r="AL153" s="19" t="n">
        <f aca="false">IF(AND('Bonding Program'!$S$12=1,AL$3='Bonding Program'!$H$12),'Bonding Program'!$AA$12,0)-IF(AL$3&lt;='Bonding Program'!$C$8,IF(AND('Bonding Program'!$K$12&lt;&gt;"",AL$3='Bonding Program'!$K$12),'Bonding Program'!$J$12,0)-IF(AND('Bonding Program'!$M$12&lt;&gt;"",AL$3='Bonding Program'!$M$12),'Bonding Program'!$L$12,0)-IF(AND('Bonding Program'!$P$12&lt;&gt;"",AL$3='Bonding Program'!$P$12),'Bonding Program'!$O$12,0)-IF(AND('Bonding Program'!$R$12&lt;&gt;"",AL$3='Bonding Program'!$R$12),'Bonding Program'!$Q$12,0),0)</f>
        <v>0</v>
      </c>
      <c r="AM153" s="19" t="n">
        <f aca="false">IF(AND('Bonding Program'!$S$12=1,AM$3='Bonding Program'!$H$12),'Bonding Program'!$AA$12,0)-IF(AM$3&lt;='Bonding Program'!$C$8,IF(AND('Bonding Program'!$K$12&lt;&gt;"",AM$3='Bonding Program'!$K$12),'Bonding Program'!$J$12,0)-IF(AND('Bonding Program'!$M$12&lt;&gt;"",AM$3='Bonding Program'!$M$12),'Bonding Program'!$L$12,0)-IF(AND('Bonding Program'!$P$12&lt;&gt;"",AM$3='Bonding Program'!$P$12),'Bonding Program'!$O$12,0)-IF(AND('Bonding Program'!$R$12&lt;&gt;"",AM$3='Bonding Program'!$R$12),'Bonding Program'!$Q$12,0),0)</f>
        <v>0</v>
      </c>
      <c r="AN153" s="19" t="n">
        <f aca="false">IF(AND('Bonding Program'!$S$12=1,AN$3='Bonding Program'!$H$12),'Bonding Program'!$AA$12,0)-IF(AN$3&lt;='Bonding Program'!$C$8,IF(AND('Bonding Program'!$K$12&lt;&gt;"",AN$3='Bonding Program'!$K$12),'Bonding Program'!$J$12,0)-IF(AND('Bonding Program'!$M$12&lt;&gt;"",AN$3='Bonding Program'!$M$12),'Bonding Program'!$L$12,0)-IF(AND('Bonding Program'!$P$12&lt;&gt;"",AN$3='Bonding Program'!$P$12),'Bonding Program'!$O$12,0)-IF(AND('Bonding Program'!$R$12&lt;&gt;"",AN$3='Bonding Program'!$R$12),'Bonding Program'!$Q$12,0),0)</f>
        <v>0</v>
      </c>
      <c r="AO153" s="19" t="n">
        <f aca="false">IF(AND('Bonding Program'!$S$12=1,AO$3='Bonding Program'!$H$12),'Bonding Program'!$AA$12,0)-IF(AO$3&lt;='Bonding Program'!$C$8,IF(AND('Bonding Program'!$K$12&lt;&gt;"",AO$3='Bonding Program'!$K$12),'Bonding Program'!$J$12,0)-IF(AND('Bonding Program'!$M$12&lt;&gt;"",AO$3='Bonding Program'!$M$12),'Bonding Program'!$L$12,0)-IF(AND('Bonding Program'!$P$12&lt;&gt;"",AO$3='Bonding Program'!$P$12),'Bonding Program'!$O$12,0)-IF(AND('Bonding Program'!$R$12&lt;&gt;"",AO$3='Bonding Program'!$R$12),'Bonding Program'!$Q$12,0),0)</f>
        <v>0</v>
      </c>
      <c r="AP153" s="19" t="n">
        <f aca="false">IF(AND('Bonding Program'!$S$12=1,AP$3='Bonding Program'!$H$12),'Bonding Program'!$AA$12,0)-IF(AP$3&lt;='Bonding Program'!$C$8,IF(AND('Bonding Program'!$K$12&lt;&gt;"",AP$3='Bonding Program'!$K$12),'Bonding Program'!$J$12,0)-IF(AND('Bonding Program'!$M$12&lt;&gt;"",AP$3='Bonding Program'!$M$12),'Bonding Program'!$L$12,0)-IF(AND('Bonding Program'!$P$12&lt;&gt;"",AP$3='Bonding Program'!$P$12),'Bonding Program'!$O$12,0)-IF(AND('Bonding Program'!$R$12&lt;&gt;"",AP$3='Bonding Program'!$R$12),'Bonding Program'!$Q$12,0),0)</f>
        <v>0</v>
      </c>
      <c r="AQ153" s="19" t="n">
        <f aca="false">IF(AND('Bonding Program'!$S$12=1,AQ$3='Bonding Program'!$H$12),'Bonding Program'!$AA$12,0)-IF(AQ$3&lt;='Bonding Program'!$C$8,IF(AND('Bonding Program'!$K$12&lt;&gt;"",AQ$3='Bonding Program'!$K$12),'Bonding Program'!$J$12,0)-IF(AND('Bonding Program'!$M$12&lt;&gt;"",AQ$3='Bonding Program'!$M$12),'Bonding Program'!$L$12,0)-IF(AND('Bonding Program'!$P$12&lt;&gt;"",AQ$3='Bonding Program'!$P$12),'Bonding Program'!$O$12,0)-IF(AND('Bonding Program'!$R$12&lt;&gt;"",AQ$3='Bonding Program'!$R$12),'Bonding Program'!$Q$12,0),0)</f>
        <v>0</v>
      </c>
      <c r="AR153" s="19" t="n">
        <f aca="false">IF(AND('Bonding Program'!$S$12=1,AR$3='Bonding Program'!$H$12),'Bonding Program'!$AA$12,0)-IF(AR$3&lt;='Bonding Program'!$C$8,IF(AND('Bonding Program'!$K$12&lt;&gt;"",AR$3='Bonding Program'!$K$12),'Bonding Program'!$J$12,0)-IF(AND('Bonding Program'!$M$12&lt;&gt;"",AR$3='Bonding Program'!$M$12),'Bonding Program'!$L$12,0)-IF(AND('Bonding Program'!$P$12&lt;&gt;"",AR$3='Bonding Program'!$P$12),'Bonding Program'!$O$12,0)-IF(AND('Bonding Program'!$R$12&lt;&gt;"",AR$3='Bonding Program'!$R$12),'Bonding Program'!$Q$12,0),0)</f>
        <v>0</v>
      </c>
      <c r="AS153" s="19" t="n">
        <f aca="false">IF(AND('Bonding Program'!$S$12=1,AS$3='Bonding Program'!$H$12),'Bonding Program'!$AA$12,0)-IF(AS$3&lt;='Bonding Program'!$C$8,IF(AND('Bonding Program'!$K$12&lt;&gt;"",AS$3='Bonding Program'!$K$12),'Bonding Program'!$J$12,0)-IF(AND('Bonding Program'!$M$12&lt;&gt;"",AS$3='Bonding Program'!$M$12),'Bonding Program'!$L$12,0)-IF(AND('Bonding Program'!$P$12&lt;&gt;"",AS$3='Bonding Program'!$P$12),'Bonding Program'!$O$12,0)-IF(AND('Bonding Program'!$R$12&lt;&gt;"",AS$3='Bonding Program'!$R$12),'Bonding Program'!$Q$12,0),0)</f>
        <v>0</v>
      </c>
      <c r="AT153" s="19" t="n">
        <f aca="false">IF(AND('Bonding Program'!$S$12=1,AT$3='Bonding Program'!$H$12),'Bonding Program'!$AA$12,0)-IF(AT$3&lt;='Bonding Program'!$C$8,IF(AND('Bonding Program'!$K$12&lt;&gt;"",AT$3='Bonding Program'!$K$12),'Bonding Program'!$J$12,0)-IF(AND('Bonding Program'!$M$12&lt;&gt;"",AT$3='Bonding Program'!$M$12),'Bonding Program'!$L$12,0)-IF(AND('Bonding Program'!$P$12&lt;&gt;"",AT$3='Bonding Program'!$P$12),'Bonding Program'!$O$12,0)-IF(AND('Bonding Program'!$R$12&lt;&gt;"",AT$3='Bonding Program'!$R$12),'Bonding Program'!$Q$12,0),0)</f>
        <v>0</v>
      </c>
      <c r="AU153" s="19" t="n">
        <f aca="false">IF(AND('Bonding Program'!$S$12=1,AU$3='Bonding Program'!$H$12),'Bonding Program'!$AA$12,0)-IF(AU$3&lt;='Bonding Program'!$C$8,IF(AND('Bonding Program'!$K$12&lt;&gt;"",AU$3='Bonding Program'!$K$12),'Bonding Program'!$J$12,0)-IF(AND('Bonding Program'!$M$12&lt;&gt;"",AU$3='Bonding Program'!$M$12),'Bonding Program'!$L$12,0)-IF(AND('Bonding Program'!$P$12&lt;&gt;"",AU$3='Bonding Program'!$P$12),'Bonding Program'!$O$12,0)-IF(AND('Bonding Program'!$R$12&lt;&gt;"",AU$3='Bonding Program'!$R$12),'Bonding Program'!$Q$12,0),0)</f>
        <v>0</v>
      </c>
      <c r="AV153" s="19" t="n">
        <f aca="false">IF(AND('Bonding Program'!$S$12=1,AV$3='Bonding Program'!$H$12),'Bonding Program'!$AA$12,0)-IF(AV$3&lt;='Bonding Program'!$C$8,IF(AND('Bonding Program'!$K$12&lt;&gt;"",AV$3='Bonding Program'!$K$12),'Bonding Program'!$J$12,0)-IF(AND('Bonding Program'!$M$12&lt;&gt;"",AV$3='Bonding Program'!$M$12),'Bonding Program'!$L$12,0)-IF(AND('Bonding Program'!$P$12&lt;&gt;"",AV$3='Bonding Program'!$P$12),'Bonding Program'!$O$12,0)-IF(AND('Bonding Program'!$R$12&lt;&gt;"",AV$3='Bonding Program'!$R$12),'Bonding Program'!$Q$12,0),0)</f>
        <v>0</v>
      </c>
      <c r="AW153" s="19" t="n">
        <f aca="false">IF(AND('Bonding Program'!$S$12=1,AW$3='Bonding Program'!$H$12),'Bonding Program'!$AA$12,0)-IF(AW$3&lt;='Bonding Program'!$C$8,IF(AND('Bonding Program'!$K$12&lt;&gt;"",AW$3='Bonding Program'!$K$12),'Bonding Program'!$J$12,0)-IF(AND('Bonding Program'!$M$12&lt;&gt;"",AW$3='Bonding Program'!$M$12),'Bonding Program'!$L$12,0)-IF(AND('Bonding Program'!$P$12&lt;&gt;"",AW$3='Bonding Program'!$P$12),'Bonding Program'!$O$12,0)-IF(AND('Bonding Program'!$R$12&lt;&gt;"",AW$3='Bonding Program'!$R$12),'Bonding Program'!$Q$12,0),0)</f>
        <v>0</v>
      </c>
      <c r="AX153" s="19" t="n">
        <f aca="false">IF(AND('Bonding Program'!$S$12=1,AX$3='Bonding Program'!$H$12),'Bonding Program'!$AA$12,0)-IF(AX$3&lt;='Bonding Program'!$C$8,IF(AND('Bonding Program'!$K$12&lt;&gt;"",AX$3='Bonding Program'!$K$12),'Bonding Program'!$J$12,0)-IF(AND('Bonding Program'!$M$12&lt;&gt;"",AX$3='Bonding Program'!$M$12),'Bonding Program'!$L$12,0)-IF(AND('Bonding Program'!$P$12&lt;&gt;"",AX$3='Bonding Program'!$P$12),'Bonding Program'!$O$12,0)-IF(AND('Bonding Program'!$R$12&lt;&gt;"",AX$3='Bonding Program'!$R$12),'Bonding Program'!$Q$12,0),0)</f>
        <v>0</v>
      </c>
      <c r="AY153" s="19" t="n">
        <f aca="false">IF(AND('Bonding Program'!$S$12=1,AY$3='Bonding Program'!$H$12),'Bonding Program'!$AA$12,0)-IF(AY$3&lt;='Bonding Program'!$C$8,IF(AND('Bonding Program'!$K$12&lt;&gt;"",AY$3='Bonding Program'!$K$12),'Bonding Program'!$J$12,0)-IF(AND('Bonding Program'!$M$12&lt;&gt;"",AY$3='Bonding Program'!$M$12),'Bonding Program'!$L$12,0)-IF(AND('Bonding Program'!$P$12&lt;&gt;"",AY$3='Bonding Program'!$P$12),'Bonding Program'!$O$12,0)-IF(AND('Bonding Program'!$R$12&lt;&gt;"",AY$3='Bonding Program'!$R$12),'Bonding Program'!$Q$12,0),0)</f>
        <v>0</v>
      </c>
      <c r="AZ153" s="19" t="n">
        <f aca="false">IF(AND('Bonding Program'!$S$12=1,AZ$3='Bonding Program'!$H$12),'Bonding Program'!$AA$12,0)-IF(AZ$3&lt;='Bonding Program'!$C$8,IF(AND('Bonding Program'!$K$12&lt;&gt;"",AZ$3='Bonding Program'!$K$12),'Bonding Program'!$J$12,0)-IF(AND('Bonding Program'!$M$12&lt;&gt;"",AZ$3='Bonding Program'!$M$12),'Bonding Program'!$L$12,0)-IF(AND('Bonding Program'!$P$12&lt;&gt;"",AZ$3='Bonding Program'!$P$12),'Bonding Program'!$O$12,0)-IF(AND('Bonding Program'!$R$12&lt;&gt;"",AZ$3='Bonding Program'!$R$12),'Bonding Program'!$Q$12,0),0)</f>
        <v>0</v>
      </c>
      <c r="BA153" s="19" t="n">
        <f aca="false">IF(AND('Bonding Program'!$S$12=1,BA$3='Bonding Program'!$H$12),'Bonding Program'!$AA$12,0)-IF(BA$3&lt;='Bonding Program'!$C$8,IF(AND('Bonding Program'!$K$12&lt;&gt;"",BA$3='Bonding Program'!$K$12),'Bonding Program'!$J$12,0)-IF(AND('Bonding Program'!$M$12&lt;&gt;"",BA$3='Bonding Program'!$M$12),'Bonding Program'!$L$12,0)-IF(AND('Bonding Program'!$P$12&lt;&gt;"",BA$3='Bonding Program'!$P$12),'Bonding Program'!$O$12,0)-IF(AND('Bonding Program'!$R$12&lt;&gt;"",BA$3='Bonding Program'!$R$12),'Bonding Program'!$Q$12,0),0)</f>
        <v>0</v>
      </c>
      <c r="BB153" s="19" t="n">
        <f aca="false">IF(AND('Bonding Program'!$S$12=1,BB$3='Bonding Program'!$H$12),'Bonding Program'!$AA$12,0)-IF(BB$3&lt;='Bonding Program'!$C$8,IF(AND('Bonding Program'!$K$12&lt;&gt;"",BB$3='Bonding Program'!$K$12),'Bonding Program'!$J$12,0)-IF(AND('Bonding Program'!$M$12&lt;&gt;"",BB$3='Bonding Program'!$M$12),'Bonding Program'!$L$12,0)-IF(AND('Bonding Program'!$P$12&lt;&gt;"",BB$3='Bonding Program'!$P$12),'Bonding Program'!$O$12,0)-IF(AND('Bonding Program'!$R$12&lt;&gt;"",BB$3='Bonding Program'!$R$12),'Bonding Program'!$Q$12,0),0)</f>
        <v>0</v>
      </c>
      <c r="BC153" s="19" t="n">
        <f aca="false">IF(AND('Bonding Program'!$S$12=1,BC$3='Bonding Program'!$H$12),'Bonding Program'!$AA$12,0)-IF(BC$3&lt;='Bonding Program'!$C$8,IF(AND('Bonding Program'!$K$12&lt;&gt;"",BC$3='Bonding Program'!$K$12),'Bonding Program'!$J$12,0)-IF(AND('Bonding Program'!$M$12&lt;&gt;"",BC$3='Bonding Program'!$M$12),'Bonding Program'!$L$12,0)-IF(AND('Bonding Program'!$P$12&lt;&gt;"",BC$3='Bonding Program'!$P$12),'Bonding Program'!$O$12,0)-IF(AND('Bonding Program'!$R$12&lt;&gt;"",BC$3='Bonding Program'!$R$12),'Bonding Program'!$Q$12,0),0)</f>
        <v>0</v>
      </c>
      <c r="BD153" s="19" t="n">
        <f aca="false">IF(AND('Bonding Program'!$S$12=1,BD$3='Bonding Program'!$H$12),'Bonding Program'!$AA$12,0)-IF(BD$3&lt;='Bonding Program'!$C$8,IF(AND('Bonding Program'!$K$12&lt;&gt;"",BD$3='Bonding Program'!$K$12),'Bonding Program'!$J$12,0)-IF(AND('Bonding Program'!$M$12&lt;&gt;"",BD$3='Bonding Program'!$M$12),'Bonding Program'!$L$12,0)-IF(AND('Bonding Program'!$P$12&lt;&gt;"",BD$3='Bonding Program'!$P$12),'Bonding Program'!$O$12,0)-IF(AND('Bonding Program'!$R$12&lt;&gt;"",BD$3='Bonding Program'!$R$12),'Bonding Program'!$Q$12,0),0)</f>
        <v>0</v>
      </c>
      <c r="BE153" s="19" t="n">
        <f aca="false">IF(AND('Bonding Program'!$S$12=1,BE$3='Bonding Program'!$H$12),'Bonding Program'!$AA$12,0)-IF(BE$3&lt;='Bonding Program'!$C$8,IF(AND('Bonding Program'!$K$12&lt;&gt;"",BE$3='Bonding Program'!$K$12),'Bonding Program'!$J$12,0)-IF(AND('Bonding Program'!$M$12&lt;&gt;"",BE$3='Bonding Program'!$M$12),'Bonding Program'!$L$12,0)-IF(AND('Bonding Program'!$P$12&lt;&gt;"",BE$3='Bonding Program'!$P$12),'Bonding Program'!$O$12,0)-IF(AND('Bonding Program'!$R$12&lt;&gt;"",BE$3='Bonding Program'!$R$12),'Bonding Program'!$Q$12,0),0)</f>
        <v>0</v>
      </c>
      <c r="BF153" s="19" t="n">
        <f aca="false">IF(AND('Bonding Program'!$S$12=1,BF$3='Bonding Program'!$H$12),'Bonding Program'!$AA$12,0)-IF(BF$3&lt;='Bonding Program'!$C$8,IF(AND('Bonding Program'!$K$12&lt;&gt;"",BF$3='Bonding Program'!$K$12),'Bonding Program'!$J$12,0)-IF(AND('Bonding Program'!$M$12&lt;&gt;"",BF$3='Bonding Program'!$M$12),'Bonding Program'!$L$12,0)-IF(AND('Bonding Program'!$P$12&lt;&gt;"",BF$3='Bonding Program'!$P$12),'Bonding Program'!$O$12,0)-IF(AND('Bonding Program'!$R$12&lt;&gt;"",BF$3='Bonding Program'!$R$12),'Bonding Program'!$Q$12,0),0)</f>
        <v>0</v>
      </c>
      <c r="BG153" s="19" t="n">
        <f aca="false">IF(AND('Bonding Program'!$S$12=1,BG$3='Bonding Program'!$H$12),'Bonding Program'!$AA$12,0)-IF(BG$3&lt;='Bonding Program'!$C$8,IF(AND('Bonding Program'!$K$12&lt;&gt;"",BG$3='Bonding Program'!$K$12),'Bonding Program'!$J$12,0)-IF(AND('Bonding Program'!$M$12&lt;&gt;"",BG$3='Bonding Program'!$M$12),'Bonding Program'!$L$12,0)-IF(AND('Bonding Program'!$P$12&lt;&gt;"",BG$3='Bonding Program'!$P$12),'Bonding Program'!$O$12,0)-IF(AND('Bonding Program'!$R$12&lt;&gt;"",BG$3='Bonding Program'!$R$12),'Bonding Program'!$Q$12,0),0)</f>
        <v>0</v>
      </c>
      <c r="BH153" s="19" t="n">
        <f aca="false">IF(AND('Bonding Program'!$S$12=1,BH$3='Bonding Program'!$H$12),'Bonding Program'!$AA$12,0)-IF(BH$3&lt;='Bonding Program'!$C$8,IF(AND('Bonding Program'!$K$12&lt;&gt;"",BH$3='Bonding Program'!$K$12),'Bonding Program'!$J$12,0)-IF(AND('Bonding Program'!$M$12&lt;&gt;"",BH$3='Bonding Program'!$M$12),'Bonding Program'!$L$12,0)-IF(AND('Bonding Program'!$P$12&lt;&gt;"",BH$3='Bonding Program'!$P$12),'Bonding Program'!$O$12,0)-IF(AND('Bonding Program'!$R$12&lt;&gt;"",BH$3='Bonding Program'!$R$12),'Bonding Program'!$Q$12,0),0)</f>
        <v>0</v>
      </c>
      <c r="BI153" s="19" t="n">
        <f aca="false">IF(AND('Bonding Program'!$S$12=1,BI$3='Bonding Program'!$H$12),'Bonding Program'!$AA$12,0)-IF(BI$3&lt;='Bonding Program'!$C$8,IF(AND('Bonding Program'!$K$12&lt;&gt;"",BI$3='Bonding Program'!$K$12),'Bonding Program'!$J$12,0)-IF(AND('Bonding Program'!$M$12&lt;&gt;"",BI$3='Bonding Program'!$M$12),'Bonding Program'!$L$12,0)-IF(AND('Bonding Program'!$P$12&lt;&gt;"",BI$3='Bonding Program'!$P$12),'Bonding Program'!$O$12,0)-IF(AND('Bonding Program'!$R$12&lt;&gt;"",BI$3='Bonding Program'!$R$12),'Bonding Program'!$Q$12,0),0)</f>
        <v>0</v>
      </c>
      <c r="BJ153" s="19" t="n">
        <f aca="false">IF(AND('Bonding Program'!$S$12=1,BJ$3='Bonding Program'!$H$12),'Bonding Program'!$AA$12,0)-IF(BJ$3&lt;='Bonding Program'!$C$8,IF(AND('Bonding Program'!$K$12&lt;&gt;"",BJ$3='Bonding Program'!$K$12),'Bonding Program'!$J$12,0)-IF(AND('Bonding Program'!$M$12&lt;&gt;"",BJ$3='Bonding Program'!$M$12),'Bonding Program'!$L$12,0)-IF(AND('Bonding Program'!$P$12&lt;&gt;"",BJ$3='Bonding Program'!$P$12),'Bonding Program'!$O$12,0)-IF(AND('Bonding Program'!$R$12&lt;&gt;"",BJ$3='Bonding Program'!$R$12),'Bonding Program'!$Q$12,0),0)</f>
        <v>0</v>
      </c>
      <c r="BK153" s="19" t="n">
        <f aca="false">IF(AND('Bonding Program'!$S$12=1,BK$3='Bonding Program'!$H$12),'Bonding Program'!$AA$12,0)-IF(BK$3&lt;='Bonding Program'!$C$8,IF(AND('Bonding Program'!$K$12&lt;&gt;"",BK$3='Bonding Program'!$K$12),'Bonding Program'!$J$12,0)-IF(AND('Bonding Program'!$M$12&lt;&gt;"",BK$3='Bonding Program'!$M$12),'Bonding Program'!$L$12,0)-IF(AND('Bonding Program'!$P$12&lt;&gt;"",BK$3='Bonding Program'!$P$12),'Bonding Program'!$O$12,0)-IF(AND('Bonding Program'!$R$12&lt;&gt;"",BK$3='Bonding Program'!$R$12),'Bonding Program'!$Q$12,0),0)</f>
        <v>0</v>
      </c>
      <c r="BL153" s="19" t="n">
        <f aca="false">IF(AND('Bonding Program'!$S$12=1,BL$3='Bonding Program'!$H$12),'Bonding Program'!$AA$12,0)-IF(BL$3&lt;='Bonding Program'!$C$8,IF(AND('Bonding Program'!$K$12&lt;&gt;"",BL$3='Bonding Program'!$K$12),'Bonding Program'!$J$12,0)-IF(AND('Bonding Program'!$M$12&lt;&gt;"",BL$3='Bonding Program'!$M$12),'Bonding Program'!$L$12,0)-IF(AND('Bonding Program'!$P$12&lt;&gt;"",BL$3='Bonding Program'!$P$12),'Bonding Program'!$O$12,0)-IF(AND('Bonding Program'!$R$12&lt;&gt;"",BL$3='Bonding Program'!$R$12),'Bonding Program'!$Q$12,0),0)</f>
        <v>0</v>
      </c>
      <c r="BM153" s="19" t="n">
        <f aca="false">IF(AND('Bonding Program'!$S$12=1,BM$3='Bonding Program'!$H$12),'Bonding Program'!$AA$12,0)-IF(BM$3&lt;='Bonding Program'!$C$8,IF(AND('Bonding Program'!$K$12&lt;&gt;"",BM$3='Bonding Program'!$K$12),'Bonding Program'!$J$12,0)-IF(AND('Bonding Program'!$M$12&lt;&gt;"",BM$3='Bonding Program'!$M$12),'Bonding Program'!$L$12,0)-IF(AND('Bonding Program'!$P$12&lt;&gt;"",BM$3='Bonding Program'!$P$12),'Bonding Program'!$O$12,0)-IF(AND('Bonding Program'!$R$12&lt;&gt;"",BM$3='Bonding Program'!$R$12),'Bonding Program'!$Q$12,0),0)</f>
        <v>0</v>
      </c>
      <c r="BN153" s="19" t="n">
        <f aca="false">IF(AND('Bonding Program'!$S$12=1,BN$3='Bonding Program'!$H$12),'Bonding Program'!$AA$12,0)-IF(BN$3&lt;='Bonding Program'!$C$8,IF(AND('Bonding Program'!$K$12&lt;&gt;"",BN$3='Bonding Program'!$K$12),'Bonding Program'!$J$12,0)-IF(AND('Bonding Program'!$M$12&lt;&gt;"",BN$3='Bonding Program'!$M$12),'Bonding Program'!$L$12,0)-IF(AND('Bonding Program'!$P$12&lt;&gt;"",BN$3='Bonding Program'!$P$12),'Bonding Program'!$O$12,0)-IF(AND('Bonding Program'!$R$12&lt;&gt;"",BN$3='Bonding Program'!$R$12),'Bonding Program'!$Q$12,0),0)</f>
        <v>0</v>
      </c>
      <c r="BO153" s="19" t="n">
        <f aca="false">IF(AND('Bonding Program'!$S$12=1,BO$3='Bonding Program'!$H$12),'Bonding Program'!$AA$12,0)-IF(BO$3&lt;='Bonding Program'!$C$8,IF(AND('Bonding Program'!$K$12&lt;&gt;"",BO$3='Bonding Program'!$K$12),'Bonding Program'!$J$12,0)-IF(AND('Bonding Program'!$M$12&lt;&gt;"",BO$3='Bonding Program'!$M$12),'Bonding Program'!$L$12,0)-IF(AND('Bonding Program'!$P$12&lt;&gt;"",BO$3='Bonding Program'!$P$12),'Bonding Program'!$O$12,0)-IF(AND('Bonding Program'!$R$12&lt;&gt;"",BO$3='Bonding Program'!$R$12),'Bonding Program'!$Q$12,0),0)</f>
        <v>0</v>
      </c>
      <c r="BP153" s="19" t="n">
        <f aca="false">IF(AND('Bonding Program'!$S$12=1,BP$3='Bonding Program'!$H$12),'Bonding Program'!$AA$12,0)-IF(BP$3&lt;='Bonding Program'!$C$8,IF(AND('Bonding Program'!$K$12&lt;&gt;"",BP$3='Bonding Program'!$K$12),'Bonding Program'!$J$12,0)-IF(AND('Bonding Program'!$M$12&lt;&gt;"",BP$3='Bonding Program'!$M$12),'Bonding Program'!$L$12,0)-IF(AND('Bonding Program'!$P$12&lt;&gt;"",BP$3='Bonding Program'!$P$12),'Bonding Program'!$O$12,0)-IF(AND('Bonding Program'!$R$12&lt;&gt;"",BP$3='Bonding Program'!$R$12),'Bonding Program'!$Q$12,0),0)</f>
        <v>0</v>
      </c>
      <c r="BQ153" s="19" t="n">
        <f aca="false">IF(AND('Bonding Program'!$S$12=1,BQ$3='Bonding Program'!$H$12),'Bonding Program'!$AA$12,0)-IF(BQ$3&lt;='Bonding Program'!$C$8,IF(AND('Bonding Program'!$K$12&lt;&gt;"",BQ$3='Bonding Program'!$K$12),'Bonding Program'!$J$12,0)-IF(AND('Bonding Program'!$M$12&lt;&gt;"",BQ$3='Bonding Program'!$M$12),'Bonding Program'!$L$12,0)-IF(AND('Bonding Program'!$P$12&lt;&gt;"",BQ$3='Bonding Program'!$P$12),'Bonding Program'!$O$12,0)-IF(AND('Bonding Program'!$R$12&lt;&gt;"",BQ$3='Bonding Program'!$R$12),'Bonding Program'!$Q$12,0),0)</f>
        <v>0</v>
      </c>
      <c r="BR153" s="19" t="n">
        <f aca="false">IF(AND('Bonding Program'!$S$12=1,BR$3='Bonding Program'!$H$12),'Bonding Program'!$AA$12,0)-IF(BR$3&lt;='Bonding Program'!$C$8,IF(AND('Bonding Program'!$K$12&lt;&gt;"",BR$3='Bonding Program'!$K$12),'Bonding Program'!$J$12,0)-IF(AND('Bonding Program'!$M$12&lt;&gt;"",BR$3='Bonding Program'!$M$12),'Bonding Program'!$L$12,0)-IF(AND('Bonding Program'!$P$12&lt;&gt;"",BR$3='Bonding Program'!$P$12),'Bonding Program'!$O$12,0)-IF(AND('Bonding Program'!$R$12&lt;&gt;"",BR$3='Bonding Program'!$R$12),'Bonding Program'!$Q$12,0),0)</f>
        <v>0</v>
      </c>
      <c r="BS153" s="19" t="n">
        <f aca="false">IF(AND('Bonding Program'!$S$12=1,BS$3='Bonding Program'!$H$12),'Bonding Program'!$AA$12,0)-IF(BS$3&lt;='Bonding Program'!$C$8,IF(AND('Bonding Program'!$K$12&lt;&gt;"",BS$3='Bonding Program'!$K$12),'Bonding Program'!$J$12,0)-IF(AND('Bonding Program'!$M$12&lt;&gt;"",BS$3='Bonding Program'!$M$12),'Bonding Program'!$L$12,0)-IF(AND('Bonding Program'!$P$12&lt;&gt;"",BS$3='Bonding Program'!$P$12),'Bonding Program'!$O$12,0)-IF(AND('Bonding Program'!$R$12&lt;&gt;"",BS$3='Bonding Program'!$R$12),'Bonding Program'!$Q$12,0),0)</f>
        <v>0</v>
      </c>
      <c r="BT153" s="19" t="n">
        <f aca="false">IF(AND('Bonding Program'!$S$12=1,BT$3='Bonding Program'!$H$12),'Bonding Program'!$AA$12,0)-IF(BT$3&lt;='Bonding Program'!$C$8,IF(AND('Bonding Program'!$K$12&lt;&gt;"",BT$3='Bonding Program'!$K$12),'Bonding Program'!$J$12,0)-IF(AND('Bonding Program'!$M$12&lt;&gt;"",BT$3='Bonding Program'!$M$12),'Bonding Program'!$L$12,0)-IF(AND('Bonding Program'!$P$12&lt;&gt;"",BT$3='Bonding Program'!$P$12),'Bonding Program'!$O$12,0)-IF(AND('Bonding Program'!$R$12&lt;&gt;"",BT$3='Bonding Program'!$R$12),'Bonding Program'!$Q$12,0),0)</f>
        <v>0</v>
      </c>
      <c r="BU153" s="19" t="n">
        <f aca="false">IF(AND('Bonding Program'!$S$12=1,BU$3='Bonding Program'!$H$12),'Bonding Program'!$AA$12,0)-IF(BU$3&lt;='Bonding Program'!$C$8,IF(AND('Bonding Program'!$K$12&lt;&gt;"",BU$3='Bonding Program'!$K$12),'Bonding Program'!$J$12,0)-IF(AND('Bonding Program'!$M$12&lt;&gt;"",BU$3='Bonding Program'!$M$12),'Bonding Program'!$L$12,0)-IF(AND('Bonding Program'!$P$12&lt;&gt;"",BU$3='Bonding Program'!$P$12),'Bonding Program'!$O$12,0)-IF(AND('Bonding Program'!$R$12&lt;&gt;"",BU$3='Bonding Program'!$R$12),'Bonding Program'!$Q$12,0),0)</f>
        <v>0</v>
      </c>
      <c r="BV153" s="19" t="n">
        <f aca="false">IF(AND('Bonding Program'!$S$12=1,BV$3='Bonding Program'!$H$12),'Bonding Program'!$AA$12,0)-IF(BV$3&lt;='Bonding Program'!$C$8,IF(AND('Bonding Program'!$K$12&lt;&gt;"",BV$3='Bonding Program'!$K$12),'Bonding Program'!$J$12,0)-IF(AND('Bonding Program'!$M$12&lt;&gt;"",BV$3='Bonding Program'!$M$12),'Bonding Program'!$L$12,0)-IF(AND('Bonding Program'!$P$12&lt;&gt;"",BV$3='Bonding Program'!$P$12),'Bonding Program'!$O$12,0)-IF(AND('Bonding Program'!$R$12&lt;&gt;"",BV$3='Bonding Program'!$R$12),'Bonding Program'!$Q$12,0),0)</f>
        <v>0</v>
      </c>
      <c r="BW153" s="19" t="n">
        <f aca="false">IF(AND('Bonding Program'!$S$12=1,BW$3='Bonding Program'!$H$12),'Bonding Program'!$AA$12,0)-IF(BW$3&lt;='Bonding Program'!$C$8,IF(AND('Bonding Program'!$K$12&lt;&gt;"",BW$3='Bonding Program'!$K$12),'Bonding Program'!$J$12,0)-IF(AND('Bonding Program'!$M$12&lt;&gt;"",BW$3='Bonding Program'!$M$12),'Bonding Program'!$L$12,0)-IF(AND('Bonding Program'!$P$12&lt;&gt;"",BW$3='Bonding Program'!$P$12),'Bonding Program'!$O$12,0)-IF(AND('Bonding Program'!$R$12&lt;&gt;"",BW$3='Bonding Program'!$R$12),'Bonding Program'!$Q$12,0),0)</f>
        <v>0</v>
      </c>
      <c r="BX153" s="19" t="n">
        <f aca="false">IF(AND('Bonding Program'!$S$12=1,BX$3='Bonding Program'!$H$12),'Bonding Program'!$AA$12,0)-IF(BX$3&lt;='Bonding Program'!$C$8,IF(AND('Bonding Program'!$K$12&lt;&gt;"",BX$3='Bonding Program'!$K$12),'Bonding Program'!$J$12,0)-IF(AND('Bonding Program'!$M$12&lt;&gt;"",BX$3='Bonding Program'!$M$12),'Bonding Program'!$L$12,0)-IF(AND('Bonding Program'!$P$12&lt;&gt;"",BX$3='Bonding Program'!$P$12),'Bonding Program'!$O$12,0)-IF(AND('Bonding Program'!$R$12&lt;&gt;"",BX$3='Bonding Program'!$R$12),'Bonding Program'!$Q$12,0),0)</f>
        <v>0</v>
      </c>
      <c r="BY153" s="19" t="n">
        <f aca="false">IF(AND('Bonding Program'!$S$12=1,BY$3='Bonding Program'!$H$12),'Bonding Program'!$AA$12,0)-IF(BY$3&lt;='Bonding Program'!$C$8,IF(AND('Bonding Program'!$K$12&lt;&gt;"",BY$3='Bonding Program'!$K$12),'Bonding Program'!$J$12,0)-IF(AND('Bonding Program'!$M$12&lt;&gt;"",BY$3='Bonding Program'!$M$12),'Bonding Program'!$L$12,0)-IF(AND('Bonding Program'!$P$12&lt;&gt;"",BY$3='Bonding Program'!$P$12),'Bonding Program'!$O$12,0)-IF(AND('Bonding Program'!$R$12&lt;&gt;"",BY$3='Bonding Program'!$R$12),'Bonding Program'!$Q$12,0),0)</f>
        <v>0</v>
      </c>
      <c r="BZ153" s="19" t="n">
        <f aca="false">IF(AND('Bonding Program'!$S$12=1,BZ$3='Bonding Program'!$H$12),'Bonding Program'!$AA$12,0)-IF(BZ$3&lt;='Bonding Program'!$C$8,IF(AND('Bonding Program'!$K$12&lt;&gt;"",BZ$3='Bonding Program'!$K$12),'Bonding Program'!$J$12,0)-IF(AND('Bonding Program'!$M$12&lt;&gt;"",BZ$3='Bonding Program'!$M$12),'Bonding Program'!$L$12,0)-IF(AND('Bonding Program'!$P$12&lt;&gt;"",BZ$3='Bonding Program'!$P$12),'Bonding Program'!$O$12,0)-IF(AND('Bonding Program'!$R$12&lt;&gt;"",BZ$3='Bonding Program'!$R$12),'Bonding Program'!$Q$12,0),0)</f>
        <v>0</v>
      </c>
      <c r="CA153" s="19" t="n">
        <f aca="false">IF(AND('Bonding Program'!$S$12=1,CA$3='Bonding Program'!$H$12),'Bonding Program'!$AA$12,0)-IF(CA$3&lt;='Bonding Program'!$C$8,IF(AND('Bonding Program'!$K$12&lt;&gt;"",CA$3='Bonding Program'!$K$12),'Bonding Program'!$J$12,0)-IF(AND('Bonding Program'!$M$12&lt;&gt;"",CA$3='Bonding Program'!$M$12),'Bonding Program'!$L$12,0)-IF(AND('Bonding Program'!$P$12&lt;&gt;"",CA$3='Bonding Program'!$P$12),'Bonding Program'!$O$12,0)-IF(AND('Bonding Program'!$R$12&lt;&gt;"",CA$3='Bonding Program'!$R$12),'Bonding Program'!$Q$12,0),0)</f>
        <v>0</v>
      </c>
      <c r="CB153" s="19" t="n">
        <f aca="false">IF(AND('Bonding Program'!$S$12=1,CB$3='Bonding Program'!$H$12),'Bonding Program'!$AA$12,0)-IF(CB$3&lt;='Bonding Program'!$C$8,IF(AND('Bonding Program'!$K$12&lt;&gt;"",CB$3='Bonding Program'!$K$12),'Bonding Program'!$J$12,0)-IF(AND('Bonding Program'!$M$12&lt;&gt;"",CB$3='Bonding Program'!$M$12),'Bonding Program'!$L$12,0)-IF(AND('Bonding Program'!$P$12&lt;&gt;"",CB$3='Bonding Program'!$P$12),'Bonding Program'!$O$12,0)-IF(AND('Bonding Program'!$R$12&lt;&gt;"",CB$3='Bonding Program'!$R$12),'Bonding Program'!$Q$12,0),0)</f>
        <v>0</v>
      </c>
      <c r="CC153" s="19" t="n">
        <f aca="false">IF(AND('Bonding Program'!$S$12=1,CC$3='Bonding Program'!$H$12),'Bonding Program'!$AA$12,0)-IF(CC$3&lt;='Bonding Program'!$C$8,IF(AND('Bonding Program'!$K$12&lt;&gt;"",CC$3='Bonding Program'!$K$12),'Bonding Program'!$J$12,0)-IF(AND('Bonding Program'!$M$12&lt;&gt;"",CC$3='Bonding Program'!$M$12),'Bonding Program'!$L$12,0)-IF(AND('Bonding Program'!$P$12&lt;&gt;"",CC$3='Bonding Program'!$P$12),'Bonding Program'!$O$12,0)-IF(AND('Bonding Program'!$R$12&lt;&gt;"",CC$3='Bonding Program'!$R$12),'Bonding Program'!$Q$12,0),0)</f>
        <v>0</v>
      </c>
      <c r="CD153" s="19" t="n">
        <f aca="false">IF(AND('Bonding Program'!$S$12=1,CD$3='Bonding Program'!$H$12),'Bonding Program'!$AA$12,0)-IF(CD$3&lt;='Bonding Program'!$C$8,IF(AND('Bonding Program'!$K$12&lt;&gt;"",CD$3='Bonding Program'!$K$12),'Bonding Program'!$J$12,0)-IF(AND('Bonding Program'!$M$12&lt;&gt;"",CD$3='Bonding Program'!$M$12),'Bonding Program'!$L$12,0)-IF(AND('Bonding Program'!$P$12&lt;&gt;"",CD$3='Bonding Program'!$P$12),'Bonding Program'!$O$12,0)-IF(AND('Bonding Program'!$R$12&lt;&gt;"",CD$3='Bonding Program'!$R$12),'Bonding Program'!$Q$12,0),0)</f>
        <v>0</v>
      </c>
      <c r="CE153" s="19" t="n">
        <f aca="false">IF(AND('Bonding Program'!$S$12=1,CE$3='Bonding Program'!$H$12),'Bonding Program'!$AA$12,0)-IF(CE$3&lt;='Bonding Program'!$C$8,IF(AND('Bonding Program'!$K$12&lt;&gt;"",CE$3='Bonding Program'!$K$12),'Bonding Program'!$J$12,0)-IF(AND('Bonding Program'!$M$12&lt;&gt;"",CE$3='Bonding Program'!$M$12),'Bonding Program'!$L$12,0)-IF(AND('Bonding Program'!$P$12&lt;&gt;"",CE$3='Bonding Program'!$P$12),'Bonding Program'!$O$12,0)-IF(AND('Bonding Program'!$R$12&lt;&gt;"",CE$3='Bonding Program'!$R$12),'Bonding Program'!$Q$12,0),0)</f>
        <v>0</v>
      </c>
      <c r="CF153" s="19" t="n">
        <f aca="false">IF(AND('Bonding Program'!$S$12=1,CF$3='Bonding Program'!$H$12),'Bonding Program'!$AA$12,0)-IF(CF$3&lt;='Bonding Program'!$C$8,IF(AND('Bonding Program'!$K$12&lt;&gt;"",CF$3='Bonding Program'!$K$12),'Bonding Program'!$J$12,0)-IF(AND('Bonding Program'!$M$12&lt;&gt;"",CF$3='Bonding Program'!$M$12),'Bonding Program'!$L$12,0)-IF(AND('Bonding Program'!$P$12&lt;&gt;"",CF$3='Bonding Program'!$P$12),'Bonding Program'!$O$12,0)-IF(AND('Bonding Program'!$R$12&lt;&gt;"",CF$3='Bonding Program'!$R$12),'Bonding Program'!$Q$12,0),0)</f>
        <v>0</v>
      </c>
      <c r="CG153" s="19" t="n">
        <f aca="false">IF(AND('Bonding Program'!$S$12=1,CG$3='Bonding Program'!$H$12),'Bonding Program'!$AA$12,0)-IF(CG$3&lt;='Bonding Program'!$C$8,IF(AND('Bonding Program'!$K$12&lt;&gt;"",CG$3='Bonding Program'!$K$12),'Bonding Program'!$J$12,0)-IF(AND('Bonding Program'!$M$12&lt;&gt;"",CG$3='Bonding Program'!$M$12),'Bonding Program'!$L$12,0)-IF(AND('Bonding Program'!$P$12&lt;&gt;"",CG$3='Bonding Program'!$P$12),'Bonding Program'!$O$12,0)-IF(AND('Bonding Program'!$R$12&lt;&gt;"",CG$3='Bonding Program'!$R$12),'Bonding Program'!$Q$12,0),0)</f>
        <v>0</v>
      </c>
      <c r="CH153" s="19" t="n">
        <f aca="false">IF(AND('Bonding Program'!$S$12=1,CH$3='Bonding Program'!$H$12),'Bonding Program'!$AA$12,0)-IF(CH$3&lt;='Bonding Program'!$C$8,IF(AND('Bonding Program'!$K$12&lt;&gt;"",CH$3='Bonding Program'!$K$12),'Bonding Program'!$J$12,0)-IF(AND('Bonding Program'!$M$12&lt;&gt;"",CH$3='Bonding Program'!$M$12),'Bonding Program'!$L$12,0)-IF(AND('Bonding Program'!$P$12&lt;&gt;"",CH$3='Bonding Program'!$P$12),'Bonding Program'!$O$12,0)-IF(AND('Bonding Program'!$R$12&lt;&gt;"",CH$3='Bonding Program'!$R$12),'Bonding Program'!$Q$12,0),0)</f>
        <v>0</v>
      </c>
      <c r="CI153" s="19" t="n">
        <f aca="false">IF(AND('Bonding Program'!$S$12=1,CI$3='Bonding Program'!$H$12),'Bonding Program'!$AA$12,0)-IF(CI$3&lt;='Bonding Program'!$C$8,IF(AND('Bonding Program'!$K$12&lt;&gt;"",CI$3='Bonding Program'!$K$12),'Bonding Program'!$J$12,0)-IF(AND('Bonding Program'!$M$12&lt;&gt;"",CI$3='Bonding Program'!$M$12),'Bonding Program'!$L$12,0)-IF(AND('Bonding Program'!$P$12&lt;&gt;"",CI$3='Bonding Program'!$P$12),'Bonding Program'!$O$12,0)-IF(AND('Bonding Program'!$R$12&lt;&gt;"",CI$3='Bonding Program'!$R$12),'Bonding Program'!$Q$12,0),0)</f>
        <v>0</v>
      </c>
      <c r="CJ153" s="19" t="n">
        <f aca="false">IF(AND('Bonding Program'!$S$12=1,CJ$3='Bonding Program'!$H$12),'Bonding Program'!$AA$12,0)-IF(CJ$3&lt;='Bonding Program'!$C$8,IF(AND('Bonding Program'!$K$12&lt;&gt;"",CJ$3='Bonding Program'!$K$12),'Bonding Program'!$J$12,0)-IF(AND('Bonding Program'!$M$12&lt;&gt;"",CJ$3='Bonding Program'!$M$12),'Bonding Program'!$L$12,0)-IF(AND('Bonding Program'!$P$12&lt;&gt;"",CJ$3='Bonding Program'!$P$12),'Bonding Program'!$O$12,0)-IF(AND('Bonding Program'!$R$12&lt;&gt;"",CJ$3='Bonding Program'!$R$12),'Bonding Program'!$Q$12,0),0)</f>
        <v>0</v>
      </c>
      <c r="CK153" s="19" t="n">
        <f aca="false">IF(AND('Bonding Program'!$S$12=1,CK$3='Bonding Program'!$H$12),'Bonding Program'!$AA$12,0)-IF(CK$3&lt;='Bonding Program'!$C$8,IF(AND('Bonding Program'!$K$12&lt;&gt;"",CK$3='Bonding Program'!$K$12),'Bonding Program'!$J$12,0)-IF(AND('Bonding Program'!$M$12&lt;&gt;"",CK$3='Bonding Program'!$M$12),'Bonding Program'!$L$12,0)-IF(AND('Bonding Program'!$P$12&lt;&gt;"",CK$3='Bonding Program'!$P$12),'Bonding Program'!$O$12,0)-IF(AND('Bonding Program'!$R$12&lt;&gt;"",CK$3='Bonding Program'!$R$12),'Bonding Program'!$Q$12,0),0)</f>
        <v>0</v>
      </c>
      <c r="CL153" s="19" t="n">
        <f aca="false">IF(AND('Bonding Program'!$S$12=1,CL$3='Bonding Program'!$H$12),'Bonding Program'!$AA$12,0)-IF(CL$3&lt;='Bonding Program'!$C$8,IF(AND('Bonding Program'!$K$12&lt;&gt;"",CL$3='Bonding Program'!$K$12),'Bonding Program'!$J$12,0)-IF(AND('Bonding Program'!$M$12&lt;&gt;"",CL$3='Bonding Program'!$M$12),'Bonding Program'!$L$12,0)-IF(AND('Bonding Program'!$P$12&lt;&gt;"",CL$3='Bonding Program'!$P$12),'Bonding Program'!$O$12,0)-IF(AND('Bonding Program'!$R$12&lt;&gt;"",CL$3='Bonding Program'!$R$12),'Bonding Program'!$Q$12,0),0)</f>
        <v>0</v>
      </c>
      <c r="CM153" s="19" t="n">
        <f aca="false">IF(AND('Bonding Program'!$S$12=1,CM$3='Bonding Program'!$H$12),'Bonding Program'!$AA$12,0)-IF(CM$3&lt;='Bonding Program'!$C$8,IF(AND('Bonding Program'!$K$12&lt;&gt;"",CM$3='Bonding Program'!$K$12),'Bonding Program'!$J$12,0)-IF(AND('Bonding Program'!$M$12&lt;&gt;"",CM$3='Bonding Program'!$M$12),'Bonding Program'!$L$12,0)-IF(AND('Bonding Program'!$P$12&lt;&gt;"",CM$3='Bonding Program'!$P$12),'Bonding Program'!$O$12,0)-IF(AND('Bonding Program'!$R$12&lt;&gt;"",CM$3='Bonding Program'!$R$12),'Bonding Program'!$Q$12,0),0)</f>
        <v>0</v>
      </c>
      <c r="CN153" s="19" t="n">
        <f aca="false">IF(AND('Bonding Program'!$S$12=1,CN$3='Bonding Program'!$H$12),'Bonding Program'!$AA$12,0)-IF(CN$3&lt;='Bonding Program'!$C$8,IF(AND('Bonding Program'!$K$12&lt;&gt;"",CN$3='Bonding Program'!$K$12),'Bonding Program'!$J$12,0)-IF(AND('Bonding Program'!$M$12&lt;&gt;"",CN$3='Bonding Program'!$M$12),'Bonding Program'!$L$12,0)-IF(AND('Bonding Program'!$P$12&lt;&gt;"",CN$3='Bonding Program'!$P$12),'Bonding Program'!$O$12,0)-IF(AND('Bonding Program'!$R$12&lt;&gt;"",CN$3='Bonding Program'!$R$12),'Bonding Program'!$Q$12,0),0)</f>
        <v>0</v>
      </c>
      <c r="CO153" s="19" t="n">
        <f aca="false">IF(AND('Bonding Program'!$S$12=1,CO$3='Bonding Program'!$H$12),'Bonding Program'!$AA$12,0)-IF(CO$3&lt;='Bonding Program'!$C$8,IF(AND('Bonding Program'!$K$12&lt;&gt;"",CO$3='Bonding Program'!$K$12),'Bonding Program'!$J$12,0)-IF(AND('Bonding Program'!$M$12&lt;&gt;"",CO$3='Bonding Program'!$M$12),'Bonding Program'!$L$12,0)-IF(AND('Bonding Program'!$P$12&lt;&gt;"",CO$3='Bonding Program'!$P$12),'Bonding Program'!$O$12,0)-IF(AND('Bonding Program'!$R$12&lt;&gt;"",CO$3='Bonding Program'!$R$12),'Bonding Program'!$Q$12,0),0)</f>
        <v>0</v>
      </c>
      <c r="CP153" s="19" t="n">
        <f aca="false">IF(AND('Bonding Program'!$S$12=1,CP$3='Bonding Program'!$H$12),'Bonding Program'!$AA$12,0)-IF(CP$3&lt;='Bonding Program'!$C$8,IF(AND('Bonding Program'!$K$12&lt;&gt;"",CP$3='Bonding Program'!$K$12),'Bonding Program'!$J$12,0)-IF(AND('Bonding Program'!$M$12&lt;&gt;"",CP$3='Bonding Program'!$M$12),'Bonding Program'!$L$12,0)-IF(AND('Bonding Program'!$P$12&lt;&gt;"",CP$3='Bonding Program'!$P$12),'Bonding Program'!$O$12,0)-IF(AND('Bonding Program'!$R$12&lt;&gt;"",CP$3='Bonding Program'!$R$12),'Bonding Program'!$Q$12,0),0)</f>
        <v>0</v>
      </c>
      <c r="CQ153" s="19" t="n">
        <f aca="false">IF(AND('Bonding Program'!$S$12=1,CQ$3='Bonding Program'!$H$12),'Bonding Program'!$AA$12,0)-IF(CQ$3&lt;='Bonding Program'!$C$8,IF(AND('Bonding Program'!$K$12&lt;&gt;"",CQ$3='Bonding Program'!$K$12),'Bonding Program'!$J$12,0)-IF(AND('Bonding Program'!$M$12&lt;&gt;"",CQ$3='Bonding Program'!$M$12),'Bonding Program'!$L$12,0)-IF(AND('Bonding Program'!$P$12&lt;&gt;"",CQ$3='Bonding Program'!$P$12),'Bonding Program'!$O$12,0)-IF(AND('Bonding Program'!$R$12&lt;&gt;"",CQ$3='Bonding Program'!$R$12),'Bonding Program'!$Q$12,0),0)</f>
        <v>0</v>
      </c>
      <c r="CR153" s="19" t="n">
        <f aca="false">IF(AND('Bonding Program'!$S$12=1,CR$3='Bonding Program'!$H$12),'Bonding Program'!$AA$12,0)-IF(CR$3&lt;='Bonding Program'!$C$8,IF(AND('Bonding Program'!$K$12&lt;&gt;"",CR$3='Bonding Program'!$K$12),'Bonding Program'!$J$12,0)-IF(AND('Bonding Program'!$M$12&lt;&gt;"",CR$3='Bonding Program'!$M$12),'Bonding Program'!$L$12,0)-IF(AND('Bonding Program'!$P$12&lt;&gt;"",CR$3='Bonding Program'!$P$12),'Bonding Program'!$O$12,0)-IF(AND('Bonding Program'!$R$12&lt;&gt;"",CR$3='Bonding Program'!$R$12),'Bonding Program'!$Q$12,0),0)</f>
        <v>0</v>
      </c>
      <c r="CS153" s="19" t="n">
        <f aca="false">IF(AND('Bonding Program'!$S$12=1,CS$3='Bonding Program'!$H$12),'Bonding Program'!$AA$12,0)-IF(CS$3&lt;='Bonding Program'!$C$8,IF(AND('Bonding Program'!$K$12&lt;&gt;"",CS$3='Bonding Program'!$K$12),'Bonding Program'!$J$12,0)-IF(AND('Bonding Program'!$M$12&lt;&gt;"",CS$3='Bonding Program'!$M$12),'Bonding Program'!$L$12,0)-IF(AND('Bonding Program'!$P$12&lt;&gt;"",CS$3='Bonding Program'!$P$12),'Bonding Program'!$O$12,0)-IF(AND('Bonding Program'!$R$12&lt;&gt;"",CS$3='Bonding Program'!$R$12),'Bonding Program'!$Q$12,0),0)</f>
        <v>0</v>
      </c>
      <c r="CT153" s="19" t="n">
        <f aca="false">IF(AND('Bonding Program'!$S$12=1,CT$3='Bonding Program'!$H$12),'Bonding Program'!$AA$12,0)-IF(CT$3&lt;='Bonding Program'!$C$8,IF(AND('Bonding Program'!$K$12&lt;&gt;"",CT$3='Bonding Program'!$K$12),'Bonding Program'!$J$12,0)-IF(AND('Bonding Program'!$M$12&lt;&gt;"",CT$3='Bonding Program'!$M$12),'Bonding Program'!$L$12,0)-IF(AND('Bonding Program'!$P$12&lt;&gt;"",CT$3='Bonding Program'!$P$12),'Bonding Program'!$O$12,0)-IF(AND('Bonding Program'!$R$12&lt;&gt;"",CT$3='Bonding Program'!$R$12),'Bonding Program'!$Q$12,0),0)</f>
        <v>0</v>
      </c>
      <c r="CU153" s="19" t="n">
        <f aca="false">IF(AND('Bonding Program'!$S$12=1,CU$3='Bonding Program'!$H$12),'Bonding Program'!$AA$12,0)-IF(CU$3&lt;='Bonding Program'!$C$8,IF(AND('Bonding Program'!$K$12&lt;&gt;"",CU$3='Bonding Program'!$K$12),'Bonding Program'!$J$12,0)-IF(AND('Bonding Program'!$M$12&lt;&gt;"",CU$3='Bonding Program'!$M$12),'Bonding Program'!$L$12,0)-IF(AND('Bonding Program'!$P$12&lt;&gt;"",CU$3='Bonding Program'!$P$12),'Bonding Program'!$O$12,0)-IF(AND('Bonding Program'!$R$12&lt;&gt;"",CU$3='Bonding Program'!$R$12),'Bonding Program'!$Q$12,0),0)</f>
        <v>0</v>
      </c>
      <c r="CV153" s="19" t="n">
        <f aca="false">IF(AND('Bonding Program'!$S$12=1,CV$3='Bonding Program'!$H$12),'Bonding Program'!$AA$12,0)-IF(CV$3&lt;='Bonding Program'!$C$8,IF(AND('Bonding Program'!$K$12&lt;&gt;"",CV$3='Bonding Program'!$K$12),'Bonding Program'!$J$12,0)-IF(AND('Bonding Program'!$M$12&lt;&gt;"",CV$3='Bonding Program'!$M$12),'Bonding Program'!$L$12,0)-IF(AND('Bonding Program'!$P$12&lt;&gt;"",CV$3='Bonding Program'!$P$12),'Bonding Program'!$O$12,0)-IF(AND('Bonding Program'!$R$12&lt;&gt;"",CV$3='Bonding Program'!$R$12),'Bonding Program'!$Q$12,0),0)</f>
        <v>0</v>
      </c>
      <c r="CW153" s="19" t="n">
        <f aca="false">IF(AND('Bonding Program'!$S$12=1,CW$3='Bonding Program'!$H$12),'Bonding Program'!$AA$12,0)-IF(CW$3&lt;='Bonding Program'!$C$8,IF(AND('Bonding Program'!$K$12&lt;&gt;"",CW$3='Bonding Program'!$K$12),'Bonding Program'!$J$12,0)-IF(AND('Bonding Program'!$M$12&lt;&gt;"",CW$3='Bonding Program'!$M$12),'Bonding Program'!$L$12,0)-IF(AND('Bonding Program'!$P$12&lt;&gt;"",CW$3='Bonding Program'!$P$12),'Bonding Program'!$O$12,0)-IF(AND('Bonding Program'!$R$12&lt;&gt;"",CW$3='Bonding Program'!$R$12),'Bonding Program'!$Q$12,0),0)</f>
        <v>0</v>
      </c>
      <c r="CX153" s="19" t="n">
        <f aca="false">IF(AND('Bonding Program'!$S$12=1,CX$3='Bonding Program'!$H$12),'Bonding Program'!$AA$12,0)-IF(CX$3&lt;='Bonding Program'!$C$8,IF(AND('Bonding Program'!$K$12&lt;&gt;"",CX$3='Bonding Program'!$K$12),'Bonding Program'!$J$12,0)-IF(AND('Bonding Program'!$M$12&lt;&gt;"",CX$3='Bonding Program'!$M$12),'Bonding Program'!$L$12,0)-IF(AND('Bonding Program'!$P$12&lt;&gt;"",CX$3='Bonding Program'!$P$12),'Bonding Program'!$O$12,0)-IF(AND('Bonding Program'!$R$12&lt;&gt;"",CX$3='Bonding Program'!$R$12),'Bonding Program'!$Q$12,0),0)</f>
        <v>0</v>
      </c>
      <c r="CY153" s="19" t="n">
        <f aca="false">IF(AND('Bonding Program'!$S$12=1,CY$3='Bonding Program'!$H$12),'Bonding Program'!$AA$12,0)-IF(CY$3&lt;='Bonding Program'!$C$8,IF(AND('Bonding Program'!$K$12&lt;&gt;"",CY$3='Bonding Program'!$K$12),'Bonding Program'!$J$12,0)-IF(AND('Bonding Program'!$M$12&lt;&gt;"",CY$3='Bonding Program'!$M$12),'Bonding Program'!$L$12,0)-IF(AND('Bonding Program'!$P$12&lt;&gt;"",CY$3='Bonding Program'!$P$12),'Bonding Program'!$O$12,0)-IF(AND('Bonding Program'!$R$12&lt;&gt;"",CY$3='Bonding Program'!$R$12),'Bonding Program'!$Q$12,0),0)</f>
        <v>0</v>
      </c>
      <c r="CZ153" s="19" t="n">
        <f aca="false">IF(AND('Bonding Program'!$S$12=1,CZ$3='Bonding Program'!$H$12),'Bonding Program'!$AA$12,0)-IF(CZ$3&lt;='Bonding Program'!$C$8,IF(AND('Bonding Program'!$K$12&lt;&gt;"",CZ$3='Bonding Program'!$K$12),'Bonding Program'!$J$12,0)-IF(AND('Bonding Program'!$M$12&lt;&gt;"",CZ$3='Bonding Program'!$M$12),'Bonding Program'!$L$12,0)-IF(AND('Bonding Program'!$P$12&lt;&gt;"",CZ$3='Bonding Program'!$P$12),'Bonding Program'!$O$12,0)-IF(AND('Bonding Program'!$R$12&lt;&gt;"",CZ$3='Bonding Program'!$R$12),'Bonding Program'!$Q$12,0),0)</f>
        <v>0</v>
      </c>
      <c r="DA153" s="19" t="n">
        <f aca="false">IF(AND('Bonding Program'!$S$12=1,DA$3='Bonding Program'!$H$12),'Bonding Program'!$AA$12,0)-IF(DA$3&lt;='Bonding Program'!$C$8,IF(AND('Bonding Program'!$K$12&lt;&gt;"",DA$3='Bonding Program'!$K$12),'Bonding Program'!$J$12,0)-IF(AND('Bonding Program'!$M$12&lt;&gt;"",DA$3='Bonding Program'!$M$12),'Bonding Program'!$L$12,0)-IF(AND('Bonding Program'!$P$12&lt;&gt;"",DA$3='Bonding Program'!$P$12),'Bonding Program'!$O$12,0)-IF(AND('Bonding Program'!$R$12&lt;&gt;"",DA$3='Bonding Program'!$R$12),'Bonding Program'!$Q$12,0),0)</f>
        <v>0</v>
      </c>
      <c r="DB153" s="19" t="n">
        <f aca="false">IF(AND('Bonding Program'!$S$12=1,DB$3='Bonding Program'!$H$12),'Bonding Program'!$AA$12,0)-IF(DB$3&lt;='Bonding Program'!$C$8,IF(AND('Bonding Program'!$K$12&lt;&gt;"",DB$3='Bonding Program'!$K$12),'Bonding Program'!$J$12,0)-IF(AND('Bonding Program'!$M$12&lt;&gt;"",DB$3='Bonding Program'!$M$12),'Bonding Program'!$L$12,0)-IF(AND('Bonding Program'!$P$12&lt;&gt;"",DB$3='Bonding Program'!$P$12),'Bonding Program'!$O$12,0)-IF(AND('Bonding Program'!$R$12&lt;&gt;"",DB$3='Bonding Program'!$R$12),'Bonding Program'!$Q$12,0),0)</f>
        <v>0</v>
      </c>
      <c r="DC153" s="19" t="n">
        <f aca="false">IF(AND('Bonding Program'!$S$12=1,DC$3='Bonding Program'!$H$12),'Bonding Program'!$AA$12,0)-IF(DC$3&lt;='Bonding Program'!$C$8,IF(AND('Bonding Program'!$K$12&lt;&gt;"",DC$3='Bonding Program'!$K$12),'Bonding Program'!$J$12,0)-IF(AND('Bonding Program'!$M$12&lt;&gt;"",DC$3='Bonding Program'!$M$12),'Bonding Program'!$L$12,0)-IF(AND('Bonding Program'!$P$12&lt;&gt;"",DC$3='Bonding Program'!$P$12),'Bonding Program'!$O$12,0)-IF(AND('Bonding Program'!$R$12&lt;&gt;"",DC$3='Bonding Program'!$R$12),'Bonding Program'!$Q$12,0),0)</f>
        <v>0</v>
      </c>
      <c r="DD153" s="19" t="n">
        <f aca="false">IF(AND('Bonding Program'!$S$12=1,DD$3='Bonding Program'!$H$12),'Bonding Program'!$AA$12,0)-IF(DD$3&lt;='Bonding Program'!$C$8,IF(AND('Bonding Program'!$K$12&lt;&gt;"",DD$3='Bonding Program'!$K$12),'Bonding Program'!$J$12,0)-IF(AND('Bonding Program'!$M$12&lt;&gt;"",DD$3='Bonding Program'!$M$12),'Bonding Program'!$L$12,0)-IF(AND('Bonding Program'!$P$12&lt;&gt;"",DD$3='Bonding Program'!$P$12),'Bonding Program'!$O$12,0)-IF(AND('Bonding Program'!$R$12&lt;&gt;"",DD$3='Bonding Program'!$R$12),'Bonding Program'!$Q$12,0),0)</f>
        <v>0</v>
      </c>
      <c r="DE153" s="19" t="n">
        <f aca="false">IF(AND('Bonding Program'!$S$12=1,DE$3='Bonding Program'!$H$12),'Bonding Program'!$AA$12,0)-IF(DE$3&lt;='Bonding Program'!$C$8,IF(AND('Bonding Program'!$K$12&lt;&gt;"",DE$3='Bonding Program'!$K$12),'Bonding Program'!$J$12,0)-IF(AND('Bonding Program'!$M$12&lt;&gt;"",DE$3='Bonding Program'!$M$12),'Bonding Program'!$L$12,0)-IF(AND('Bonding Program'!$P$12&lt;&gt;"",DE$3='Bonding Program'!$P$12),'Bonding Program'!$O$12,0)-IF(AND('Bonding Program'!$R$12&lt;&gt;"",DE$3='Bonding Program'!$R$12),'Bonding Program'!$Q$12,0),0)</f>
        <v>0</v>
      </c>
    </row>
    <row r="154" customFormat="false" ht="15" hidden="false" customHeight="true" outlineLevel="1" collapsed="false">
      <c r="A154" s="28" t="s">
        <v>9</v>
      </c>
      <c r="B154" s="19" t="n">
        <f aca="false">IF(AND('Bonding Program'!$S$13=1,B$3='Bonding Program'!$H$13),'Bonding Program'!$AA$13,0)-IF(B$3&lt;='Bonding Program'!$C$8,IF(AND('Bonding Program'!$K$13&lt;&gt;"",B$3='Bonding Program'!$K$13),'Bonding Program'!$J$13,0)-IF(AND('Bonding Program'!$M$13&lt;&gt;"",B$3='Bonding Program'!$M$13),'Bonding Program'!$L$13,0)-IF(AND('Bonding Program'!$P$13&lt;&gt;"",B$3='Bonding Program'!$P$13),'Bonding Program'!$O$13,0)-IF(AND('Bonding Program'!$R$13&lt;&gt;"",B$3='Bonding Program'!$R$13),'Bonding Program'!$Q$13,0),0)</f>
        <v>0</v>
      </c>
      <c r="C154" s="19" t="n">
        <f aca="false">IF(AND('Bonding Program'!$S$13=1,C$3='Bonding Program'!$H$13),'Bonding Program'!$AA$13,0)-IF(C$3&lt;='Bonding Program'!$C$8,IF(AND('Bonding Program'!$K$13&lt;&gt;"",C$3='Bonding Program'!$K$13),'Bonding Program'!$J$13,0)-IF(AND('Bonding Program'!$M$13&lt;&gt;"",C$3='Bonding Program'!$M$13),'Bonding Program'!$L$13,0)-IF(AND('Bonding Program'!$P$13&lt;&gt;"",C$3='Bonding Program'!$P$13),'Bonding Program'!$O$13,0)-IF(AND('Bonding Program'!$R$13&lt;&gt;"",C$3='Bonding Program'!$R$13),'Bonding Program'!$Q$13,0),0)</f>
        <v>0</v>
      </c>
      <c r="D154" s="19" t="n">
        <f aca="false">IF(AND('Bonding Program'!$S$13=1,D$3='Bonding Program'!$H$13),'Bonding Program'!$AA$13,0)-IF(D$3&lt;='Bonding Program'!$C$8,IF(AND('Bonding Program'!$K$13&lt;&gt;"",D$3='Bonding Program'!$K$13),'Bonding Program'!$J$13,0)-IF(AND('Bonding Program'!$M$13&lt;&gt;"",D$3='Bonding Program'!$M$13),'Bonding Program'!$L$13,0)-IF(AND('Bonding Program'!$P$13&lt;&gt;"",D$3='Bonding Program'!$P$13),'Bonding Program'!$O$13,0)-IF(AND('Bonding Program'!$R$13&lt;&gt;"",D$3='Bonding Program'!$R$13),'Bonding Program'!$Q$13,0),0)</f>
        <v>0</v>
      </c>
      <c r="E154" s="19" t="n">
        <f aca="false">IF(AND('Bonding Program'!$S$13=1,E$3='Bonding Program'!$H$13),'Bonding Program'!$AA$13,0)-IF(E$3&lt;='Bonding Program'!$C$8,IF(AND('Bonding Program'!$K$13&lt;&gt;"",E$3='Bonding Program'!$K$13),'Bonding Program'!$J$13,0)-IF(AND('Bonding Program'!$M$13&lt;&gt;"",E$3='Bonding Program'!$M$13),'Bonding Program'!$L$13,0)-IF(AND('Bonding Program'!$P$13&lt;&gt;"",E$3='Bonding Program'!$P$13),'Bonding Program'!$O$13,0)-IF(AND('Bonding Program'!$R$13&lt;&gt;"",E$3='Bonding Program'!$R$13),'Bonding Program'!$Q$13,0),0)</f>
        <v>0</v>
      </c>
      <c r="F154" s="19" t="n">
        <f aca="false">IF(AND('Bonding Program'!$S$13=1,F$3='Bonding Program'!$H$13),'Bonding Program'!$AA$13,0)-IF(F$3&lt;='Bonding Program'!$C$8,IF(AND('Bonding Program'!$K$13&lt;&gt;"",F$3='Bonding Program'!$K$13),'Bonding Program'!$J$13,0)-IF(AND('Bonding Program'!$M$13&lt;&gt;"",F$3='Bonding Program'!$M$13),'Bonding Program'!$L$13,0)-IF(AND('Bonding Program'!$P$13&lt;&gt;"",F$3='Bonding Program'!$P$13),'Bonding Program'!$O$13,0)-IF(AND('Bonding Program'!$R$13&lt;&gt;"",F$3='Bonding Program'!$R$13),'Bonding Program'!$Q$13,0),0)</f>
        <v>0</v>
      </c>
      <c r="G154" s="19" t="n">
        <f aca="false">IF(AND('Bonding Program'!$S$13=1,G$3='Bonding Program'!$H$13),'Bonding Program'!$AA$13,0)-IF(G$3&lt;='Bonding Program'!$C$8,IF(AND('Bonding Program'!$K$13&lt;&gt;"",G$3='Bonding Program'!$K$13),'Bonding Program'!$J$13,0)-IF(AND('Bonding Program'!$M$13&lt;&gt;"",G$3='Bonding Program'!$M$13),'Bonding Program'!$L$13,0)-IF(AND('Bonding Program'!$P$13&lt;&gt;"",G$3='Bonding Program'!$P$13),'Bonding Program'!$O$13,0)-IF(AND('Bonding Program'!$R$13&lt;&gt;"",G$3='Bonding Program'!$R$13),'Bonding Program'!$Q$13,0),0)</f>
        <v>0</v>
      </c>
      <c r="H154" s="19" t="n">
        <f aca="false">IF(AND('Bonding Program'!$S$13=1,H$3='Bonding Program'!$H$13),'Bonding Program'!$AA$13,0)-IF(H$3&lt;='Bonding Program'!$C$8,IF(AND('Bonding Program'!$K$13&lt;&gt;"",H$3='Bonding Program'!$K$13),'Bonding Program'!$J$13,0)-IF(AND('Bonding Program'!$M$13&lt;&gt;"",H$3='Bonding Program'!$M$13),'Bonding Program'!$L$13,0)-IF(AND('Bonding Program'!$P$13&lt;&gt;"",H$3='Bonding Program'!$P$13),'Bonding Program'!$O$13,0)-IF(AND('Bonding Program'!$R$13&lt;&gt;"",H$3='Bonding Program'!$R$13),'Bonding Program'!$Q$13,0),0)</f>
        <v>0</v>
      </c>
      <c r="I154" s="19" t="n">
        <f aca="false">IF(AND('Bonding Program'!$S$13=1,I$3='Bonding Program'!$H$13),'Bonding Program'!$AA$13,0)-IF(I$3&lt;='Bonding Program'!$C$8,IF(AND('Bonding Program'!$K$13&lt;&gt;"",I$3='Bonding Program'!$K$13),'Bonding Program'!$J$13,0)-IF(AND('Bonding Program'!$M$13&lt;&gt;"",I$3='Bonding Program'!$M$13),'Bonding Program'!$L$13,0)-IF(AND('Bonding Program'!$P$13&lt;&gt;"",I$3='Bonding Program'!$P$13),'Bonding Program'!$O$13,0)-IF(AND('Bonding Program'!$R$13&lt;&gt;"",I$3='Bonding Program'!$R$13),'Bonding Program'!$Q$13,0),0)</f>
        <v>0</v>
      </c>
      <c r="J154" s="19" t="n">
        <f aca="false">IF(AND('Bonding Program'!$S$13=1,J$3='Bonding Program'!$H$13),'Bonding Program'!$AA$13,0)-IF(J$3&lt;='Bonding Program'!$C$8,IF(AND('Bonding Program'!$K$13&lt;&gt;"",J$3='Bonding Program'!$K$13),'Bonding Program'!$J$13,0)-IF(AND('Bonding Program'!$M$13&lt;&gt;"",J$3='Bonding Program'!$M$13),'Bonding Program'!$L$13,0)-IF(AND('Bonding Program'!$P$13&lt;&gt;"",J$3='Bonding Program'!$P$13),'Bonding Program'!$O$13,0)-IF(AND('Bonding Program'!$R$13&lt;&gt;"",J$3='Bonding Program'!$R$13),'Bonding Program'!$Q$13,0),0)</f>
        <v>0</v>
      </c>
      <c r="K154" s="19" t="n">
        <f aca="false">IF(AND('Bonding Program'!$S$13=1,K$3='Bonding Program'!$H$13),'Bonding Program'!$AA$13,0)-IF(K$3&lt;='Bonding Program'!$C$8,IF(AND('Bonding Program'!$K$13&lt;&gt;"",K$3='Bonding Program'!$K$13),'Bonding Program'!$J$13,0)-IF(AND('Bonding Program'!$M$13&lt;&gt;"",K$3='Bonding Program'!$M$13),'Bonding Program'!$L$13,0)-IF(AND('Bonding Program'!$P$13&lt;&gt;"",K$3='Bonding Program'!$P$13),'Bonding Program'!$O$13,0)-IF(AND('Bonding Program'!$R$13&lt;&gt;"",K$3='Bonding Program'!$R$13),'Bonding Program'!$Q$13,0),0)</f>
        <v>0</v>
      </c>
      <c r="L154" s="19" t="n">
        <f aca="false">IF(AND('Bonding Program'!$S$13=1,L$3='Bonding Program'!$H$13),'Bonding Program'!$AA$13,0)-IF(L$3&lt;='Bonding Program'!$C$8,IF(AND('Bonding Program'!$K$13&lt;&gt;"",L$3='Bonding Program'!$K$13),'Bonding Program'!$J$13,0)-IF(AND('Bonding Program'!$M$13&lt;&gt;"",L$3='Bonding Program'!$M$13),'Bonding Program'!$L$13,0)-IF(AND('Bonding Program'!$P$13&lt;&gt;"",L$3='Bonding Program'!$P$13),'Bonding Program'!$O$13,0)-IF(AND('Bonding Program'!$R$13&lt;&gt;"",L$3='Bonding Program'!$R$13),'Bonding Program'!$Q$13,0),0)</f>
        <v>0</v>
      </c>
      <c r="M154" s="19" t="n">
        <f aca="false">IF(AND('Bonding Program'!$S$13=1,M$3='Bonding Program'!$H$13),'Bonding Program'!$AA$13,0)-IF(M$3&lt;='Bonding Program'!$C$8,IF(AND('Bonding Program'!$K$13&lt;&gt;"",M$3='Bonding Program'!$K$13),'Bonding Program'!$J$13,0)-IF(AND('Bonding Program'!$M$13&lt;&gt;"",M$3='Bonding Program'!$M$13),'Bonding Program'!$L$13,0)-IF(AND('Bonding Program'!$P$13&lt;&gt;"",M$3='Bonding Program'!$P$13),'Bonding Program'!$O$13,0)-IF(AND('Bonding Program'!$R$13&lt;&gt;"",M$3='Bonding Program'!$R$13),'Bonding Program'!$Q$13,0),0)</f>
        <v>0</v>
      </c>
      <c r="N154" s="19" t="n">
        <f aca="false">IF(AND('Bonding Program'!$S$13=1,N$3='Bonding Program'!$H$13),'Bonding Program'!$AA$13,0)-IF(N$3&lt;='Bonding Program'!$C$8,IF(AND('Bonding Program'!$K$13&lt;&gt;"",N$3='Bonding Program'!$K$13),'Bonding Program'!$J$13,0)-IF(AND('Bonding Program'!$M$13&lt;&gt;"",N$3='Bonding Program'!$M$13),'Bonding Program'!$L$13,0)-IF(AND('Bonding Program'!$P$13&lt;&gt;"",N$3='Bonding Program'!$P$13),'Bonding Program'!$O$13,0)-IF(AND('Bonding Program'!$R$13&lt;&gt;"",N$3='Bonding Program'!$R$13),'Bonding Program'!$Q$13,0),0)</f>
        <v>0</v>
      </c>
      <c r="O154" s="19" t="n">
        <f aca="false">IF(AND('Bonding Program'!$S$13=1,O$3='Bonding Program'!$H$13),'Bonding Program'!$AA$13,0)-IF(O$3&lt;='Bonding Program'!$C$8,IF(AND('Bonding Program'!$K$13&lt;&gt;"",O$3='Bonding Program'!$K$13),'Bonding Program'!$J$13,0)-IF(AND('Bonding Program'!$M$13&lt;&gt;"",O$3='Bonding Program'!$M$13),'Bonding Program'!$L$13,0)-IF(AND('Bonding Program'!$P$13&lt;&gt;"",O$3='Bonding Program'!$P$13),'Bonding Program'!$O$13,0)-IF(AND('Bonding Program'!$R$13&lt;&gt;"",O$3='Bonding Program'!$R$13),'Bonding Program'!$Q$13,0),0)</f>
        <v>0</v>
      </c>
      <c r="P154" s="19" t="n">
        <f aca="false">IF(AND('Bonding Program'!$S$13=1,P$3='Bonding Program'!$H$13),'Bonding Program'!$AA$13,0)-IF(P$3&lt;='Bonding Program'!$C$8,IF(AND('Bonding Program'!$K$13&lt;&gt;"",P$3='Bonding Program'!$K$13),'Bonding Program'!$J$13,0)-IF(AND('Bonding Program'!$M$13&lt;&gt;"",P$3='Bonding Program'!$M$13),'Bonding Program'!$L$13,0)-IF(AND('Bonding Program'!$P$13&lt;&gt;"",P$3='Bonding Program'!$P$13),'Bonding Program'!$O$13,0)-IF(AND('Bonding Program'!$R$13&lt;&gt;"",P$3='Bonding Program'!$R$13),'Bonding Program'!$Q$13,0),0)</f>
        <v>0</v>
      </c>
      <c r="Q154" s="19" t="n">
        <f aca="false">IF(AND('Bonding Program'!$S$13=1,Q$3='Bonding Program'!$H$13),'Bonding Program'!$AA$13,0)-IF(Q$3&lt;='Bonding Program'!$C$8,IF(AND('Bonding Program'!$K$13&lt;&gt;"",Q$3='Bonding Program'!$K$13),'Bonding Program'!$J$13,0)-IF(AND('Bonding Program'!$M$13&lt;&gt;"",Q$3='Bonding Program'!$M$13),'Bonding Program'!$L$13,0)-IF(AND('Bonding Program'!$P$13&lt;&gt;"",Q$3='Bonding Program'!$P$13),'Bonding Program'!$O$13,0)-IF(AND('Bonding Program'!$R$13&lt;&gt;"",Q$3='Bonding Program'!$R$13),'Bonding Program'!$Q$13,0),0)</f>
        <v>0</v>
      </c>
      <c r="R154" s="19" t="n">
        <f aca="false">IF(AND('Bonding Program'!$S$13=1,R$3='Bonding Program'!$H$13),'Bonding Program'!$AA$13,0)-IF(R$3&lt;='Bonding Program'!$C$8,IF(AND('Bonding Program'!$K$13&lt;&gt;"",R$3='Bonding Program'!$K$13),'Bonding Program'!$J$13,0)-IF(AND('Bonding Program'!$M$13&lt;&gt;"",R$3='Bonding Program'!$M$13),'Bonding Program'!$L$13,0)-IF(AND('Bonding Program'!$P$13&lt;&gt;"",R$3='Bonding Program'!$P$13),'Bonding Program'!$O$13,0)-IF(AND('Bonding Program'!$R$13&lt;&gt;"",R$3='Bonding Program'!$R$13),'Bonding Program'!$Q$13,0),0)</f>
        <v>0</v>
      </c>
      <c r="S154" s="19" t="n">
        <f aca="false">IF(AND('Bonding Program'!$S$13=1,S$3='Bonding Program'!$H$13),'Bonding Program'!$AA$13,0)-IF(S$3&lt;='Bonding Program'!$C$8,IF(AND('Bonding Program'!$K$13&lt;&gt;"",S$3='Bonding Program'!$K$13),'Bonding Program'!$J$13,0)-IF(AND('Bonding Program'!$M$13&lt;&gt;"",S$3='Bonding Program'!$M$13),'Bonding Program'!$L$13,0)-IF(AND('Bonding Program'!$P$13&lt;&gt;"",S$3='Bonding Program'!$P$13),'Bonding Program'!$O$13,0)-IF(AND('Bonding Program'!$R$13&lt;&gt;"",S$3='Bonding Program'!$R$13),'Bonding Program'!$Q$13,0),0)</f>
        <v>0</v>
      </c>
      <c r="T154" s="19" t="n">
        <f aca="false">IF(AND('Bonding Program'!$S$13=1,T$3='Bonding Program'!$H$13),'Bonding Program'!$AA$13,0)-IF(T$3&lt;='Bonding Program'!$C$8,IF(AND('Bonding Program'!$K$13&lt;&gt;"",T$3='Bonding Program'!$K$13),'Bonding Program'!$J$13,0)-IF(AND('Bonding Program'!$M$13&lt;&gt;"",T$3='Bonding Program'!$M$13),'Bonding Program'!$L$13,0)-IF(AND('Bonding Program'!$P$13&lt;&gt;"",T$3='Bonding Program'!$P$13),'Bonding Program'!$O$13,0)-IF(AND('Bonding Program'!$R$13&lt;&gt;"",T$3='Bonding Program'!$R$13),'Bonding Program'!$Q$13,0),0)</f>
        <v>0</v>
      </c>
      <c r="U154" s="19" t="n">
        <f aca="false">IF(AND('Bonding Program'!$S$13=1,U$3='Bonding Program'!$H$13),'Bonding Program'!$AA$13,0)-IF(U$3&lt;='Bonding Program'!$C$8,IF(AND('Bonding Program'!$K$13&lt;&gt;"",U$3='Bonding Program'!$K$13),'Bonding Program'!$J$13,0)-IF(AND('Bonding Program'!$M$13&lt;&gt;"",U$3='Bonding Program'!$M$13),'Bonding Program'!$L$13,0)-IF(AND('Bonding Program'!$P$13&lt;&gt;"",U$3='Bonding Program'!$P$13),'Bonding Program'!$O$13,0)-IF(AND('Bonding Program'!$R$13&lt;&gt;"",U$3='Bonding Program'!$R$13),'Bonding Program'!$Q$13,0),0)</f>
        <v>0</v>
      </c>
      <c r="V154" s="19" t="n">
        <f aca="false">IF(AND('Bonding Program'!$S$13=1,V$3='Bonding Program'!$H$13),'Bonding Program'!$AA$13,0)-IF(V$3&lt;='Bonding Program'!$C$8,IF(AND('Bonding Program'!$K$13&lt;&gt;"",V$3='Bonding Program'!$K$13),'Bonding Program'!$J$13,0)-IF(AND('Bonding Program'!$M$13&lt;&gt;"",V$3='Bonding Program'!$M$13),'Bonding Program'!$L$13,0)-IF(AND('Bonding Program'!$P$13&lt;&gt;"",V$3='Bonding Program'!$P$13),'Bonding Program'!$O$13,0)-IF(AND('Bonding Program'!$R$13&lt;&gt;"",V$3='Bonding Program'!$R$13),'Bonding Program'!$Q$13,0),0)</f>
        <v>0</v>
      </c>
      <c r="W154" s="19" t="n">
        <f aca="false">IF(AND('Bonding Program'!$S$13=1,W$3='Bonding Program'!$H$13),'Bonding Program'!$AA$13,0)-IF(W$3&lt;='Bonding Program'!$C$8,IF(AND('Bonding Program'!$K$13&lt;&gt;"",W$3='Bonding Program'!$K$13),'Bonding Program'!$J$13,0)-IF(AND('Bonding Program'!$M$13&lt;&gt;"",W$3='Bonding Program'!$M$13),'Bonding Program'!$L$13,0)-IF(AND('Bonding Program'!$P$13&lt;&gt;"",W$3='Bonding Program'!$P$13),'Bonding Program'!$O$13,0)-IF(AND('Bonding Program'!$R$13&lt;&gt;"",W$3='Bonding Program'!$R$13),'Bonding Program'!$Q$13,0),0)</f>
        <v>0</v>
      </c>
      <c r="X154" s="19" t="n">
        <f aca="false">IF(AND('Bonding Program'!$S$13=1,X$3='Bonding Program'!$H$13),'Bonding Program'!$AA$13,0)-IF(X$3&lt;='Bonding Program'!$C$8,IF(AND('Bonding Program'!$K$13&lt;&gt;"",X$3='Bonding Program'!$K$13),'Bonding Program'!$J$13,0)-IF(AND('Bonding Program'!$M$13&lt;&gt;"",X$3='Bonding Program'!$M$13),'Bonding Program'!$L$13,0)-IF(AND('Bonding Program'!$P$13&lt;&gt;"",X$3='Bonding Program'!$P$13),'Bonding Program'!$O$13,0)-IF(AND('Bonding Program'!$R$13&lt;&gt;"",X$3='Bonding Program'!$R$13),'Bonding Program'!$Q$13,0),0)</f>
        <v>0</v>
      </c>
      <c r="Y154" s="19" t="n">
        <f aca="false">IF(AND('Bonding Program'!$S$13=1,Y$3='Bonding Program'!$H$13),'Bonding Program'!$AA$13,0)-IF(Y$3&lt;='Bonding Program'!$C$8,IF(AND('Bonding Program'!$K$13&lt;&gt;"",Y$3='Bonding Program'!$K$13),'Bonding Program'!$J$13,0)-IF(AND('Bonding Program'!$M$13&lt;&gt;"",Y$3='Bonding Program'!$M$13),'Bonding Program'!$L$13,0)-IF(AND('Bonding Program'!$P$13&lt;&gt;"",Y$3='Bonding Program'!$P$13),'Bonding Program'!$O$13,0)-IF(AND('Bonding Program'!$R$13&lt;&gt;"",Y$3='Bonding Program'!$R$13),'Bonding Program'!$Q$13,0),0)</f>
        <v>0</v>
      </c>
      <c r="Z154" s="19" t="n">
        <f aca="false">IF(AND('Bonding Program'!$S$13=1,Z$3='Bonding Program'!$H$13),'Bonding Program'!$AA$13,0)-IF(Z$3&lt;='Bonding Program'!$C$8,IF(AND('Bonding Program'!$K$13&lt;&gt;"",Z$3='Bonding Program'!$K$13),'Bonding Program'!$J$13,0)-IF(AND('Bonding Program'!$M$13&lt;&gt;"",Z$3='Bonding Program'!$M$13),'Bonding Program'!$L$13,0)-IF(AND('Bonding Program'!$P$13&lt;&gt;"",Z$3='Bonding Program'!$P$13),'Bonding Program'!$O$13,0)-IF(AND('Bonding Program'!$R$13&lt;&gt;"",Z$3='Bonding Program'!$R$13),'Bonding Program'!$Q$13,0),0)</f>
        <v>0</v>
      </c>
      <c r="AA154" s="19" t="n">
        <f aca="false">IF(AND('Bonding Program'!$S$13=1,AA$3='Bonding Program'!$H$13),'Bonding Program'!$AA$13,0)-IF(AA$3&lt;='Bonding Program'!$C$8,IF(AND('Bonding Program'!$K$13&lt;&gt;"",AA$3='Bonding Program'!$K$13),'Bonding Program'!$J$13,0)-IF(AND('Bonding Program'!$M$13&lt;&gt;"",AA$3='Bonding Program'!$M$13),'Bonding Program'!$L$13,0)-IF(AND('Bonding Program'!$P$13&lt;&gt;"",AA$3='Bonding Program'!$P$13),'Bonding Program'!$O$13,0)-IF(AND('Bonding Program'!$R$13&lt;&gt;"",AA$3='Bonding Program'!$R$13),'Bonding Program'!$Q$13,0),0)</f>
        <v>0</v>
      </c>
      <c r="AB154" s="19" t="n">
        <f aca="false">IF(AND('Bonding Program'!$S$13=1,AB$3='Bonding Program'!$H$13),'Bonding Program'!$AA$13,0)-IF(AB$3&lt;='Bonding Program'!$C$8,IF(AND('Bonding Program'!$K$13&lt;&gt;"",AB$3='Bonding Program'!$K$13),'Bonding Program'!$J$13,0)-IF(AND('Bonding Program'!$M$13&lt;&gt;"",AB$3='Bonding Program'!$M$13),'Bonding Program'!$L$13,0)-IF(AND('Bonding Program'!$P$13&lt;&gt;"",AB$3='Bonding Program'!$P$13),'Bonding Program'!$O$13,0)-IF(AND('Bonding Program'!$R$13&lt;&gt;"",AB$3='Bonding Program'!$R$13),'Bonding Program'!$Q$13,0),0)</f>
        <v>0</v>
      </c>
      <c r="AC154" s="19" t="n">
        <f aca="false">IF(AND('Bonding Program'!$S$13=1,AC$3='Bonding Program'!$H$13),'Bonding Program'!$AA$13,0)-IF(AC$3&lt;='Bonding Program'!$C$8,IF(AND('Bonding Program'!$K$13&lt;&gt;"",AC$3='Bonding Program'!$K$13),'Bonding Program'!$J$13,0)-IF(AND('Bonding Program'!$M$13&lt;&gt;"",AC$3='Bonding Program'!$M$13),'Bonding Program'!$L$13,0)-IF(AND('Bonding Program'!$P$13&lt;&gt;"",AC$3='Bonding Program'!$P$13),'Bonding Program'!$O$13,0)-IF(AND('Bonding Program'!$R$13&lt;&gt;"",AC$3='Bonding Program'!$R$13),'Bonding Program'!$Q$13,0),0)</f>
        <v>0</v>
      </c>
      <c r="AD154" s="19" t="n">
        <f aca="false">IF(AND('Bonding Program'!$S$13=1,AD$3='Bonding Program'!$H$13),'Bonding Program'!$AA$13,0)-IF(AD$3&lt;='Bonding Program'!$C$8,IF(AND('Bonding Program'!$K$13&lt;&gt;"",AD$3='Bonding Program'!$K$13),'Bonding Program'!$J$13,0)-IF(AND('Bonding Program'!$M$13&lt;&gt;"",AD$3='Bonding Program'!$M$13),'Bonding Program'!$L$13,0)-IF(AND('Bonding Program'!$P$13&lt;&gt;"",AD$3='Bonding Program'!$P$13),'Bonding Program'!$O$13,0)-IF(AND('Bonding Program'!$R$13&lt;&gt;"",AD$3='Bonding Program'!$R$13),'Bonding Program'!$Q$13,0),0)</f>
        <v>0</v>
      </c>
      <c r="AE154" s="19" t="n">
        <f aca="false">IF(AND('Bonding Program'!$S$13=1,AE$3='Bonding Program'!$H$13),'Bonding Program'!$AA$13,0)-IF(AE$3&lt;='Bonding Program'!$C$8,IF(AND('Bonding Program'!$K$13&lt;&gt;"",AE$3='Bonding Program'!$K$13),'Bonding Program'!$J$13,0)-IF(AND('Bonding Program'!$M$13&lt;&gt;"",AE$3='Bonding Program'!$M$13),'Bonding Program'!$L$13,0)-IF(AND('Bonding Program'!$P$13&lt;&gt;"",AE$3='Bonding Program'!$P$13),'Bonding Program'!$O$13,0)-IF(AND('Bonding Program'!$R$13&lt;&gt;"",AE$3='Bonding Program'!$R$13),'Bonding Program'!$Q$13,0),0)</f>
        <v>0</v>
      </c>
      <c r="AF154" s="19" t="n">
        <f aca="false">IF(AND('Bonding Program'!$S$13=1,AF$3='Bonding Program'!$H$13),'Bonding Program'!$AA$13,0)-IF(AF$3&lt;='Bonding Program'!$C$8,IF(AND('Bonding Program'!$K$13&lt;&gt;"",AF$3='Bonding Program'!$K$13),'Bonding Program'!$J$13,0)-IF(AND('Bonding Program'!$M$13&lt;&gt;"",AF$3='Bonding Program'!$M$13),'Bonding Program'!$L$13,0)-IF(AND('Bonding Program'!$P$13&lt;&gt;"",AF$3='Bonding Program'!$P$13),'Bonding Program'!$O$13,0)-IF(AND('Bonding Program'!$R$13&lt;&gt;"",AF$3='Bonding Program'!$R$13),'Bonding Program'!$Q$13,0),0)</f>
        <v>0</v>
      </c>
      <c r="AG154" s="19" t="n">
        <f aca="false">IF(AND('Bonding Program'!$S$13=1,AG$3='Bonding Program'!$H$13),'Bonding Program'!$AA$13,0)-IF(AG$3&lt;='Bonding Program'!$C$8,IF(AND('Bonding Program'!$K$13&lt;&gt;"",AG$3='Bonding Program'!$K$13),'Bonding Program'!$J$13,0)-IF(AND('Bonding Program'!$M$13&lt;&gt;"",AG$3='Bonding Program'!$M$13),'Bonding Program'!$L$13,0)-IF(AND('Bonding Program'!$P$13&lt;&gt;"",AG$3='Bonding Program'!$P$13),'Bonding Program'!$O$13,0)-IF(AND('Bonding Program'!$R$13&lt;&gt;"",AG$3='Bonding Program'!$R$13),'Bonding Program'!$Q$13,0),0)</f>
        <v>0</v>
      </c>
      <c r="AH154" s="19" t="n">
        <f aca="false">IF(AND('Bonding Program'!$S$13=1,AH$3='Bonding Program'!$H$13),'Bonding Program'!$AA$13,0)-IF(AH$3&lt;='Bonding Program'!$C$8,IF(AND('Bonding Program'!$K$13&lt;&gt;"",AH$3='Bonding Program'!$K$13),'Bonding Program'!$J$13,0)-IF(AND('Bonding Program'!$M$13&lt;&gt;"",AH$3='Bonding Program'!$M$13),'Bonding Program'!$L$13,0)-IF(AND('Bonding Program'!$P$13&lt;&gt;"",AH$3='Bonding Program'!$P$13),'Bonding Program'!$O$13,0)-IF(AND('Bonding Program'!$R$13&lt;&gt;"",AH$3='Bonding Program'!$R$13),'Bonding Program'!$Q$13,0),0)</f>
        <v>0</v>
      </c>
      <c r="AI154" s="19" t="n">
        <f aca="false">IF(AND('Bonding Program'!$S$13=1,AI$3='Bonding Program'!$H$13),'Bonding Program'!$AA$13,0)-IF(AI$3&lt;='Bonding Program'!$C$8,IF(AND('Bonding Program'!$K$13&lt;&gt;"",AI$3='Bonding Program'!$K$13),'Bonding Program'!$J$13,0)-IF(AND('Bonding Program'!$M$13&lt;&gt;"",AI$3='Bonding Program'!$M$13),'Bonding Program'!$L$13,0)-IF(AND('Bonding Program'!$P$13&lt;&gt;"",AI$3='Bonding Program'!$P$13),'Bonding Program'!$O$13,0)-IF(AND('Bonding Program'!$R$13&lt;&gt;"",AI$3='Bonding Program'!$R$13),'Bonding Program'!$Q$13,0),0)</f>
        <v>0</v>
      </c>
      <c r="AJ154" s="19" t="n">
        <f aca="false">IF(AND('Bonding Program'!$S$13=1,AJ$3='Bonding Program'!$H$13),'Bonding Program'!$AA$13,0)-IF(AJ$3&lt;='Bonding Program'!$C$8,IF(AND('Bonding Program'!$K$13&lt;&gt;"",AJ$3='Bonding Program'!$K$13),'Bonding Program'!$J$13,0)-IF(AND('Bonding Program'!$M$13&lt;&gt;"",AJ$3='Bonding Program'!$M$13),'Bonding Program'!$L$13,0)-IF(AND('Bonding Program'!$P$13&lt;&gt;"",AJ$3='Bonding Program'!$P$13),'Bonding Program'!$O$13,0)-IF(AND('Bonding Program'!$R$13&lt;&gt;"",AJ$3='Bonding Program'!$R$13),'Bonding Program'!$Q$13,0),0)</f>
        <v>0</v>
      </c>
      <c r="AK154" s="19" t="n">
        <f aca="false">IF(AND('Bonding Program'!$S$13=1,AK$3='Bonding Program'!$H$13),'Bonding Program'!$AA$13,0)-IF(AK$3&lt;='Bonding Program'!$C$8,IF(AND('Bonding Program'!$K$13&lt;&gt;"",AK$3='Bonding Program'!$K$13),'Bonding Program'!$J$13,0)-IF(AND('Bonding Program'!$M$13&lt;&gt;"",AK$3='Bonding Program'!$M$13),'Bonding Program'!$L$13,0)-IF(AND('Bonding Program'!$P$13&lt;&gt;"",AK$3='Bonding Program'!$P$13),'Bonding Program'!$O$13,0)-IF(AND('Bonding Program'!$R$13&lt;&gt;"",AK$3='Bonding Program'!$R$13),'Bonding Program'!$Q$13,0),0)</f>
        <v>0</v>
      </c>
      <c r="AL154" s="19" t="n">
        <f aca="false">IF(AND('Bonding Program'!$S$13=1,AL$3='Bonding Program'!$H$13),'Bonding Program'!$AA$13,0)-IF(AL$3&lt;='Bonding Program'!$C$8,IF(AND('Bonding Program'!$K$13&lt;&gt;"",AL$3='Bonding Program'!$K$13),'Bonding Program'!$J$13,0)-IF(AND('Bonding Program'!$M$13&lt;&gt;"",AL$3='Bonding Program'!$M$13),'Bonding Program'!$L$13,0)-IF(AND('Bonding Program'!$P$13&lt;&gt;"",AL$3='Bonding Program'!$P$13),'Bonding Program'!$O$13,0)-IF(AND('Bonding Program'!$R$13&lt;&gt;"",AL$3='Bonding Program'!$R$13),'Bonding Program'!$Q$13,0),0)</f>
        <v>0</v>
      </c>
      <c r="AM154" s="19" t="n">
        <f aca="false">IF(AND('Bonding Program'!$S$13=1,AM$3='Bonding Program'!$H$13),'Bonding Program'!$AA$13,0)-IF(AM$3&lt;='Bonding Program'!$C$8,IF(AND('Bonding Program'!$K$13&lt;&gt;"",AM$3='Bonding Program'!$K$13),'Bonding Program'!$J$13,0)-IF(AND('Bonding Program'!$M$13&lt;&gt;"",AM$3='Bonding Program'!$M$13),'Bonding Program'!$L$13,0)-IF(AND('Bonding Program'!$P$13&lt;&gt;"",AM$3='Bonding Program'!$P$13),'Bonding Program'!$O$13,0)-IF(AND('Bonding Program'!$R$13&lt;&gt;"",AM$3='Bonding Program'!$R$13),'Bonding Program'!$Q$13,0),0)</f>
        <v>0</v>
      </c>
      <c r="AN154" s="19" t="n">
        <f aca="false">IF(AND('Bonding Program'!$S$13=1,AN$3='Bonding Program'!$H$13),'Bonding Program'!$AA$13,0)-IF(AN$3&lt;='Bonding Program'!$C$8,IF(AND('Bonding Program'!$K$13&lt;&gt;"",AN$3='Bonding Program'!$K$13),'Bonding Program'!$J$13,0)-IF(AND('Bonding Program'!$M$13&lt;&gt;"",AN$3='Bonding Program'!$M$13),'Bonding Program'!$L$13,0)-IF(AND('Bonding Program'!$P$13&lt;&gt;"",AN$3='Bonding Program'!$P$13),'Bonding Program'!$O$13,0)-IF(AND('Bonding Program'!$R$13&lt;&gt;"",AN$3='Bonding Program'!$R$13),'Bonding Program'!$Q$13,0),0)</f>
        <v>0</v>
      </c>
      <c r="AO154" s="19" t="n">
        <f aca="false">IF(AND('Bonding Program'!$S$13=1,AO$3='Bonding Program'!$H$13),'Bonding Program'!$AA$13,0)-IF(AO$3&lt;='Bonding Program'!$C$8,IF(AND('Bonding Program'!$K$13&lt;&gt;"",AO$3='Bonding Program'!$K$13),'Bonding Program'!$J$13,0)-IF(AND('Bonding Program'!$M$13&lt;&gt;"",AO$3='Bonding Program'!$M$13),'Bonding Program'!$L$13,0)-IF(AND('Bonding Program'!$P$13&lt;&gt;"",AO$3='Bonding Program'!$P$13),'Bonding Program'!$O$13,0)-IF(AND('Bonding Program'!$R$13&lt;&gt;"",AO$3='Bonding Program'!$R$13),'Bonding Program'!$Q$13,0),0)</f>
        <v>0</v>
      </c>
      <c r="AP154" s="19" t="n">
        <f aca="false">IF(AND('Bonding Program'!$S$13=1,AP$3='Bonding Program'!$H$13),'Bonding Program'!$AA$13,0)-IF(AP$3&lt;='Bonding Program'!$C$8,IF(AND('Bonding Program'!$K$13&lt;&gt;"",AP$3='Bonding Program'!$K$13),'Bonding Program'!$J$13,0)-IF(AND('Bonding Program'!$M$13&lt;&gt;"",AP$3='Bonding Program'!$M$13),'Bonding Program'!$L$13,0)-IF(AND('Bonding Program'!$P$13&lt;&gt;"",AP$3='Bonding Program'!$P$13),'Bonding Program'!$O$13,0)-IF(AND('Bonding Program'!$R$13&lt;&gt;"",AP$3='Bonding Program'!$R$13),'Bonding Program'!$Q$13,0),0)</f>
        <v>0</v>
      </c>
      <c r="AQ154" s="19" t="n">
        <f aca="false">IF(AND('Bonding Program'!$S$13=1,AQ$3='Bonding Program'!$H$13),'Bonding Program'!$AA$13,0)-IF(AQ$3&lt;='Bonding Program'!$C$8,IF(AND('Bonding Program'!$K$13&lt;&gt;"",AQ$3='Bonding Program'!$K$13),'Bonding Program'!$J$13,0)-IF(AND('Bonding Program'!$M$13&lt;&gt;"",AQ$3='Bonding Program'!$M$13),'Bonding Program'!$L$13,0)-IF(AND('Bonding Program'!$P$13&lt;&gt;"",AQ$3='Bonding Program'!$P$13),'Bonding Program'!$O$13,0)-IF(AND('Bonding Program'!$R$13&lt;&gt;"",AQ$3='Bonding Program'!$R$13),'Bonding Program'!$Q$13,0),0)</f>
        <v>0</v>
      </c>
      <c r="AR154" s="19" t="n">
        <f aca="false">IF(AND('Bonding Program'!$S$13=1,AR$3='Bonding Program'!$H$13),'Bonding Program'!$AA$13,0)-IF(AR$3&lt;='Bonding Program'!$C$8,IF(AND('Bonding Program'!$K$13&lt;&gt;"",AR$3='Bonding Program'!$K$13),'Bonding Program'!$J$13,0)-IF(AND('Bonding Program'!$M$13&lt;&gt;"",AR$3='Bonding Program'!$M$13),'Bonding Program'!$L$13,0)-IF(AND('Bonding Program'!$P$13&lt;&gt;"",AR$3='Bonding Program'!$P$13),'Bonding Program'!$O$13,0)-IF(AND('Bonding Program'!$R$13&lt;&gt;"",AR$3='Bonding Program'!$R$13),'Bonding Program'!$Q$13,0),0)</f>
        <v>0</v>
      </c>
      <c r="AS154" s="19" t="n">
        <f aca="false">IF(AND('Bonding Program'!$S$13=1,AS$3='Bonding Program'!$H$13),'Bonding Program'!$AA$13,0)-IF(AS$3&lt;='Bonding Program'!$C$8,IF(AND('Bonding Program'!$K$13&lt;&gt;"",AS$3='Bonding Program'!$K$13),'Bonding Program'!$J$13,0)-IF(AND('Bonding Program'!$M$13&lt;&gt;"",AS$3='Bonding Program'!$M$13),'Bonding Program'!$L$13,0)-IF(AND('Bonding Program'!$P$13&lt;&gt;"",AS$3='Bonding Program'!$P$13),'Bonding Program'!$O$13,0)-IF(AND('Bonding Program'!$R$13&lt;&gt;"",AS$3='Bonding Program'!$R$13),'Bonding Program'!$Q$13,0),0)</f>
        <v>0</v>
      </c>
      <c r="AT154" s="19" t="n">
        <f aca="false">IF(AND('Bonding Program'!$S$13=1,AT$3='Bonding Program'!$H$13),'Bonding Program'!$AA$13,0)-IF(AT$3&lt;='Bonding Program'!$C$8,IF(AND('Bonding Program'!$K$13&lt;&gt;"",AT$3='Bonding Program'!$K$13),'Bonding Program'!$J$13,0)-IF(AND('Bonding Program'!$M$13&lt;&gt;"",AT$3='Bonding Program'!$M$13),'Bonding Program'!$L$13,0)-IF(AND('Bonding Program'!$P$13&lt;&gt;"",AT$3='Bonding Program'!$P$13),'Bonding Program'!$O$13,0)-IF(AND('Bonding Program'!$R$13&lt;&gt;"",AT$3='Bonding Program'!$R$13),'Bonding Program'!$Q$13,0),0)</f>
        <v>0</v>
      </c>
      <c r="AU154" s="19" t="n">
        <f aca="false">IF(AND('Bonding Program'!$S$13=1,AU$3='Bonding Program'!$H$13),'Bonding Program'!$AA$13,0)-IF(AU$3&lt;='Bonding Program'!$C$8,IF(AND('Bonding Program'!$K$13&lt;&gt;"",AU$3='Bonding Program'!$K$13),'Bonding Program'!$J$13,0)-IF(AND('Bonding Program'!$M$13&lt;&gt;"",AU$3='Bonding Program'!$M$13),'Bonding Program'!$L$13,0)-IF(AND('Bonding Program'!$P$13&lt;&gt;"",AU$3='Bonding Program'!$P$13),'Bonding Program'!$O$13,0)-IF(AND('Bonding Program'!$R$13&lt;&gt;"",AU$3='Bonding Program'!$R$13),'Bonding Program'!$Q$13,0),0)</f>
        <v>0</v>
      </c>
      <c r="AV154" s="19" t="n">
        <f aca="false">IF(AND('Bonding Program'!$S$13=1,AV$3='Bonding Program'!$H$13),'Bonding Program'!$AA$13,0)-IF(AV$3&lt;='Bonding Program'!$C$8,IF(AND('Bonding Program'!$K$13&lt;&gt;"",AV$3='Bonding Program'!$K$13),'Bonding Program'!$J$13,0)-IF(AND('Bonding Program'!$M$13&lt;&gt;"",AV$3='Bonding Program'!$M$13),'Bonding Program'!$L$13,0)-IF(AND('Bonding Program'!$P$13&lt;&gt;"",AV$3='Bonding Program'!$P$13),'Bonding Program'!$O$13,0)-IF(AND('Bonding Program'!$R$13&lt;&gt;"",AV$3='Bonding Program'!$R$13),'Bonding Program'!$Q$13,0),0)</f>
        <v>0</v>
      </c>
      <c r="AW154" s="19" t="n">
        <f aca="false">IF(AND('Bonding Program'!$S$13=1,AW$3='Bonding Program'!$H$13),'Bonding Program'!$AA$13,0)-IF(AW$3&lt;='Bonding Program'!$C$8,IF(AND('Bonding Program'!$K$13&lt;&gt;"",AW$3='Bonding Program'!$K$13),'Bonding Program'!$J$13,0)-IF(AND('Bonding Program'!$M$13&lt;&gt;"",AW$3='Bonding Program'!$M$13),'Bonding Program'!$L$13,0)-IF(AND('Bonding Program'!$P$13&lt;&gt;"",AW$3='Bonding Program'!$P$13),'Bonding Program'!$O$13,0)-IF(AND('Bonding Program'!$R$13&lt;&gt;"",AW$3='Bonding Program'!$R$13),'Bonding Program'!$Q$13,0),0)</f>
        <v>0</v>
      </c>
      <c r="AX154" s="19" t="n">
        <f aca="false">IF(AND('Bonding Program'!$S$13=1,AX$3='Bonding Program'!$H$13),'Bonding Program'!$AA$13,0)-IF(AX$3&lt;='Bonding Program'!$C$8,IF(AND('Bonding Program'!$K$13&lt;&gt;"",AX$3='Bonding Program'!$K$13),'Bonding Program'!$J$13,0)-IF(AND('Bonding Program'!$M$13&lt;&gt;"",AX$3='Bonding Program'!$M$13),'Bonding Program'!$L$13,0)-IF(AND('Bonding Program'!$P$13&lt;&gt;"",AX$3='Bonding Program'!$P$13),'Bonding Program'!$O$13,0)-IF(AND('Bonding Program'!$R$13&lt;&gt;"",AX$3='Bonding Program'!$R$13),'Bonding Program'!$Q$13,0),0)</f>
        <v>0</v>
      </c>
      <c r="AY154" s="19" t="n">
        <f aca="false">IF(AND('Bonding Program'!$S$13=1,AY$3='Bonding Program'!$H$13),'Bonding Program'!$AA$13,0)-IF(AY$3&lt;='Bonding Program'!$C$8,IF(AND('Bonding Program'!$K$13&lt;&gt;"",AY$3='Bonding Program'!$K$13),'Bonding Program'!$J$13,0)-IF(AND('Bonding Program'!$M$13&lt;&gt;"",AY$3='Bonding Program'!$M$13),'Bonding Program'!$L$13,0)-IF(AND('Bonding Program'!$P$13&lt;&gt;"",AY$3='Bonding Program'!$P$13),'Bonding Program'!$O$13,0)-IF(AND('Bonding Program'!$R$13&lt;&gt;"",AY$3='Bonding Program'!$R$13),'Bonding Program'!$Q$13,0),0)</f>
        <v>0</v>
      </c>
      <c r="AZ154" s="19" t="n">
        <f aca="false">IF(AND('Bonding Program'!$S$13=1,AZ$3='Bonding Program'!$H$13),'Bonding Program'!$AA$13,0)-IF(AZ$3&lt;='Bonding Program'!$C$8,IF(AND('Bonding Program'!$K$13&lt;&gt;"",AZ$3='Bonding Program'!$K$13),'Bonding Program'!$J$13,0)-IF(AND('Bonding Program'!$M$13&lt;&gt;"",AZ$3='Bonding Program'!$M$13),'Bonding Program'!$L$13,0)-IF(AND('Bonding Program'!$P$13&lt;&gt;"",AZ$3='Bonding Program'!$P$13),'Bonding Program'!$O$13,0)-IF(AND('Bonding Program'!$R$13&lt;&gt;"",AZ$3='Bonding Program'!$R$13),'Bonding Program'!$Q$13,0),0)</f>
        <v>0</v>
      </c>
      <c r="BA154" s="19" t="n">
        <f aca="false">IF(AND('Bonding Program'!$S$13=1,BA$3='Bonding Program'!$H$13),'Bonding Program'!$AA$13,0)-IF(BA$3&lt;='Bonding Program'!$C$8,IF(AND('Bonding Program'!$K$13&lt;&gt;"",BA$3='Bonding Program'!$K$13),'Bonding Program'!$J$13,0)-IF(AND('Bonding Program'!$M$13&lt;&gt;"",BA$3='Bonding Program'!$M$13),'Bonding Program'!$L$13,0)-IF(AND('Bonding Program'!$P$13&lt;&gt;"",BA$3='Bonding Program'!$P$13),'Bonding Program'!$O$13,0)-IF(AND('Bonding Program'!$R$13&lt;&gt;"",BA$3='Bonding Program'!$R$13),'Bonding Program'!$Q$13,0),0)</f>
        <v>0</v>
      </c>
      <c r="BB154" s="19" t="n">
        <f aca="false">IF(AND('Bonding Program'!$S$13=1,BB$3='Bonding Program'!$H$13),'Bonding Program'!$AA$13,0)-IF(BB$3&lt;='Bonding Program'!$C$8,IF(AND('Bonding Program'!$K$13&lt;&gt;"",BB$3='Bonding Program'!$K$13),'Bonding Program'!$J$13,0)-IF(AND('Bonding Program'!$M$13&lt;&gt;"",BB$3='Bonding Program'!$M$13),'Bonding Program'!$L$13,0)-IF(AND('Bonding Program'!$P$13&lt;&gt;"",BB$3='Bonding Program'!$P$13),'Bonding Program'!$O$13,0)-IF(AND('Bonding Program'!$R$13&lt;&gt;"",BB$3='Bonding Program'!$R$13),'Bonding Program'!$Q$13,0),0)</f>
        <v>0</v>
      </c>
      <c r="BC154" s="19" t="n">
        <f aca="false">IF(AND('Bonding Program'!$S$13=1,BC$3='Bonding Program'!$H$13),'Bonding Program'!$AA$13,0)-IF(BC$3&lt;='Bonding Program'!$C$8,IF(AND('Bonding Program'!$K$13&lt;&gt;"",BC$3='Bonding Program'!$K$13),'Bonding Program'!$J$13,0)-IF(AND('Bonding Program'!$M$13&lt;&gt;"",BC$3='Bonding Program'!$M$13),'Bonding Program'!$L$13,0)-IF(AND('Bonding Program'!$P$13&lt;&gt;"",BC$3='Bonding Program'!$P$13),'Bonding Program'!$O$13,0)-IF(AND('Bonding Program'!$R$13&lt;&gt;"",BC$3='Bonding Program'!$R$13),'Bonding Program'!$Q$13,0),0)</f>
        <v>0</v>
      </c>
      <c r="BD154" s="19" t="n">
        <f aca="false">IF(AND('Bonding Program'!$S$13=1,BD$3='Bonding Program'!$H$13),'Bonding Program'!$AA$13,0)-IF(BD$3&lt;='Bonding Program'!$C$8,IF(AND('Bonding Program'!$K$13&lt;&gt;"",BD$3='Bonding Program'!$K$13),'Bonding Program'!$J$13,0)-IF(AND('Bonding Program'!$M$13&lt;&gt;"",BD$3='Bonding Program'!$M$13),'Bonding Program'!$L$13,0)-IF(AND('Bonding Program'!$P$13&lt;&gt;"",BD$3='Bonding Program'!$P$13),'Bonding Program'!$O$13,0)-IF(AND('Bonding Program'!$R$13&lt;&gt;"",BD$3='Bonding Program'!$R$13),'Bonding Program'!$Q$13,0),0)</f>
        <v>0</v>
      </c>
      <c r="BE154" s="19" t="n">
        <f aca="false">IF(AND('Bonding Program'!$S$13=1,BE$3='Bonding Program'!$H$13),'Bonding Program'!$AA$13,0)-IF(BE$3&lt;='Bonding Program'!$C$8,IF(AND('Bonding Program'!$K$13&lt;&gt;"",BE$3='Bonding Program'!$K$13),'Bonding Program'!$J$13,0)-IF(AND('Bonding Program'!$M$13&lt;&gt;"",BE$3='Bonding Program'!$M$13),'Bonding Program'!$L$13,0)-IF(AND('Bonding Program'!$P$13&lt;&gt;"",BE$3='Bonding Program'!$P$13),'Bonding Program'!$O$13,0)-IF(AND('Bonding Program'!$R$13&lt;&gt;"",BE$3='Bonding Program'!$R$13),'Bonding Program'!$Q$13,0),0)</f>
        <v>0</v>
      </c>
      <c r="BF154" s="19" t="n">
        <f aca="false">IF(AND('Bonding Program'!$S$13=1,BF$3='Bonding Program'!$H$13),'Bonding Program'!$AA$13,0)-IF(BF$3&lt;='Bonding Program'!$C$8,IF(AND('Bonding Program'!$K$13&lt;&gt;"",BF$3='Bonding Program'!$K$13),'Bonding Program'!$J$13,0)-IF(AND('Bonding Program'!$M$13&lt;&gt;"",BF$3='Bonding Program'!$M$13),'Bonding Program'!$L$13,0)-IF(AND('Bonding Program'!$P$13&lt;&gt;"",BF$3='Bonding Program'!$P$13),'Bonding Program'!$O$13,0)-IF(AND('Bonding Program'!$R$13&lt;&gt;"",BF$3='Bonding Program'!$R$13),'Bonding Program'!$Q$13,0),0)</f>
        <v>0</v>
      </c>
      <c r="BG154" s="19" t="n">
        <f aca="false">IF(AND('Bonding Program'!$S$13=1,BG$3='Bonding Program'!$H$13),'Bonding Program'!$AA$13,0)-IF(BG$3&lt;='Bonding Program'!$C$8,IF(AND('Bonding Program'!$K$13&lt;&gt;"",BG$3='Bonding Program'!$K$13),'Bonding Program'!$J$13,0)-IF(AND('Bonding Program'!$M$13&lt;&gt;"",BG$3='Bonding Program'!$M$13),'Bonding Program'!$L$13,0)-IF(AND('Bonding Program'!$P$13&lt;&gt;"",BG$3='Bonding Program'!$P$13),'Bonding Program'!$O$13,0)-IF(AND('Bonding Program'!$R$13&lt;&gt;"",BG$3='Bonding Program'!$R$13),'Bonding Program'!$Q$13,0),0)</f>
        <v>0</v>
      </c>
      <c r="BH154" s="19" t="n">
        <f aca="false">IF(AND('Bonding Program'!$S$13=1,BH$3='Bonding Program'!$H$13),'Bonding Program'!$AA$13,0)-IF(BH$3&lt;='Bonding Program'!$C$8,IF(AND('Bonding Program'!$K$13&lt;&gt;"",BH$3='Bonding Program'!$K$13),'Bonding Program'!$J$13,0)-IF(AND('Bonding Program'!$M$13&lt;&gt;"",BH$3='Bonding Program'!$M$13),'Bonding Program'!$L$13,0)-IF(AND('Bonding Program'!$P$13&lt;&gt;"",BH$3='Bonding Program'!$P$13),'Bonding Program'!$O$13,0)-IF(AND('Bonding Program'!$R$13&lt;&gt;"",BH$3='Bonding Program'!$R$13),'Bonding Program'!$Q$13,0),0)</f>
        <v>0</v>
      </c>
      <c r="BI154" s="19" t="n">
        <f aca="false">IF(AND('Bonding Program'!$S$13=1,BI$3='Bonding Program'!$H$13),'Bonding Program'!$AA$13,0)-IF(BI$3&lt;='Bonding Program'!$C$8,IF(AND('Bonding Program'!$K$13&lt;&gt;"",BI$3='Bonding Program'!$K$13),'Bonding Program'!$J$13,0)-IF(AND('Bonding Program'!$M$13&lt;&gt;"",BI$3='Bonding Program'!$M$13),'Bonding Program'!$L$13,0)-IF(AND('Bonding Program'!$P$13&lt;&gt;"",BI$3='Bonding Program'!$P$13),'Bonding Program'!$O$13,0)-IF(AND('Bonding Program'!$R$13&lt;&gt;"",BI$3='Bonding Program'!$R$13),'Bonding Program'!$Q$13,0),0)</f>
        <v>0</v>
      </c>
      <c r="BJ154" s="19" t="n">
        <f aca="false">IF(AND('Bonding Program'!$S$13=1,BJ$3='Bonding Program'!$H$13),'Bonding Program'!$AA$13,0)-IF(BJ$3&lt;='Bonding Program'!$C$8,IF(AND('Bonding Program'!$K$13&lt;&gt;"",BJ$3='Bonding Program'!$K$13),'Bonding Program'!$J$13,0)-IF(AND('Bonding Program'!$M$13&lt;&gt;"",BJ$3='Bonding Program'!$M$13),'Bonding Program'!$L$13,0)-IF(AND('Bonding Program'!$P$13&lt;&gt;"",BJ$3='Bonding Program'!$P$13),'Bonding Program'!$O$13,0)-IF(AND('Bonding Program'!$R$13&lt;&gt;"",BJ$3='Bonding Program'!$R$13),'Bonding Program'!$Q$13,0),0)</f>
        <v>0</v>
      </c>
      <c r="BK154" s="19" t="n">
        <f aca="false">IF(AND('Bonding Program'!$S$13=1,BK$3='Bonding Program'!$H$13),'Bonding Program'!$AA$13,0)-IF(BK$3&lt;='Bonding Program'!$C$8,IF(AND('Bonding Program'!$K$13&lt;&gt;"",BK$3='Bonding Program'!$K$13),'Bonding Program'!$J$13,0)-IF(AND('Bonding Program'!$M$13&lt;&gt;"",BK$3='Bonding Program'!$M$13),'Bonding Program'!$L$13,0)-IF(AND('Bonding Program'!$P$13&lt;&gt;"",BK$3='Bonding Program'!$P$13),'Bonding Program'!$O$13,0)-IF(AND('Bonding Program'!$R$13&lt;&gt;"",BK$3='Bonding Program'!$R$13),'Bonding Program'!$Q$13,0),0)</f>
        <v>0</v>
      </c>
      <c r="BL154" s="19" t="n">
        <f aca="false">IF(AND('Bonding Program'!$S$13=1,BL$3='Bonding Program'!$H$13),'Bonding Program'!$AA$13,0)-IF(BL$3&lt;='Bonding Program'!$C$8,IF(AND('Bonding Program'!$K$13&lt;&gt;"",BL$3='Bonding Program'!$K$13),'Bonding Program'!$J$13,0)-IF(AND('Bonding Program'!$M$13&lt;&gt;"",BL$3='Bonding Program'!$M$13),'Bonding Program'!$L$13,0)-IF(AND('Bonding Program'!$P$13&lt;&gt;"",BL$3='Bonding Program'!$P$13),'Bonding Program'!$O$13,0)-IF(AND('Bonding Program'!$R$13&lt;&gt;"",BL$3='Bonding Program'!$R$13),'Bonding Program'!$Q$13,0),0)</f>
        <v>0</v>
      </c>
      <c r="BM154" s="19" t="n">
        <f aca="false">IF(AND('Bonding Program'!$S$13=1,BM$3='Bonding Program'!$H$13),'Bonding Program'!$AA$13,0)-IF(BM$3&lt;='Bonding Program'!$C$8,IF(AND('Bonding Program'!$K$13&lt;&gt;"",BM$3='Bonding Program'!$K$13),'Bonding Program'!$J$13,0)-IF(AND('Bonding Program'!$M$13&lt;&gt;"",BM$3='Bonding Program'!$M$13),'Bonding Program'!$L$13,0)-IF(AND('Bonding Program'!$P$13&lt;&gt;"",BM$3='Bonding Program'!$P$13),'Bonding Program'!$O$13,0)-IF(AND('Bonding Program'!$R$13&lt;&gt;"",BM$3='Bonding Program'!$R$13),'Bonding Program'!$Q$13,0),0)</f>
        <v>0</v>
      </c>
      <c r="BN154" s="19" t="n">
        <f aca="false">IF(AND('Bonding Program'!$S$13=1,BN$3='Bonding Program'!$H$13),'Bonding Program'!$AA$13,0)-IF(BN$3&lt;='Bonding Program'!$C$8,IF(AND('Bonding Program'!$K$13&lt;&gt;"",BN$3='Bonding Program'!$K$13),'Bonding Program'!$J$13,0)-IF(AND('Bonding Program'!$M$13&lt;&gt;"",BN$3='Bonding Program'!$M$13),'Bonding Program'!$L$13,0)-IF(AND('Bonding Program'!$P$13&lt;&gt;"",BN$3='Bonding Program'!$P$13),'Bonding Program'!$O$13,0)-IF(AND('Bonding Program'!$R$13&lt;&gt;"",BN$3='Bonding Program'!$R$13),'Bonding Program'!$Q$13,0),0)</f>
        <v>0</v>
      </c>
      <c r="BO154" s="19" t="n">
        <f aca="false">IF(AND('Bonding Program'!$S$13=1,BO$3='Bonding Program'!$H$13),'Bonding Program'!$AA$13,0)-IF(BO$3&lt;='Bonding Program'!$C$8,IF(AND('Bonding Program'!$K$13&lt;&gt;"",BO$3='Bonding Program'!$K$13),'Bonding Program'!$J$13,0)-IF(AND('Bonding Program'!$M$13&lt;&gt;"",BO$3='Bonding Program'!$M$13),'Bonding Program'!$L$13,0)-IF(AND('Bonding Program'!$P$13&lt;&gt;"",BO$3='Bonding Program'!$P$13),'Bonding Program'!$O$13,0)-IF(AND('Bonding Program'!$R$13&lt;&gt;"",BO$3='Bonding Program'!$R$13),'Bonding Program'!$Q$13,0),0)</f>
        <v>0</v>
      </c>
      <c r="BP154" s="19" t="n">
        <f aca="false">IF(AND('Bonding Program'!$S$13=1,BP$3='Bonding Program'!$H$13),'Bonding Program'!$AA$13,0)-IF(BP$3&lt;='Bonding Program'!$C$8,IF(AND('Bonding Program'!$K$13&lt;&gt;"",BP$3='Bonding Program'!$K$13),'Bonding Program'!$J$13,0)-IF(AND('Bonding Program'!$M$13&lt;&gt;"",BP$3='Bonding Program'!$M$13),'Bonding Program'!$L$13,0)-IF(AND('Bonding Program'!$P$13&lt;&gt;"",BP$3='Bonding Program'!$P$13),'Bonding Program'!$O$13,0)-IF(AND('Bonding Program'!$R$13&lt;&gt;"",BP$3='Bonding Program'!$R$13),'Bonding Program'!$Q$13,0),0)</f>
        <v>0</v>
      </c>
      <c r="BQ154" s="19" t="n">
        <f aca="false">IF(AND('Bonding Program'!$S$13=1,BQ$3='Bonding Program'!$H$13),'Bonding Program'!$AA$13,0)-IF(BQ$3&lt;='Bonding Program'!$C$8,IF(AND('Bonding Program'!$K$13&lt;&gt;"",BQ$3='Bonding Program'!$K$13),'Bonding Program'!$J$13,0)-IF(AND('Bonding Program'!$M$13&lt;&gt;"",BQ$3='Bonding Program'!$M$13),'Bonding Program'!$L$13,0)-IF(AND('Bonding Program'!$P$13&lt;&gt;"",BQ$3='Bonding Program'!$P$13),'Bonding Program'!$O$13,0)-IF(AND('Bonding Program'!$R$13&lt;&gt;"",BQ$3='Bonding Program'!$R$13),'Bonding Program'!$Q$13,0),0)</f>
        <v>0</v>
      </c>
      <c r="BR154" s="19" t="n">
        <f aca="false">IF(AND('Bonding Program'!$S$13=1,BR$3='Bonding Program'!$H$13),'Bonding Program'!$AA$13,0)-IF(BR$3&lt;='Bonding Program'!$C$8,IF(AND('Bonding Program'!$K$13&lt;&gt;"",BR$3='Bonding Program'!$K$13),'Bonding Program'!$J$13,0)-IF(AND('Bonding Program'!$M$13&lt;&gt;"",BR$3='Bonding Program'!$M$13),'Bonding Program'!$L$13,0)-IF(AND('Bonding Program'!$P$13&lt;&gt;"",BR$3='Bonding Program'!$P$13),'Bonding Program'!$O$13,0)-IF(AND('Bonding Program'!$R$13&lt;&gt;"",BR$3='Bonding Program'!$R$13),'Bonding Program'!$Q$13,0),0)</f>
        <v>0</v>
      </c>
      <c r="BS154" s="19" t="n">
        <f aca="false">IF(AND('Bonding Program'!$S$13=1,BS$3='Bonding Program'!$H$13),'Bonding Program'!$AA$13,0)-IF(BS$3&lt;='Bonding Program'!$C$8,IF(AND('Bonding Program'!$K$13&lt;&gt;"",BS$3='Bonding Program'!$K$13),'Bonding Program'!$J$13,0)-IF(AND('Bonding Program'!$M$13&lt;&gt;"",BS$3='Bonding Program'!$M$13),'Bonding Program'!$L$13,0)-IF(AND('Bonding Program'!$P$13&lt;&gt;"",BS$3='Bonding Program'!$P$13),'Bonding Program'!$O$13,0)-IF(AND('Bonding Program'!$R$13&lt;&gt;"",BS$3='Bonding Program'!$R$13),'Bonding Program'!$Q$13,0),0)</f>
        <v>0</v>
      </c>
      <c r="BT154" s="19" t="n">
        <f aca="false">IF(AND('Bonding Program'!$S$13=1,BT$3='Bonding Program'!$H$13),'Bonding Program'!$AA$13,0)-IF(BT$3&lt;='Bonding Program'!$C$8,IF(AND('Bonding Program'!$K$13&lt;&gt;"",BT$3='Bonding Program'!$K$13),'Bonding Program'!$J$13,0)-IF(AND('Bonding Program'!$M$13&lt;&gt;"",BT$3='Bonding Program'!$M$13),'Bonding Program'!$L$13,0)-IF(AND('Bonding Program'!$P$13&lt;&gt;"",BT$3='Bonding Program'!$P$13),'Bonding Program'!$O$13,0)-IF(AND('Bonding Program'!$R$13&lt;&gt;"",BT$3='Bonding Program'!$R$13),'Bonding Program'!$Q$13,0),0)</f>
        <v>0</v>
      </c>
      <c r="BU154" s="19" t="n">
        <f aca="false">IF(AND('Bonding Program'!$S$13=1,BU$3='Bonding Program'!$H$13),'Bonding Program'!$AA$13,0)-IF(BU$3&lt;='Bonding Program'!$C$8,IF(AND('Bonding Program'!$K$13&lt;&gt;"",BU$3='Bonding Program'!$K$13),'Bonding Program'!$J$13,0)-IF(AND('Bonding Program'!$M$13&lt;&gt;"",BU$3='Bonding Program'!$M$13),'Bonding Program'!$L$13,0)-IF(AND('Bonding Program'!$P$13&lt;&gt;"",BU$3='Bonding Program'!$P$13),'Bonding Program'!$O$13,0)-IF(AND('Bonding Program'!$R$13&lt;&gt;"",BU$3='Bonding Program'!$R$13),'Bonding Program'!$Q$13,0),0)</f>
        <v>0</v>
      </c>
      <c r="BV154" s="19" t="n">
        <f aca="false">IF(AND('Bonding Program'!$S$13=1,BV$3='Bonding Program'!$H$13),'Bonding Program'!$AA$13,0)-IF(BV$3&lt;='Bonding Program'!$C$8,IF(AND('Bonding Program'!$K$13&lt;&gt;"",BV$3='Bonding Program'!$K$13),'Bonding Program'!$J$13,0)-IF(AND('Bonding Program'!$M$13&lt;&gt;"",BV$3='Bonding Program'!$M$13),'Bonding Program'!$L$13,0)-IF(AND('Bonding Program'!$P$13&lt;&gt;"",BV$3='Bonding Program'!$P$13),'Bonding Program'!$O$13,0)-IF(AND('Bonding Program'!$R$13&lt;&gt;"",BV$3='Bonding Program'!$R$13),'Bonding Program'!$Q$13,0),0)</f>
        <v>0</v>
      </c>
      <c r="BW154" s="19" t="n">
        <f aca="false">IF(AND('Bonding Program'!$S$13=1,BW$3='Bonding Program'!$H$13),'Bonding Program'!$AA$13,0)-IF(BW$3&lt;='Bonding Program'!$C$8,IF(AND('Bonding Program'!$K$13&lt;&gt;"",BW$3='Bonding Program'!$K$13),'Bonding Program'!$J$13,0)-IF(AND('Bonding Program'!$M$13&lt;&gt;"",BW$3='Bonding Program'!$M$13),'Bonding Program'!$L$13,0)-IF(AND('Bonding Program'!$P$13&lt;&gt;"",BW$3='Bonding Program'!$P$13),'Bonding Program'!$O$13,0)-IF(AND('Bonding Program'!$R$13&lt;&gt;"",BW$3='Bonding Program'!$R$13),'Bonding Program'!$Q$13,0),0)</f>
        <v>0</v>
      </c>
      <c r="BX154" s="19" t="n">
        <f aca="false">IF(AND('Bonding Program'!$S$13=1,BX$3='Bonding Program'!$H$13),'Bonding Program'!$AA$13,0)-IF(BX$3&lt;='Bonding Program'!$C$8,IF(AND('Bonding Program'!$K$13&lt;&gt;"",BX$3='Bonding Program'!$K$13),'Bonding Program'!$J$13,0)-IF(AND('Bonding Program'!$M$13&lt;&gt;"",BX$3='Bonding Program'!$M$13),'Bonding Program'!$L$13,0)-IF(AND('Bonding Program'!$P$13&lt;&gt;"",BX$3='Bonding Program'!$P$13),'Bonding Program'!$O$13,0)-IF(AND('Bonding Program'!$R$13&lt;&gt;"",BX$3='Bonding Program'!$R$13),'Bonding Program'!$Q$13,0),0)</f>
        <v>0</v>
      </c>
      <c r="BY154" s="19" t="n">
        <f aca="false">IF(AND('Bonding Program'!$S$13=1,BY$3='Bonding Program'!$H$13),'Bonding Program'!$AA$13,0)-IF(BY$3&lt;='Bonding Program'!$C$8,IF(AND('Bonding Program'!$K$13&lt;&gt;"",BY$3='Bonding Program'!$K$13),'Bonding Program'!$J$13,0)-IF(AND('Bonding Program'!$M$13&lt;&gt;"",BY$3='Bonding Program'!$M$13),'Bonding Program'!$L$13,0)-IF(AND('Bonding Program'!$P$13&lt;&gt;"",BY$3='Bonding Program'!$P$13),'Bonding Program'!$O$13,0)-IF(AND('Bonding Program'!$R$13&lt;&gt;"",BY$3='Bonding Program'!$R$13),'Bonding Program'!$Q$13,0),0)</f>
        <v>0</v>
      </c>
      <c r="BZ154" s="19" t="n">
        <f aca="false">IF(AND('Bonding Program'!$S$13=1,BZ$3='Bonding Program'!$H$13),'Bonding Program'!$AA$13,0)-IF(BZ$3&lt;='Bonding Program'!$C$8,IF(AND('Bonding Program'!$K$13&lt;&gt;"",BZ$3='Bonding Program'!$K$13),'Bonding Program'!$J$13,0)-IF(AND('Bonding Program'!$M$13&lt;&gt;"",BZ$3='Bonding Program'!$M$13),'Bonding Program'!$L$13,0)-IF(AND('Bonding Program'!$P$13&lt;&gt;"",BZ$3='Bonding Program'!$P$13),'Bonding Program'!$O$13,0)-IF(AND('Bonding Program'!$R$13&lt;&gt;"",BZ$3='Bonding Program'!$R$13),'Bonding Program'!$Q$13,0),0)</f>
        <v>0</v>
      </c>
      <c r="CA154" s="19" t="n">
        <f aca="false">IF(AND('Bonding Program'!$S$13=1,CA$3='Bonding Program'!$H$13),'Bonding Program'!$AA$13,0)-IF(CA$3&lt;='Bonding Program'!$C$8,IF(AND('Bonding Program'!$K$13&lt;&gt;"",CA$3='Bonding Program'!$K$13),'Bonding Program'!$J$13,0)-IF(AND('Bonding Program'!$M$13&lt;&gt;"",CA$3='Bonding Program'!$M$13),'Bonding Program'!$L$13,0)-IF(AND('Bonding Program'!$P$13&lt;&gt;"",CA$3='Bonding Program'!$P$13),'Bonding Program'!$O$13,0)-IF(AND('Bonding Program'!$R$13&lt;&gt;"",CA$3='Bonding Program'!$R$13),'Bonding Program'!$Q$13,0),0)</f>
        <v>0</v>
      </c>
      <c r="CB154" s="19" t="n">
        <f aca="false">IF(AND('Bonding Program'!$S$13=1,CB$3='Bonding Program'!$H$13),'Bonding Program'!$AA$13,0)-IF(CB$3&lt;='Bonding Program'!$C$8,IF(AND('Bonding Program'!$K$13&lt;&gt;"",CB$3='Bonding Program'!$K$13),'Bonding Program'!$J$13,0)-IF(AND('Bonding Program'!$M$13&lt;&gt;"",CB$3='Bonding Program'!$M$13),'Bonding Program'!$L$13,0)-IF(AND('Bonding Program'!$P$13&lt;&gt;"",CB$3='Bonding Program'!$P$13),'Bonding Program'!$O$13,0)-IF(AND('Bonding Program'!$R$13&lt;&gt;"",CB$3='Bonding Program'!$R$13),'Bonding Program'!$Q$13,0),0)</f>
        <v>0</v>
      </c>
      <c r="CC154" s="19" t="n">
        <f aca="false">IF(AND('Bonding Program'!$S$13=1,CC$3='Bonding Program'!$H$13),'Bonding Program'!$AA$13,0)-IF(CC$3&lt;='Bonding Program'!$C$8,IF(AND('Bonding Program'!$K$13&lt;&gt;"",CC$3='Bonding Program'!$K$13),'Bonding Program'!$J$13,0)-IF(AND('Bonding Program'!$M$13&lt;&gt;"",CC$3='Bonding Program'!$M$13),'Bonding Program'!$L$13,0)-IF(AND('Bonding Program'!$P$13&lt;&gt;"",CC$3='Bonding Program'!$P$13),'Bonding Program'!$O$13,0)-IF(AND('Bonding Program'!$R$13&lt;&gt;"",CC$3='Bonding Program'!$R$13),'Bonding Program'!$Q$13,0),0)</f>
        <v>0</v>
      </c>
      <c r="CD154" s="19" t="n">
        <f aca="false">IF(AND('Bonding Program'!$S$13=1,CD$3='Bonding Program'!$H$13),'Bonding Program'!$AA$13,0)-IF(CD$3&lt;='Bonding Program'!$C$8,IF(AND('Bonding Program'!$K$13&lt;&gt;"",CD$3='Bonding Program'!$K$13),'Bonding Program'!$J$13,0)-IF(AND('Bonding Program'!$M$13&lt;&gt;"",CD$3='Bonding Program'!$M$13),'Bonding Program'!$L$13,0)-IF(AND('Bonding Program'!$P$13&lt;&gt;"",CD$3='Bonding Program'!$P$13),'Bonding Program'!$O$13,0)-IF(AND('Bonding Program'!$R$13&lt;&gt;"",CD$3='Bonding Program'!$R$13),'Bonding Program'!$Q$13,0),0)</f>
        <v>0</v>
      </c>
      <c r="CE154" s="19" t="n">
        <f aca="false">IF(AND('Bonding Program'!$S$13=1,CE$3='Bonding Program'!$H$13),'Bonding Program'!$AA$13,0)-IF(CE$3&lt;='Bonding Program'!$C$8,IF(AND('Bonding Program'!$K$13&lt;&gt;"",CE$3='Bonding Program'!$K$13),'Bonding Program'!$J$13,0)-IF(AND('Bonding Program'!$M$13&lt;&gt;"",CE$3='Bonding Program'!$M$13),'Bonding Program'!$L$13,0)-IF(AND('Bonding Program'!$P$13&lt;&gt;"",CE$3='Bonding Program'!$P$13),'Bonding Program'!$O$13,0)-IF(AND('Bonding Program'!$R$13&lt;&gt;"",CE$3='Bonding Program'!$R$13),'Bonding Program'!$Q$13,0),0)</f>
        <v>0</v>
      </c>
      <c r="CF154" s="19" t="n">
        <f aca="false">IF(AND('Bonding Program'!$S$13=1,CF$3='Bonding Program'!$H$13),'Bonding Program'!$AA$13,0)-IF(CF$3&lt;='Bonding Program'!$C$8,IF(AND('Bonding Program'!$K$13&lt;&gt;"",CF$3='Bonding Program'!$K$13),'Bonding Program'!$J$13,0)-IF(AND('Bonding Program'!$M$13&lt;&gt;"",CF$3='Bonding Program'!$M$13),'Bonding Program'!$L$13,0)-IF(AND('Bonding Program'!$P$13&lt;&gt;"",CF$3='Bonding Program'!$P$13),'Bonding Program'!$O$13,0)-IF(AND('Bonding Program'!$R$13&lt;&gt;"",CF$3='Bonding Program'!$R$13),'Bonding Program'!$Q$13,0),0)</f>
        <v>0</v>
      </c>
      <c r="CG154" s="19" t="n">
        <f aca="false">IF(AND('Bonding Program'!$S$13=1,CG$3='Bonding Program'!$H$13),'Bonding Program'!$AA$13,0)-IF(CG$3&lt;='Bonding Program'!$C$8,IF(AND('Bonding Program'!$K$13&lt;&gt;"",CG$3='Bonding Program'!$K$13),'Bonding Program'!$J$13,0)-IF(AND('Bonding Program'!$M$13&lt;&gt;"",CG$3='Bonding Program'!$M$13),'Bonding Program'!$L$13,0)-IF(AND('Bonding Program'!$P$13&lt;&gt;"",CG$3='Bonding Program'!$P$13),'Bonding Program'!$O$13,0)-IF(AND('Bonding Program'!$R$13&lt;&gt;"",CG$3='Bonding Program'!$R$13),'Bonding Program'!$Q$13,0),0)</f>
        <v>0</v>
      </c>
      <c r="CH154" s="19" t="n">
        <f aca="false">IF(AND('Bonding Program'!$S$13=1,CH$3='Bonding Program'!$H$13),'Bonding Program'!$AA$13,0)-IF(CH$3&lt;='Bonding Program'!$C$8,IF(AND('Bonding Program'!$K$13&lt;&gt;"",CH$3='Bonding Program'!$K$13),'Bonding Program'!$J$13,0)-IF(AND('Bonding Program'!$M$13&lt;&gt;"",CH$3='Bonding Program'!$M$13),'Bonding Program'!$L$13,0)-IF(AND('Bonding Program'!$P$13&lt;&gt;"",CH$3='Bonding Program'!$P$13),'Bonding Program'!$O$13,0)-IF(AND('Bonding Program'!$R$13&lt;&gt;"",CH$3='Bonding Program'!$R$13),'Bonding Program'!$Q$13,0),0)</f>
        <v>0</v>
      </c>
      <c r="CI154" s="19" t="n">
        <f aca="false">IF(AND('Bonding Program'!$S$13=1,CI$3='Bonding Program'!$H$13),'Bonding Program'!$AA$13,0)-IF(CI$3&lt;='Bonding Program'!$C$8,IF(AND('Bonding Program'!$K$13&lt;&gt;"",CI$3='Bonding Program'!$K$13),'Bonding Program'!$J$13,0)-IF(AND('Bonding Program'!$M$13&lt;&gt;"",CI$3='Bonding Program'!$M$13),'Bonding Program'!$L$13,0)-IF(AND('Bonding Program'!$P$13&lt;&gt;"",CI$3='Bonding Program'!$P$13),'Bonding Program'!$O$13,0)-IF(AND('Bonding Program'!$R$13&lt;&gt;"",CI$3='Bonding Program'!$R$13),'Bonding Program'!$Q$13,0),0)</f>
        <v>0</v>
      </c>
      <c r="CJ154" s="19" t="n">
        <f aca="false">IF(AND('Bonding Program'!$S$13=1,CJ$3='Bonding Program'!$H$13),'Bonding Program'!$AA$13,0)-IF(CJ$3&lt;='Bonding Program'!$C$8,IF(AND('Bonding Program'!$K$13&lt;&gt;"",CJ$3='Bonding Program'!$K$13),'Bonding Program'!$J$13,0)-IF(AND('Bonding Program'!$M$13&lt;&gt;"",CJ$3='Bonding Program'!$M$13),'Bonding Program'!$L$13,0)-IF(AND('Bonding Program'!$P$13&lt;&gt;"",CJ$3='Bonding Program'!$P$13),'Bonding Program'!$O$13,0)-IF(AND('Bonding Program'!$R$13&lt;&gt;"",CJ$3='Bonding Program'!$R$13),'Bonding Program'!$Q$13,0),0)</f>
        <v>0</v>
      </c>
      <c r="CK154" s="19" t="n">
        <f aca="false">IF(AND('Bonding Program'!$S$13=1,CK$3='Bonding Program'!$H$13),'Bonding Program'!$AA$13,0)-IF(CK$3&lt;='Bonding Program'!$C$8,IF(AND('Bonding Program'!$K$13&lt;&gt;"",CK$3='Bonding Program'!$K$13),'Bonding Program'!$J$13,0)-IF(AND('Bonding Program'!$M$13&lt;&gt;"",CK$3='Bonding Program'!$M$13),'Bonding Program'!$L$13,0)-IF(AND('Bonding Program'!$P$13&lt;&gt;"",CK$3='Bonding Program'!$P$13),'Bonding Program'!$O$13,0)-IF(AND('Bonding Program'!$R$13&lt;&gt;"",CK$3='Bonding Program'!$R$13),'Bonding Program'!$Q$13,0),0)</f>
        <v>0</v>
      </c>
      <c r="CL154" s="19" t="n">
        <f aca="false">IF(AND('Bonding Program'!$S$13=1,CL$3='Bonding Program'!$H$13),'Bonding Program'!$AA$13,0)-IF(CL$3&lt;='Bonding Program'!$C$8,IF(AND('Bonding Program'!$K$13&lt;&gt;"",CL$3='Bonding Program'!$K$13),'Bonding Program'!$J$13,0)-IF(AND('Bonding Program'!$M$13&lt;&gt;"",CL$3='Bonding Program'!$M$13),'Bonding Program'!$L$13,0)-IF(AND('Bonding Program'!$P$13&lt;&gt;"",CL$3='Bonding Program'!$P$13),'Bonding Program'!$O$13,0)-IF(AND('Bonding Program'!$R$13&lt;&gt;"",CL$3='Bonding Program'!$R$13),'Bonding Program'!$Q$13,0),0)</f>
        <v>0</v>
      </c>
      <c r="CM154" s="19" t="n">
        <f aca="false">IF(AND('Bonding Program'!$S$13=1,CM$3='Bonding Program'!$H$13),'Bonding Program'!$AA$13,0)-IF(CM$3&lt;='Bonding Program'!$C$8,IF(AND('Bonding Program'!$K$13&lt;&gt;"",CM$3='Bonding Program'!$K$13),'Bonding Program'!$J$13,0)-IF(AND('Bonding Program'!$M$13&lt;&gt;"",CM$3='Bonding Program'!$M$13),'Bonding Program'!$L$13,0)-IF(AND('Bonding Program'!$P$13&lt;&gt;"",CM$3='Bonding Program'!$P$13),'Bonding Program'!$O$13,0)-IF(AND('Bonding Program'!$R$13&lt;&gt;"",CM$3='Bonding Program'!$R$13),'Bonding Program'!$Q$13,0),0)</f>
        <v>0</v>
      </c>
      <c r="CN154" s="19" t="n">
        <f aca="false">IF(AND('Bonding Program'!$S$13=1,CN$3='Bonding Program'!$H$13),'Bonding Program'!$AA$13,0)-IF(CN$3&lt;='Bonding Program'!$C$8,IF(AND('Bonding Program'!$K$13&lt;&gt;"",CN$3='Bonding Program'!$K$13),'Bonding Program'!$J$13,0)-IF(AND('Bonding Program'!$M$13&lt;&gt;"",CN$3='Bonding Program'!$M$13),'Bonding Program'!$L$13,0)-IF(AND('Bonding Program'!$P$13&lt;&gt;"",CN$3='Bonding Program'!$P$13),'Bonding Program'!$O$13,0)-IF(AND('Bonding Program'!$R$13&lt;&gt;"",CN$3='Bonding Program'!$R$13),'Bonding Program'!$Q$13,0),0)</f>
        <v>0</v>
      </c>
      <c r="CO154" s="19" t="n">
        <f aca="false">IF(AND('Bonding Program'!$S$13=1,CO$3='Bonding Program'!$H$13),'Bonding Program'!$AA$13,0)-IF(CO$3&lt;='Bonding Program'!$C$8,IF(AND('Bonding Program'!$K$13&lt;&gt;"",CO$3='Bonding Program'!$K$13),'Bonding Program'!$J$13,0)-IF(AND('Bonding Program'!$M$13&lt;&gt;"",CO$3='Bonding Program'!$M$13),'Bonding Program'!$L$13,0)-IF(AND('Bonding Program'!$P$13&lt;&gt;"",CO$3='Bonding Program'!$P$13),'Bonding Program'!$O$13,0)-IF(AND('Bonding Program'!$R$13&lt;&gt;"",CO$3='Bonding Program'!$R$13),'Bonding Program'!$Q$13,0),0)</f>
        <v>0</v>
      </c>
      <c r="CP154" s="19" t="n">
        <f aca="false">IF(AND('Bonding Program'!$S$13=1,CP$3='Bonding Program'!$H$13),'Bonding Program'!$AA$13,0)-IF(CP$3&lt;='Bonding Program'!$C$8,IF(AND('Bonding Program'!$K$13&lt;&gt;"",CP$3='Bonding Program'!$K$13),'Bonding Program'!$J$13,0)-IF(AND('Bonding Program'!$M$13&lt;&gt;"",CP$3='Bonding Program'!$M$13),'Bonding Program'!$L$13,0)-IF(AND('Bonding Program'!$P$13&lt;&gt;"",CP$3='Bonding Program'!$P$13),'Bonding Program'!$O$13,0)-IF(AND('Bonding Program'!$R$13&lt;&gt;"",CP$3='Bonding Program'!$R$13),'Bonding Program'!$Q$13,0),0)</f>
        <v>0</v>
      </c>
      <c r="CQ154" s="19" t="n">
        <f aca="false">IF(AND('Bonding Program'!$S$13=1,CQ$3='Bonding Program'!$H$13),'Bonding Program'!$AA$13,0)-IF(CQ$3&lt;='Bonding Program'!$C$8,IF(AND('Bonding Program'!$K$13&lt;&gt;"",CQ$3='Bonding Program'!$K$13),'Bonding Program'!$J$13,0)-IF(AND('Bonding Program'!$M$13&lt;&gt;"",CQ$3='Bonding Program'!$M$13),'Bonding Program'!$L$13,0)-IF(AND('Bonding Program'!$P$13&lt;&gt;"",CQ$3='Bonding Program'!$P$13),'Bonding Program'!$O$13,0)-IF(AND('Bonding Program'!$R$13&lt;&gt;"",CQ$3='Bonding Program'!$R$13),'Bonding Program'!$Q$13,0),0)</f>
        <v>0</v>
      </c>
      <c r="CR154" s="19" t="n">
        <f aca="false">IF(AND('Bonding Program'!$S$13=1,CR$3='Bonding Program'!$H$13),'Bonding Program'!$AA$13,0)-IF(CR$3&lt;='Bonding Program'!$C$8,IF(AND('Bonding Program'!$K$13&lt;&gt;"",CR$3='Bonding Program'!$K$13),'Bonding Program'!$J$13,0)-IF(AND('Bonding Program'!$M$13&lt;&gt;"",CR$3='Bonding Program'!$M$13),'Bonding Program'!$L$13,0)-IF(AND('Bonding Program'!$P$13&lt;&gt;"",CR$3='Bonding Program'!$P$13),'Bonding Program'!$O$13,0)-IF(AND('Bonding Program'!$R$13&lt;&gt;"",CR$3='Bonding Program'!$R$13),'Bonding Program'!$Q$13,0),0)</f>
        <v>0</v>
      </c>
      <c r="CS154" s="19" t="n">
        <f aca="false">IF(AND('Bonding Program'!$S$13=1,CS$3='Bonding Program'!$H$13),'Bonding Program'!$AA$13,0)-IF(CS$3&lt;='Bonding Program'!$C$8,IF(AND('Bonding Program'!$K$13&lt;&gt;"",CS$3='Bonding Program'!$K$13),'Bonding Program'!$J$13,0)-IF(AND('Bonding Program'!$M$13&lt;&gt;"",CS$3='Bonding Program'!$M$13),'Bonding Program'!$L$13,0)-IF(AND('Bonding Program'!$P$13&lt;&gt;"",CS$3='Bonding Program'!$P$13),'Bonding Program'!$O$13,0)-IF(AND('Bonding Program'!$R$13&lt;&gt;"",CS$3='Bonding Program'!$R$13),'Bonding Program'!$Q$13,0),0)</f>
        <v>0</v>
      </c>
      <c r="CT154" s="19" t="n">
        <f aca="false">IF(AND('Bonding Program'!$S$13=1,CT$3='Bonding Program'!$H$13),'Bonding Program'!$AA$13,0)-IF(CT$3&lt;='Bonding Program'!$C$8,IF(AND('Bonding Program'!$K$13&lt;&gt;"",CT$3='Bonding Program'!$K$13),'Bonding Program'!$J$13,0)-IF(AND('Bonding Program'!$M$13&lt;&gt;"",CT$3='Bonding Program'!$M$13),'Bonding Program'!$L$13,0)-IF(AND('Bonding Program'!$P$13&lt;&gt;"",CT$3='Bonding Program'!$P$13),'Bonding Program'!$O$13,0)-IF(AND('Bonding Program'!$R$13&lt;&gt;"",CT$3='Bonding Program'!$R$13),'Bonding Program'!$Q$13,0),0)</f>
        <v>0</v>
      </c>
      <c r="CU154" s="19" t="n">
        <f aca="false">IF(AND('Bonding Program'!$S$13=1,CU$3='Bonding Program'!$H$13),'Bonding Program'!$AA$13,0)-IF(CU$3&lt;='Bonding Program'!$C$8,IF(AND('Bonding Program'!$K$13&lt;&gt;"",CU$3='Bonding Program'!$K$13),'Bonding Program'!$J$13,0)-IF(AND('Bonding Program'!$M$13&lt;&gt;"",CU$3='Bonding Program'!$M$13),'Bonding Program'!$L$13,0)-IF(AND('Bonding Program'!$P$13&lt;&gt;"",CU$3='Bonding Program'!$P$13),'Bonding Program'!$O$13,0)-IF(AND('Bonding Program'!$R$13&lt;&gt;"",CU$3='Bonding Program'!$R$13),'Bonding Program'!$Q$13,0),0)</f>
        <v>0</v>
      </c>
      <c r="CV154" s="19" t="n">
        <f aca="false">IF(AND('Bonding Program'!$S$13=1,CV$3='Bonding Program'!$H$13),'Bonding Program'!$AA$13,0)-IF(CV$3&lt;='Bonding Program'!$C$8,IF(AND('Bonding Program'!$K$13&lt;&gt;"",CV$3='Bonding Program'!$K$13),'Bonding Program'!$J$13,0)-IF(AND('Bonding Program'!$M$13&lt;&gt;"",CV$3='Bonding Program'!$M$13),'Bonding Program'!$L$13,0)-IF(AND('Bonding Program'!$P$13&lt;&gt;"",CV$3='Bonding Program'!$P$13),'Bonding Program'!$O$13,0)-IF(AND('Bonding Program'!$R$13&lt;&gt;"",CV$3='Bonding Program'!$R$13),'Bonding Program'!$Q$13,0),0)</f>
        <v>0</v>
      </c>
      <c r="CW154" s="19" t="n">
        <f aca="false">IF(AND('Bonding Program'!$S$13=1,CW$3='Bonding Program'!$H$13),'Bonding Program'!$AA$13,0)-IF(CW$3&lt;='Bonding Program'!$C$8,IF(AND('Bonding Program'!$K$13&lt;&gt;"",CW$3='Bonding Program'!$K$13),'Bonding Program'!$J$13,0)-IF(AND('Bonding Program'!$M$13&lt;&gt;"",CW$3='Bonding Program'!$M$13),'Bonding Program'!$L$13,0)-IF(AND('Bonding Program'!$P$13&lt;&gt;"",CW$3='Bonding Program'!$P$13),'Bonding Program'!$O$13,0)-IF(AND('Bonding Program'!$R$13&lt;&gt;"",CW$3='Bonding Program'!$R$13),'Bonding Program'!$Q$13,0),0)</f>
        <v>0</v>
      </c>
      <c r="CX154" s="19" t="n">
        <f aca="false">IF(AND('Bonding Program'!$S$13=1,CX$3='Bonding Program'!$H$13),'Bonding Program'!$AA$13,0)-IF(CX$3&lt;='Bonding Program'!$C$8,IF(AND('Bonding Program'!$K$13&lt;&gt;"",CX$3='Bonding Program'!$K$13),'Bonding Program'!$J$13,0)-IF(AND('Bonding Program'!$M$13&lt;&gt;"",CX$3='Bonding Program'!$M$13),'Bonding Program'!$L$13,0)-IF(AND('Bonding Program'!$P$13&lt;&gt;"",CX$3='Bonding Program'!$P$13),'Bonding Program'!$O$13,0)-IF(AND('Bonding Program'!$R$13&lt;&gt;"",CX$3='Bonding Program'!$R$13),'Bonding Program'!$Q$13,0),0)</f>
        <v>0</v>
      </c>
      <c r="CY154" s="19" t="n">
        <f aca="false">IF(AND('Bonding Program'!$S$13=1,CY$3='Bonding Program'!$H$13),'Bonding Program'!$AA$13,0)-IF(CY$3&lt;='Bonding Program'!$C$8,IF(AND('Bonding Program'!$K$13&lt;&gt;"",CY$3='Bonding Program'!$K$13),'Bonding Program'!$J$13,0)-IF(AND('Bonding Program'!$M$13&lt;&gt;"",CY$3='Bonding Program'!$M$13),'Bonding Program'!$L$13,0)-IF(AND('Bonding Program'!$P$13&lt;&gt;"",CY$3='Bonding Program'!$P$13),'Bonding Program'!$O$13,0)-IF(AND('Bonding Program'!$R$13&lt;&gt;"",CY$3='Bonding Program'!$R$13),'Bonding Program'!$Q$13,0),0)</f>
        <v>0</v>
      </c>
      <c r="CZ154" s="19" t="n">
        <f aca="false">IF(AND('Bonding Program'!$S$13=1,CZ$3='Bonding Program'!$H$13),'Bonding Program'!$AA$13,0)-IF(CZ$3&lt;='Bonding Program'!$C$8,IF(AND('Bonding Program'!$K$13&lt;&gt;"",CZ$3='Bonding Program'!$K$13),'Bonding Program'!$J$13,0)-IF(AND('Bonding Program'!$M$13&lt;&gt;"",CZ$3='Bonding Program'!$M$13),'Bonding Program'!$L$13,0)-IF(AND('Bonding Program'!$P$13&lt;&gt;"",CZ$3='Bonding Program'!$P$13),'Bonding Program'!$O$13,0)-IF(AND('Bonding Program'!$R$13&lt;&gt;"",CZ$3='Bonding Program'!$R$13),'Bonding Program'!$Q$13,0),0)</f>
        <v>0</v>
      </c>
      <c r="DA154" s="19" t="n">
        <f aca="false">IF(AND('Bonding Program'!$S$13=1,DA$3='Bonding Program'!$H$13),'Bonding Program'!$AA$13,0)-IF(DA$3&lt;='Bonding Program'!$C$8,IF(AND('Bonding Program'!$K$13&lt;&gt;"",DA$3='Bonding Program'!$K$13),'Bonding Program'!$J$13,0)-IF(AND('Bonding Program'!$M$13&lt;&gt;"",DA$3='Bonding Program'!$M$13),'Bonding Program'!$L$13,0)-IF(AND('Bonding Program'!$P$13&lt;&gt;"",DA$3='Bonding Program'!$P$13),'Bonding Program'!$O$13,0)-IF(AND('Bonding Program'!$R$13&lt;&gt;"",DA$3='Bonding Program'!$R$13),'Bonding Program'!$Q$13,0),0)</f>
        <v>0</v>
      </c>
      <c r="DB154" s="19" t="n">
        <f aca="false">IF(AND('Bonding Program'!$S$13=1,DB$3='Bonding Program'!$H$13),'Bonding Program'!$AA$13,0)-IF(DB$3&lt;='Bonding Program'!$C$8,IF(AND('Bonding Program'!$K$13&lt;&gt;"",DB$3='Bonding Program'!$K$13),'Bonding Program'!$J$13,0)-IF(AND('Bonding Program'!$M$13&lt;&gt;"",DB$3='Bonding Program'!$M$13),'Bonding Program'!$L$13,0)-IF(AND('Bonding Program'!$P$13&lt;&gt;"",DB$3='Bonding Program'!$P$13),'Bonding Program'!$O$13,0)-IF(AND('Bonding Program'!$R$13&lt;&gt;"",DB$3='Bonding Program'!$R$13),'Bonding Program'!$Q$13,0),0)</f>
        <v>0</v>
      </c>
      <c r="DC154" s="19" t="n">
        <f aca="false">IF(AND('Bonding Program'!$S$13=1,DC$3='Bonding Program'!$H$13),'Bonding Program'!$AA$13,0)-IF(DC$3&lt;='Bonding Program'!$C$8,IF(AND('Bonding Program'!$K$13&lt;&gt;"",DC$3='Bonding Program'!$K$13),'Bonding Program'!$J$13,0)-IF(AND('Bonding Program'!$M$13&lt;&gt;"",DC$3='Bonding Program'!$M$13),'Bonding Program'!$L$13,0)-IF(AND('Bonding Program'!$P$13&lt;&gt;"",DC$3='Bonding Program'!$P$13),'Bonding Program'!$O$13,0)-IF(AND('Bonding Program'!$R$13&lt;&gt;"",DC$3='Bonding Program'!$R$13),'Bonding Program'!$Q$13,0),0)</f>
        <v>0</v>
      </c>
      <c r="DD154" s="19" t="n">
        <f aca="false">IF(AND('Bonding Program'!$S$13=1,DD$3='Bonding Program'!$H$13),'Bonding Program'!$AA$13,0)-IF(DD$3&lt;='Bonding Program'!$C$8,IF(AND('Bonding Program'!$K$13&lt;&gt;"",DD$3='Bonding Program'!$K$13),'Bonding Program'!$J$13,0)-IF(AND('Bonding Program'!$M$13&lt;&gt;"",DD$3='Bonding Program'!$M$13),'Bonding Program'!$L$13,0)-IF(AND('Bonding Program'!$P$13&lt;&gt;"",DD$3='Bonding Program'!$P$13),'Bonding Program'!$O$13,0)-IF(AND('Bonding Program'!$R$13&lt;&gt;"",DD$3='Bonding Program'!$R$13),'Bonding Program'!$Q$13,0),0)</f>
        <v>0</v>
      </c>
      <c r="DE154" s="19" t="n">
        <f aca="false">IF(AND('Bonding Program'!$S$13=1,DE$3='Bonding Program'!$H$13),'Bonding Program'!$AA$13,0)-IF(DE$3&lt;='Bonding Program'!$C$8,IF(AND('Bonding Program'!$K$13&lt;&gt;"",DE$3='Bonding Program'!$K$13),'Bonding Program'!$J$13,0)-IF(AND('Bonding Program'!$M$13&lt;&gt;"",DE$3='Bonding Program'!$M$13),'Bonding Program'!$L$13,0)-IF(AND('Bonding Program'!$P$13&lt;&gt;"",DE$3='Bonding Program'!$P$13),'Bonding Program'!$O$13,0)-IF(AND('Bonding Program'!$R$13&lt;&gt;"",DE$3='Bonding Program'!$R$13),'Bonding Program'!$Q$13,0),0)</f>
        <v>0</v>
      </c>
    </row>
    <row r="155" customFormat="false" ht="15" hidden="false" customHeight="true" outlineLevel="1" collapsed="false">
      <c r="A155" s="28" t="s">
        <v>10</v>
      </c>
      <c r="B155" s="19" t="n">
        <f aca="false">IF(AND('Bonding Program'!$S$14=1,B$3='Bonding Program'!$H$14),'Bonding Program'!$AA$14,0)-IF(B$3&lt;='Bonding Program'!$C$8,IF(AND('Bonding Program'!$K$14&lt;&gt;"",B$3='Bonding Program'!$K$14),'Bonding Program'!$J$14,0)-IF(AND('Bonding Program'!$M$14&lt;&gt;"",B$3='Bonding Program'!$M$14),'Bonding Program'!$L$14,0)-IF(AND('Bonding Program'!$P$14&lt;&gt;"",B$3='Bonding Program'!$P$14),'Bonding Program'!$O$14,0)-IF(AND('Bonding Program'!$R$14&lt;&gt;"",B$3='Bonding Program'!$R$14),'Bonding Program'!$Q$14,0),0)</f>
        <v>0</v>
      </c>
      <c r="C155" s="19" t="n">
        <f aca="false">IF(AND('Bonding Program'!$S$14=1,C$3='Bonding Program'!$H$14),'Bonding Program'!$AA$14,0)-IF(C$3&lt;='Bonding Program'!$C$8,IF(AND('Bonding Program'!$K$14&lt;&gt;"",C$3='Bonding Program'!$K$14),'Bonding Program'!$J$14,0)-IF(AND('Bonding Program'!$M$14&lt;&gt;"",C$3='Bonding Program'!$M$14),'Bonding Program'!$L$14,0)-IF(AND('Bonding Program'!$P$14&lt;&gt;"",C$3='Bonding Program'!$P$14),'Bonding Program'!$O$14,0)-IF(AND('Bonding Program'!$R$14&lt;&gt;"",C$3='Bonding Program'!$R$14),'Bonding Program'!$Q$14,0),0)</f>
        <v>0</v>
      </c>
      <c r="D155" s="19" t="n">
        <f aca="false">IF(AND('Bonding Program'!$S$14=1,D$3='Bonding Program'!$H$14),'Bonding Program'!$AA$14,0)-IF(D$3&lt;='Bonding Program'!$C$8,IF(AND('Bonding Program'!$K$14&lt;&gt;"",D$3='Bonding Program'!$K$14),'Bonding Program'!$J$14,0)-IF(AND('Bonding Program'!$M$14&lt;&gt;"",D$3='Bonding Program'!$M$14),'Bonding Program'!$L$14,0)-IF(AND('Bonding Program'!$P$14&lt;&gt;"",D$3='Bonding Program'!$P$14),'Bonding Program'!$O$14,0)-IF(AND('Bonding Program'!$R$14&lt;&gt;"",D$3='Bonding Program'!$R$14),'Bonding Program'!$Q$14,0),0)</f>
        <v>0</v>
      </c>
      <c r="E155" s="19" t="n">
        <f aca="false">IF(AND('Bonding Program'!$S$14=1,E$3='Bonding Program'!$H$14),'Bonding Program'!$AA$14,0)-IF(E$3&lt;='Bonding Program'!$C$8,IF(AND('Bonding Program'!$K$14&lt;&gt;"",E$3='Bonding Program'!$K$14),'Bonding Program'!$J$14,0)-IF(AND('Bonding Program'!$M$14&lt;&gt;"",E$3='Bonding Program'!$M$14),'Bonding Program'!$L$14,0)-IF(AND('Bonding Program'!$P$14&lt;&gt;"",E$3='Bonding Program'!$P$14),'Bonding Program'!$O$14,0)-IF(AND('Bonding Program'!$R$14&lt;&gt;"",E$3='Bonding Program'!$R$14),'Bonding Program'!$Q$14,0),0)</f>
        <v>0</v>
      </c>
      <c r="F155" s="19" t="n">
        <f aca="false">IF(AND('Bonding Program'!$S$14=1,F$3='Bonding Program'!$H$14),'Bonding Program'!$AA$14,0)-IF(F$3&lt;='Bonding Program'!$C$8,IF(AND('Bonding Program'!$K$14&lt;&gt;"",F$3='Bonding Program'!$K$14),'Bonding Program'!$J$14,0)-IF(AND('Bonding Program'!$M$14&lt;&gt;"",F$3='Bonding Program'!$M$14),'Bonding Program'!$L$14,0)-IF(AND('Bonding Program'!$P$14&lt;&gt;"",F$3='Bonding Program'!$P$14),'Bonding Program'!$O$14,0)-IF(AND('Bonding Program'!$R$14&lt;&gt;"",F$3='Bonding Program'!$R$14),'Bonding Program'!$Q$14,0),0)</f>
        <v>0</v>
      </c>
      <c r="G155" s="19" t="n">
        <f aca="false">IF(AND('Bonding Program'!$S$14=1,G$3='Bonding Program'!$H$14),'Bonding Program'!$AA$14,0)-IF(G$3&lt;='Bonding Program'!$C$8,IF(AND('Bonding Program'!$K$14&lt;&gt;"",G$3='Bonding Program'!$K$14),'Bonding Program'!$J$14,0)-IF(AND('Bonding Program'!$M$14&lt;&gt;"",G$3='Bonding Program'!$M$14),'Bonding Program'!$L$14,0)-IF(AND('Bonding Program'!$P$14&lt;&gt;"",G$3='Bonding Program'!$P$14),'Bonding Program'!$O$14,0)-IF(AND('Bonding Program'!$R$14&lt;&gt;"",G$3='Bonding Program'!$R$14),'Bonding Program'!$Q$14,0),0)</f>
        <v>0</v>
      </c>
      <c r="H155" s="19" t="n">
        <f aca="false">IF(AND('Bonding Program'!$S$14=1,H$3='Bonding Program'!$H$14),'Bonding Program'!$AA$14,0)-IF(H$3&lt;='Bonding Program'!$C$8,IF(AND('Bonding Program'!$K$14&lt;&gt;"",H$3='Bonding Program'!$K$14),'Bonding Program'!$J$14,0)-IF(AND('Bonding Program'!$M$14&lt;&gt;"",H$3='Bonding Program'!$M$14),'Bonding Program'!$L$14,0)-IF(AND('Bonding Program'!$P$14&lt;&gt;"",H$3='Bonding Program'!$P$14),'Bonding Program'!$O$14,0)-IF(AND('Bonding Program'!$R$14&lt;&gt;"",H$3='Bonding Program'!$R$14),'Bonding Program'!$Q$14,0),0)</f>
        <v>0</v>
      </c>
      <c r="I155" s="19" t="n">
        <f aca="false">IF(AND('Bonding Program'!$S$14=1,I$3='Bonding Program'!$H$14),'Bonding Program'!$AA$14,0)-IF(I$3&lt;='Bonding Program'!$C$8,IF(AND('Bonding Program'!$K$14&lt;&gt;"",I$3='Bonding Program'!$K$14),'Bonding Program'!$J$14,0)-IF(AND('Bonding Program'!$M$14&lt;&gt;"",I$3='Bonding Program'!$M$14),'Bonding Program'!$L$14,0)-IF(AND('Bonding Program'!$P$14&lt;&gt;"",I$3='Bonding Program'!$P$14),'Bonding Program'!$O$14,0)-IF(AND('Bonding Program'!$R$14&lt;&gt;"",I$3='Bonding Program'!$R$14),'Bonding Program'!$Q$14,0),0)</f>
        <v>0</v>
      </c>
      <c r="J155" s="19" t="n">
        <f aca="false">IF(AND('Bonding Program'!$S$14=1,J$3='Bonding Program'!$H$14),'Bonding Program'!$AA$14,0)-IF(J$3&lt;='Bonding Program'!$C$8,IF(AND('Bonding Program'!$K$14&lt;&gt;"",J$3='Bonding Program'!$K$14),'Bonding Program'!$J$14,0)-IF(AND('Bonding Program'!$M$14&lt;&gt;"",J$3='Bonding Program'!$M$14),'Bonding Program'!$L$14,0)-IF(AND('Bonding Program'!$P$14&lt;&gt;"",J$3='Bonding Program'!$P$14),'Bonding Program'!$O$14,0)-IF(AND('Bonding Program'!$R$14&lt;&gt;"",J$3='Bonding Program'!$R$14),'Bonding Program'!$Q$14,0),0)</f>
        <v>0</v>
      </c>
      <c r="K155" s="19" t="n">
        <f aca="false">IF(AND('Bonding Program'!$S$14=1,K$3='Bonding Program'!$H$14),'Bonding Program'!$AA$14,0)-IF(K$3&lt;='Bonding Program'!$C$8,IF(AND('Bonding Program'!$K$14&lt;&gt;"",K$3='Bonding Program'!$K$14),'Bonding Program'!$J$14,0)-IF(AND('Bonding Program'!$M$14&lt;&gt;"",K$3='Bonding Program'!$M$14),'Bonding Program'!$L$14,0)-IF(AND('Bonding Program'!$P$14&lt;&gt;"",K$3='Bonding Program'!$P$14),'Bonding Program'!$O$14,0)-IF(AND('Bonding Program'!$R$14&lt;&gt;"",K$3='Bonding Program'!$R$14),'Bonding Program'!$Q$14,0),0)</f>
        <v>0</v>
      </c>
      <c r="L155" s="19" t="n">
        <f aca="false">IF(AND('Bonding Program'!$S$14=1,L$3='Bonding Program'!$H$14),'Bonding Program'!$AA$14,0)-IF(L$3&lt;='Bonding Program'!$C$8,IF(AND('Bonding Program'!$K$14&lt;&gt;"",L$3='Bonding Program'!$K$14),'Bonding Program'!$J$14,0)-IF(AND('Bonding Program'!$M$14&lt;&gt;"",L$3='Bonding Program'!$M$14),'Bonding Program'!$L$14,0)-IF(AND('Bonding Program'!$P$14&lt;&gt;"",L$3='Bonding Program'!$P$14),'Bonding Program'!$O$14,0)-IF(AND('Bonding Program'!$R$14&lt;&gt;"",L$3='Bonding Program'!$R$14),'Bonding Program'!$Q$14,0),0)</f>
        <v>0</v>
      </c>
      <c r="M155" s="19" t="n">
        <f aca="false">IF(AND('Bonding Program'!$S$14=1,M$3='Bonding Program'!$H$14),'Bonding Program'!$AA$14,0)-IF(M$3&lt;='Bonding Program'!$C$8,IF(AND('Bonding Program'!$K$14&lt;&gt;"",M$3='Bonding Program'!$K$14),'Bonding Program'!$J$14,0)-IF(AND('Bonding Program'!$M$14&lt;&gt;"",M$3='Bonding Program'!$M$14),'Bonding Program'!$L$14,0)-IF(AND('Bonding Program'!$P$14&lt;&gt;"",M$3='Bonding Program'!$P$14),'Bonding Program'!$O$14,0)-IF(AND('Bonding Program'!$R$14&lt;&gt;"",M$3='Bonding Program'!$R$14),'Bonding Program'!$Q$14,0),0)</f>
        <v>0</v>
      </c>
      <c r="N155" s="19" t="n">
        <f aca="false">IF(AND('Bonding Program'!$S$14=1,N$3='Bonding Program'!$H$14),'Bonding Program'!$AA$14,0)-IF(N$3&lt;='Bonding Program'!$C$8,IF(AND('Bonding Program'!$K$14&lt;&gt;"",N$3='Bonding Program'!$K$14),'Bonding Program'!$J$14,0)-IF(AND('Bonding Program'!$M$14&lt;&gt;"",N$3='Bonding Program'!$M$14),'Bonding Program'!$L$14,0)-IF(AND('Bonding Program'!$P$14&lt;&gt;"",N$3='Bonding Program'!$P$14),'Bonding Program'!$O$14,0)-IF(AND('Bonding Program'!$R$14&lt;&gt;"",N$3='Bonding Program'!$R$14),'Bonding Program'!$Q$14,0),0)</f>
        <v>0</v>
      </c>
      <c r="O155" s="19" t="n">
        <f aca="false">IF(AND('Bonding Program'!$S$14=1,O$3='Bonding Program'!$H$14),'Bonding Program'!$AA$14,0)-IF(O$3&lt;='Bonding Program'!$C$8,IF(AND('Bonding Program'!$K$14&lt;&gt;"",O$3='Bonding Program'!$K$14),'Bonding Program'!$J$14,0)-IF(AND('Bonding Program'!$M$14&lt;&gt;"",O$3='Bonding Program'!$M$14),'Bonding Program'!$L$14,0)-IF(AND('Bonding Program'!$P$14&lt;&gt;"",O$3='Bonding Program'!$P$14),'Bonding Program'!$O$14,0)-IF(AND('Bonding Program'!$R$14&lt;&gt;"",O$3='Bonding Program'!$R$14),'Bonding Program'!$Q$14,0),0)</f>
        <v>0</v>
      </c>
      <c r="P155" s="19" t="n">
        <f aca="false">IF(AND('Bonding Program'!$S$14=1,P$3='Bonding Program'!$H$14),'Bonding Program'!$AA$14,0)-IF(P$3&lt;='Bonding Program'!$C$8,IF(AND('Bonding Program'!$K$14&lt;&gt;"",P$3='Bonding Program'!$K$14),'Bonding Program'!$J$14,0)-IF(AND('Bonding Program'!$M$14&lt;&gt;"",P$3='Bonding Program'!$M$14),'Bonding Program'!$L$14,0)-IF(AND('Bonding Program'!$P$14&lt;&gt;"",P$3='Bonding Program'!$P$14),'Bonding Program'!$O$14,0)-IF(AND('Bonding Program'!$R$14&lt;&gt;"",P$3='Bonding Program'!$R$14),'Bonding Program'!$Q$14,0),0)</f>
        <v>0</v>
      </c>
      <c r="Q155" s="19" t="n">
        <f aca="false">IF(AND('Bonding Program'!$S$14=1,Q$3='Bonding Program'!$H$14),'Bonding Program'!$AA$14,0)-IF(Q$3&lt;='Bonding Program'!$C$8,IF(AND('Bonding Program'!$K$14&lt;&gt;"",Q$3='Bonding Program'!$K$14),'Bonding Program'!$J$14,0)-IF(AND('Bonding Program'!$M$14&lt;&gt;"",Q$3='Bonding Program'!$M$14),'Bonding Program'!$L$14,0)-IF(AND('Bonding Program'!$P$14&lt;&gt;"",Q$3='Bonding Program'!$P$14),'Bonding Program'!$O$14,0)-IF(AND('Bonding Program'!$R$14&lt;&gt;"",Q$3='Bonding Program'!$R$14),'Bonding Program'!$Q$14,0),0)</f>
        <v>0</v>
      </c>
      <c r="R155" s="19" t="n">
        <f aca="false">IF(AND('Bonding Program'!$S$14=1,R$3='Bonding Program'!$H$14),'Bonding Program'!$AA$14,0)-IF(R$3&lt;='Bonding Program'!$C$8,IF(AND('Bonding Program'!$K$14&lt;&gt;"",R$3='Bonding Program'!$K$14),'Bonding Program'!$J$14,0)-IF(AND('Bonding Program'!$M$14&lt;&gt;"",R$3='Bonding Program'!$M$14),'Bonding Program'!$L$14,0)-IF(AND('Bonding Program'!$P$14&lt;&gt;"",R$3='Bonding Program'!$P$14),'Bonding Program'!$O$14,0)-IF(AND('Bonding Program'!$R$14&lt;&gt;"",R$3='Bonding Program'!$R$14),'Bonding Program'!$Q$14,0),0)</f>
        <v>0</v>
      </c>
      <c r="S155" s="19" t="n">
        <f aca="false">IF(AND('Bonding Program'!$S$14=1,S$3='Bonding Program'!$H$14),'Bonding Program'!$AA$14,0)-IF(S$3&lt;='Bonding Program'!$C$8,IF(AND('Bonding Program'!$K$14&lt;&gt;"",S$3='Bonding Program'!$K$14),'Bonding Program'!$J$14,0)-IF(AND('Bonding Program'!$M$14&lt;&gt;"",S$3='Bonding Program'!$M$14),'Bonding Program'!$L$14,0)-IF(AND('Bonding Program'!$P$14&lt;&gt;"",S$3='Bonding Program'!$P$14),'Bonding Program'!$O$14,0)-IF(AND('Bonding Program'!$R$14&lt;&gt;"",S$3='Bonding Program'!$R$14),'Bonding Program'!$Q$14,0),0)</f>
        <v>0</v>
      </c>
      <c r="T155" s="19" t="n">
        <f aca="false">IF(AND('Bonding Program'!$S$14=1,T$3='Bonding Program'!$H$14),'Bonding Program'!$AA$14,0)-IF(T$3&lt;='Bonding Program'!$C$8,IF(AND('Bonding Program'!$K$14&lt;&gt;"",T$3='Bonding Program'!$K$14),'Bonding Program'!$J$14,0)-IF(AND('Bonding Program'!$M$14&lt;&gt;"",T$3='Bonding Program'!$M$14),'Bonding Program'!$L$14,0)-IF(AND('Bonding Program'!$P$14&lt;&gt;"",T$3='Bonding Program'!$P$14),'Bonding Program'!$O$14,0)-IF(AND('Bonding Program'!$R$14&lt;&gt;"",T$3='Bonding Program'!$R$14),'Bonding Program'!$Q$14,0),0)</f>
        <v>0</v>
      </c>
      <c r="U155" s="19" t="n">
        <f aca="false">IF(AND('Bonding Program'!$S$14=1,U$3='Bonding Program'!$H$14),'Bonding Program'!$AA$14,0)-IF(U$3&lt;='Bonding Program'!$C$8,IF(AND('Bonding Program'!$K$14&lt;&gt;"",U$3='Bonding Program'!$K$14),'Bonding Program'!$J$14,0)-IF(AND('Bonding Program'!$M$14&lt;&gt;"",U$3='Bonding Program'!$M$14),'Bonding Program'!$L$14,0)-IF(AND('Bonding Program'!$P$14&lt;&gt;"",U$3='Bonding Program'!$P$14),'Bonding Program'!$O$14,0)-IF(AND('Bonding Program'!$R$14&lt;&gt;"",U$3='Bonding Program'!$R$14),'Bonding Program'!$Q$14,0),0)</f>
        <v>0</v>
      </c>
      <c r="V155" s="19" t="n">
        <f aca="false">IF(AND('Bonding Program'!$S$14=1,V$3='Bonding Program'!$H$14),'Bonding Program'!$AA$14,0)-IF(V$3&lt;='Bonding Program'!$C$8,IF(AND('Bonding Program'!$K$14&lt;&gt;"",V$3='Bonding Program'!$K$14),'Bonding Program'!$J$14,0)-IF(AND('Bonding Program'!$M$14&lt;&gt;"",V$3='Bonding Program'!$M$14),'Bonding Program'!$L$14,0)-IF(AND('Bonding Program'!$P$14&lt;&gt;"",V$3='Bonding Program'!$P$14),'Bonding Program'!$O$14,0)-IF(AND('Bonding Program'!$R$14&lt;&gt;"",V$3='Bonding Program'!$R$14),'Bonding Program'!$Q$14,0),0)</f>
        <v>0</v>
      </c>
      <c r="W155" s="19" t="n">
        <f aca="false">IF(AND('Bonding Program'!$S$14=1,W$3='Bonding Program'!$H$14),'Bonding Program'!$AA$14,0)-IF(W$3&lt;='Bonding Program'!$C$8,IF(AND('Bonding Program'!$K$14&lt;&gt;"",W$3='Bonding Program'!$K$14),'Bonding Program'!$J$14,0)-IF(AND('Bonding Program'!$M$14&lt;&gt;"",W$3='Bonding Program'!$M$14),'Bonding Program'!$L$14,0)-IF(AND('Bonding Program'!$P$14&lt;&gt;"",W$3='Bonding Program'!$P$14),'Bonding Program'!$O$14,0)-IF(AND('Bonding Program'!$R$14&lt;&gt;"",W$3='Bonding Program'!$R$14),'Bonding Program'!$Q$14,0),0)</f>
        <v>0</v>
      </c>
      <c r="X155" s="19" t="n">
        <f aca="false">IF(AND('Bonding Program'!$S$14=1,X$3='Bonding Program'!$H$14),'Bonding Program'!$AA$14,0)-IF(X$3&lt;='Bonding Program'!$C$8,IF(AND('Bonding Program'!$K$14&lt;&gt;"",X$3='Bonding Program'!$K$14),'Bonding Program'!$J$14,0)-IF(AND('Bonding Program'!$M$14&lt;&gt;"",X$3='Bonding Program'!$M$14),'Bonding Program'!$L$14,0)-IF(AND('Bonding Program'!$P$14&lt;&gt;"",X$3='Bonding Program'!$P$14),'Bonding Program'!$O$14,0)-IF(AND('Bonding Program'!$R$14&lt;&gt;"",X$3='Bonding Program'!$R$14),'Bonding Program'!$Q$14,0),0)</f>
        <v>0</v>
      </c>
      <c r="Y155" s="19" t="n">
        <f aca="false">IF(AND('Bonding Program'!$S$14=1,Y$3='Bonding Program'!$H$14),'Bonding Program'!$AA$14,0)-IF(Y$3&lt;='Bonding Program'!$C$8,IF(AND('Bonding Program'!$K$14&lt;&gt;"",Y$3='Bonding Program'!$K$14),'Bonding Program'!$J$14,0)-IF(AND('Bonding Program'!$M$14&lt;&gt;"",Y$3='Bonding Program'!$M$14),'Bonding Program'!$L$14,0)-IF(AND('Bonding Program'!$P$14&lt;&gt;"",Y$3='Bonding Program'!$P$14),'Bonding Program'!$O$14,0)-IF(AND('Bonding Program'!$R$14&lt;&gt;"",Y$3='Bonding Program'!$R$14),'Bonding Program'!$Q$14,0),0)</f>
        <v>0</v>
      </c>
      <c r="Z155" s="19" t="n">
        <f aca="false">IF(AND('Bonding Program'!$S$14=1,Z$3='Bonding Program'!$H$14),'Bonding Program'!$AA$14,0)-IF(Z$3&lt;='Bonding Program'!$C$8,IF(AND('Bonding Program'!$K$14&lt;&gt;"",Z$3='Bonding Program'!$K$14),'Bonding Program'!$J$14,0)-IF(AND('Bonding Program'!$M$14&lt;&gt;"",Z$3='Bonding Program'!$M$14),'Bonding Program'!$L$14,0)-IF(AND('Bonding Program'!$P$14&lt;&gt;"",Z$3='Bonding Program'!$P$14),'Bonding Program'!$O$14,0)-IF(AND('Bonding Program'!$R$14&lt;&gt;"",Z$3='Bonding Program'!$R$14),'Bonding Program'!$Q$14,0),0)</f>
        <v>0</v>
      </c>
      <c r="AA155" s="19" t="n">
        <f aca="false">IF(AND('Bonding Program'!$S$14=1,AA$3='Bonding Program'!$H$14),'Bonding Program'!$AA$14,0)-IF(AA$3&lt;='Bonding Program'!$C$8,IF(AND('Bonding Program'!$K$14&lt;&gt;"",AA$3='Bonding Program'!$K$14),'Bonding Program'!$J$14,0)-IF(AND('Bonding Program'!$M$14&lt;&gt;"",AA$3='Bonding Program'!$M$14),'Bonding Program'!$L$14,0)-IF(AND('Bonding Program'!$P$14&lt;&gt;"",AA$3='Bonding Program'!$P$14),'Bonding Program'!$O$14,0)-IF(AND('Bonding Program'!$R$14&lt;&gt;"",AA$3='Bonding Program'!$R$14),'Bonding Program'!$Q$14,0),0)</f>
        <v>0</v>
      </c>
      <c r="AB155" s="19" t="n">
        <f aca="false">IF(AND('Bonding Program'!$S$14=1,AB$3='Bonding Program'!$H$14),'Bonding Program'!$AA$14,0)-IF(AB$3&lt;='Bonding Program'!$C$8,IF(AND('Bonding Program'!$K$14&lt;&gt;"",AB$3='Bonding Program'!$K$14),'Bonding Program'!$J$14,0)-IF(AND('Bonding Program'!$M$14&lt;&gt;"",AB$3='Bonding Program'!$M$14),'Bonding Program'!$L$14,0)-IF(AND('Bonding Program'!$P$14&lt;&gt;"",AB$3='Bonding Program'!$P$14),'Bonding Program'!$O$14,0)-IF(AND('Bonding Program'!$R$14&lt;&gt;"",AB$3='Bonding Program'!$R$14),'Bonding Program'!$Q$14,0),0)</f>
        <v>0</v>
      </c>
      <c r="AC155" s="19" t="n">
        <f aca="false">IF(AND('Bonding Program'!$S$14=1,AC$3='Bonding Program'!$H$14),'Bonding Program'!$AA$14,0)-IF(AC$3&lt;='Bonding Program'!$C$8,IF(AND('Bonding Program'!$K$14&lt;&gt;"",AC$3='Bonding Program'!$K$14),'Bonding Program'!$J$14,0)-IF(AND('Bonding Program'!$M$14&lt;&gt;"",AC$3='Bonding Program'!$M$14),'Bonding Program'!$L$14,0)-IF(AND('Bonding Program'!$P$14&lt;&gt;"",AC$3='Bonding Program'!$P$14),'Bonding Program'!$O$14,0)-IF(AND('Bonding Program'!$R$14&lt;&gt;"",AC$3='Bonding Program'!$R$14),'Bonding Program'!$Q$14,0),0)</f>
        <v>0</v>
      </c>
      <c r="AD155" s="19" t="n">
        <f aca="false">IF(AND('Bonding Program'!$S$14=1,AD$3='Bonding Program'!$H$14),'Bonding Program'!$AA$14,0)-IF(AD$3&lt;='Bonding Program'!$C$8,IF(AND('Bonding Program'!$K$14&lt;&gt;"",AD$3='Bonding Program'!$K$14),'Bonding Program'!$J$14,0)-IF(AND('Bonding Program'!$M$14&lt;&gt;"",AD$3='Bonding Program'!$M$14),'Bonding Program'!$L$14,0)-IF(AND('Bonding Program'!$P$14&lt;&gt;"",AD$3='Bonding Program'!$P$14),'Bonding Program'!$O$14,0)-IF(AND('Bonding Program'!$R$14&lt;&gt;"",AD$3='Bonding Program'!$R$14),'Bonding Program'!$Q$14,0),0)</f>
        <v>0</v>
      </c>
      <c r="AE155" s="19" t="n">
        <f aca="false">IF(AND('Bonding Program'!$S$14=1,AE$3='Bonding Program'!$H$14),'Bonding Program'!$AA$14,0)-IF(AE$3&lt;='Bonding Program'!$C$8,IF(AND('Bonding Program'!$K$14&lt;&gt;"",AE$3='Bonding Program'!$K$14),'Bonding Program'!$J$14,0)-IF(AND('Bonding Program'!$M$14&lt;&gt;"",AE$3='Bonding Program'!$M$14),'Bonding Program'!$L$14,0)-IF(AND('Bonding Program'!$P$14&lt;&gt;"",AE$3='Bonding Program'!$P$14),'Bonding Program'!$O$14,0)-IF(AND('Bonding Program'!$R$14&lt;&gt;"",AE$3='Bonding Program'!$R$14),'Bonding Program'!$Q$14,0),0)</f>
        <v>0</v>
      </c>
      <c r="AF155" s="19" t="n">
        <f aca="false">IF(AND('Bonding Program'!$S$14=1,AF$3='Bonding Program'!$H$14),'Bonding Program'!$AA$14,0)-IF(AF$3&lt;='Bonding Program'!$C$8,IF(AND('Bonding Program'!$K$14&lt;&gt;"",AF$3='Bonding Program'!$K$14),'Bonding Program'!$J$14,0)-IF(AND('Bonding Program'!$M$14&lt;&gt;"",AF$3='Bonding Program'!$M$14),'Bonding Program'!$L$14,0)-IF(AND('Bonding Program'!$P$14&lt;&gt;"",AF$3='Bonding Program'!$P$14),'Bonding Program'!$O$14,0)-IF(AND('Bonding Program'!$R$14&lt;&gt;"",AF$3='Bonding Program'!$R$14),'Bonding Program'!$Q$14,0),0)</f>
        <v>0</v>
      </c>
      <c r="AG155" s="19" t="n">
        <f aca="false">IF(AND('Bonding Program'!$S$14=1,AG$3='Bonding Program'!$H$14),'Bonding Program'!$AA$14,0)-IF(AG$3&lt;='Bonding Program'!$C$8,IF(AND('Bonding Program'!$K$14&lt;&gt;"",AG$3='Bonding Program'!$K$14),'Bonding Program'!$J$14,0)-IF(AND('Bonding Program'!$M$14&lt;&gt;"",AG$3='Bonding Program'!$M$14),'Bonding Program'!$L$14,0)-IF(AND('Bonding Program'!$P$14&lt;&gt;"",AG$3='Bonding Program'!$P$14),'Bonding Program'!$O$14,0)-IF(AND('Bonding Program'!$R$14&lt;&gt;"",AG$3='Bonding Program'!$R$14),'Bonding Program'!$Q$14,0),0)</f>
        <v>0</v>
      </c>
      <c r="AH155" s="19" t="n">
        <f aca="false">IF(AND('Bonding Program'!$S$14=1,AH$3='Bonding Program'!$H$14),'Bonding Program'!$AA$14,0)-IF(AH$3&lt;='Bonding Program'!$C$8,IF(AND('Bonding Program'!$K$14&lt;&gt;"",AH$3='Bonding Program'!$K$14),'Bonding Program'!$J$14,0)-IF(AND('Bonding Program'!$M$14&lt;&gt;"",AH$3='Bonding Program'!$M$14),'Bonding Program'!$L$14,0)-IF(AND('Bonding Program'!$P$14&lt;&gt;"",AH$3='Bonding Program'!$P$14),'Bonding Program'!$O$14,0)-IF(AND('Bonding Program'!$R$14&lt;&gt;"",AH$3='Bonding Program'!$R$14),'Bonding Program'!$Q$14,0),0)</f>
        <v>0</v>
      </c>
      <c r="AI155" s="19" t="n">
        <f aca="false">IF(AND('Bonding Program'!$S$14=1,AI$3='Bonding Program'!$H$14),'Bonding Program'!$AA$14,0)-IF(AI$3&lt;='Bonding Program'!$C$8,IF(AND('Bonding Program'!$K$14&lt;&gt;"",AI$3='Bonding Program'!$K$14),'Bonding Program'!$J$14,0)-IF(AND('Bonding Program'!$M$14&lt;&gt;"",AI$3='Bonding Program'!$M$14),'Bonding Program'!$L$14,0)-IF(AND('Bonding Program'!$P$14&lt;&gt;"",AI$3='Bonding Program'!$P$14),'Bonding Program'!$O$14,0)-IF(AND('Bonding Program'!$R$14&lt;&gt;"",AI$3='Bonding Program'!$R$14),'Bonding Program'!$Q$14,0),0)</f>
        <v>0</v>
      </c>
      <c r="AJ155" s="19" t="n">
        <f aca="false">IF(AND('Bonding Program'!$S$14=1,AJ$3='Bonding Program'!$H$14),'Bonding Program'!$AA$14,0)-IF(AJ$3&lt;='Bonding Program'!$C$8,IF(AND('Bonding Program'!$K$14&lt;&gt;"",AJ$3='Bonding Program'!$K$14),'Bonding Program'!$J$14,0)-IF(AND('Bonding Program'!$M$14&lt;&gt;"",AJ$3='Bonding Program'!$M$14),'Bonding Program'!$L$14,0)-IF(AND('Bonding Program'!$P$14&lt;&gt;"",AJ$3='Bonding Program'!$P$14),'Bonding Program'!$O$14,0)-IF(AND('Bonding Program'!$R$14&lt;&gt;"",AJ$3='Bonding Program'!$R$14),'Bonding Program'!$Q$14,0),0)</f>
        <v>0</v>
      </c>
      <c r="AK155" s="19" t="n">
        <f aca="false">IF(AND('Bonding Program'!$S$14=1,AK$3='Bonding Program'!$H$14),'Bonding Program'!$AA$14,0)-IF(AK$3&lt;='Bonding Program'!$C$8,IF(AND('Bonding Program'!$K$14&lt;&gt;"",AK$3='Bonding Program'!$K$14),'Bonding Program'!$J$14,0)-IF(AND('Bonding Program'!$M$14&lt;&gt;"",AK$3='Bonding Program'!$M$14),'Bonding Program'!$L$14,0)-IF(AND('Bonding Program'!$P$14&lt;&gt;"",AK$3='Bonding Program'!$P$14),'Bonding Program'!$O$14,0)-IF(AND('Bonding Program'!$R$14&lt;&gt;"",AK$3='Bonding Program'!$R$14),'Bonding Program'!$Q$14,0),0)</f>
        <v>0</v>
      </c>
      <c r="AL155" s="19" t="n">
        <f aca="false">IF(AND('Bonding Program'!$S$14=1,AL$3='Bonding Program'!$H$14),'Bonding Program'!$AA$14,0)-IF(AL$3&lt;='Bonding Program'!$C$8,IF(AND('Bonding Program'!$K$14&lt;&gt;"",AL$3='Bonding Program'!$K$14),'Bonding Program'!$J$14,0)-IF(AND('Bonding Program'!$M$14&lt;&gt;"",AL$3='Bonding Program'!$M$14),'Bonding Program'!$L$14,0)-IF(AND('Bonding Program'!$P$14&lt;&gt;"",AL$3='Bonding Program'!$P$14),'Bonding Program'!$O$14,0)-IF(AND('Bonding Program'!$R$14&lt;&gt;"",AL$3='Bonding Program'!$R$14),'Bonding Program'!$Q$14,0),0)</f>
        <v>0</v>
      </c>
      <c r="AM155" s="19" t="n">
        <f aca="false">IF(AND('Bonding Program'!$S$14=1,AM$3='Bonding Program'!$H$14),'Bonding Program'!$AA$14,0)-IF(AM$3&lt;='Bonding Program'!$C$8,IF(AND('Bonding Program'!$K$14&lt;&gt;"",AM$3='Bonding Program'!$K$14),'Bonding Program'!$J$14,0)-IF(AND('Bonding Program'!$M$14&lt;&gt;"",AM$3='Bonding Program'!$M$14),'Bonding Program'!$L$14,0)-IF(AND('Bonding Program'!$P$14&lt;&gt;"",AM$3='Bonding Program'!$P$14),'Bonding Program'!$O$14,0)-IF(AND('Bonding Program'!$R$14&lt;&gt;"",AM$3='Bonding Program'!$R$14),'Bonding Program'!$Q$14,0),0)</f>
        <v>0</v>
      </c>
      <c r="AN155" s="19" t="n">
        <f aca="false">IF(AND('Bonding Program'!$S$14=1,AN$3='Bonding Program'!$H$14),'Bonding Program'!$AA$14,0)-IF(AN$3&lt;='Bonding Program'!$C$8,IF(AND('Bonding Program'!$K$14&lt;&gt;"",AN$3='Bonding Program'!$K$14),'Bonding Program'!$J$14,0)-IF(AND('Bonding Program'!$M$14&lt;&gt;"",AN$3='Bonding Program'!$M$14),'Bonding Program'!$L$14,0)-IF(AND('Bonding Program'!$P$14&lt;&gt;"",AN$3='Bonding Program'!$P$14),'Bonding Program'!$O$14,0)-IF(AND('Bonding Program'!$R$14&lt;&gt;"",AN$3='Bonding Program'!$R$14),'Bonding Program'!$Q$14,0),0)</f>
        <v>0</v>
      </c>
      <c r="AO155" s="19" t="n">
        <f aca="false">IF(AND('Bonding Program'!$S$14=1,AO$3='Bonding Program'!$H$14),'Bonding Program'!$AA$14,0)-IF(AO$3&lt;='Bonding Program'!$C$8,IF(AND('Bonding Program'!$K$14&lt;&gt;"",AO$3='Bonding Program'!$K$14),'Bonding Program'!$J$14,0)-IF(AND('Bonding Program'!$M$14&lt;&gt;"",AO$3='Bonding Program'!$M$14),'Bonding Program'!$L$14,0)-IF(AND('Bonding Program'!$P$14&lt;&gt;"",AO$3='Bonding Program'!$P$14),'Bonding Program'!$O$14,0)-IF(AND('Bonding Program'!$R$14&lt;&gt;"",AO$3='Bonding Program'!$R$14),'Bonding Program'!$Q$14,0),0)</f>
        <v>0</v>
      </c>
      <c r="AP155" s="19" t="n">
        <f aca="false">IF(AND('Bonding Program'!$S$14=1,AP$3='Bonding Program'!$H$14),'Bonding Program'!$AA$14,0)-IF(AP$3&lt;='Bonding Program'!$C$8,IF(AND('Bonding Program'!$K$14&lt;&gt;"",AP$3='Bonding Program'!$K$14),'Bonding Program'!$J$14,0)-IF(AND('Bonding Program'!$M$14&lt;&gt;"",AP$3='Bonding Program'!$M$14),'Bonding Program'!$L$14,0)-IF(AND('Bonding Program'!$P$14&lt;&gt;"",AP$3='Bonding Program'!$P$14),'Bonding Program'!$O$14,0)-IF(AND('Bonding Program'!$R$14&lt;&gt;"",AP$3='Bonding Program'!$R$14),'Bonding Program'!$Q$14,0),0)</f>
        <v>0</v>
      </c>
      <c r="AQ155" s="19" t="n">
        <f aca="false">IF(AND('Bonding Program'!$S$14=1,AQ$3='Bonding Program'!$H$14),'Bonding Program'!$AA$14,0)-IF(AQ$3&lt;='Bonding Program'!$C$8,IF(AND('Bonding Program'!$K$14&lt;&gt;"",AQ$3='Bonding Program'!$K$14),'Bonding Program'!$J$14,0)-IF(AND('Bonding Program'!$M$14&lt;&gt;"",AQ$3='Bonding Program'!$M$14),'Bonding Program'!$L$14,0)-IF(AND('Bonding Program'!$P$14&lt;&gt;"",AQ$3='Bonding Program'!$P$14),'Bonding Program'!$O$14,0)-IF(AND('Bonding Program'!$R$14&lt;&gt;"",AQ$3='Bonding Program'!$R$14),'Bonding Program'!$Q$14,0),0)</f>
        <v>0</v>
      </c>
      <c r="AR155" s="19" t="n">
        <f aca="false">IF(AND('Bonding Program'!$S$14=1,AR$3='Bonding Program'!$H$14),'Bonding Program'!$AA$14,0)-IF(AR$3&lt;='Bonding Program'!$C$8,IF(AND('Bonding Program'!$K$14&lt;&gt;"",AR$3='Bonding Program'!$K$14),'Bonding Program'!$J$14,0)-IF(AND('Bonding Program'!$M$14&lt;&gt;"",AR$3='Bonding Program'!$M$14),'Bonding Program'!$L$14,0)-IF(AND('Bonding Program'!$P$14&lt;&gt;"",AR$3='Bonding Program'!$P$14),'Bonding Program'!$O$14,0)-IF(AND('Bonding Program'!$R$14&lt;&gt;"",AR$3='Bonding Program'!$R$14),'Bonding Program'!$Q$14,0),0)</f>
        <v>0</v>
      </c>
      <c r="AS155" s="19" t="n">
        <f aca="false">IF(AND('Bonding Program'!$S$14=1,AS$3='Bonding Program'!$H$14),'Bonding Program'!$AA$14,0)-IF(AS$3&lt;='Bonding Program'!$C$8,IF(AND('Bonding Program'!$K$14&lt;&gt;"",AS$3='Bonding Program'!$K$14),'Bonding Program'!$J$14,0)-IF(AND('Bonding Program'!$M$14&lt;&gt;"",AS$3='Bonding Program'!$M$14),'Bonding Program'!$L$14,0)-IF(AND('Bonding Program'!$P$14&lt;&gt;"",AS$3='Bonding Program'!$P$14),'Bonding Program'!$O$14,0)-IF(AND('Bonding Program'!$R$14&lt;&gt;"",AS$3='Bonding Program'!$R$14),'Bonding Program'!$Q$14,0),0)</f>
        <v>0</v>
      </c>
      <c r="AT155" s="19" t="n">
        <f aca="false">IF(AND('Bonding Program'!$S$14=1,AT$3='Bonding Program'!$H$14),'Bonding Program'!$AA$14,0)-IF(AT$3&lt;='Bonding Program'!$C$8,IF(AND('Bonding Program'!$K$14&lt;&gt;"",AT$3='Bonding Program'!$K$14),'Bonding Program'!$J$14,0)-IF(AND('Bonding Program'!$M$14&lt;&gt;"",AT$3='Bonding Program'!$M$14),'Bonding Program'!$L$14,0)-IF(AND('Bonding Program'!$P$14&lt;&gt;"",AT$3='Bonding Program'!$P$14),'Bonding Program'!$O$14,0)-IF(AND('Bonding Program'!$R$14&lt;&gt;"",AT$3='Bonding Program'!$R$14),'Bonding Program'!$Q$14,0),0)</f>
        <v>0</v>
      </c>
      <c r="AU155" s="19" t="n">
        <f aca="false">IF(AND('Bonding Program'!$S$14=1,AU$3='Bonding Program'!$H$14),'Bonding Program'!$AA$14,0)-IF(AU$3&lt;='Bonding Program'!$C$8,IF(AND('Bonding Program'!$K$14&lt;&gt;"",AU$3='Bonding Program'!$K$14),'Bonding Program'!$J$14,0)-IF(AND('Bonding Program'!$M$14&lt;&gt;"",AU$3='Bonding Program'!$M$14),'Bonding Program'!$L$14,0)-IF(AND('Bonding Program'!$P$14&lt;&gt;"",AU$3='Bonding Program'!$P$14),'Bonding Program'!$O$14,0)-IF(AND('Bonding Program'!$R$14&lt;&gt;"",AU$3='Bonding Program'!$R$14),'Bonding Program'!$Q$14,0),0)</f>
        <v>0</v>
      </c>
      <c r="AV155" s="19" t="n">
        <f aca="false">IF(AND('Bonding Program'!$S$14=1,AV$3='Bonding Program'!$H$14),'Bonding Program'!$AA$14,0)-IF(AV$3&lt;='Bonding Program'!$C$8,IF(AND('Bonding Program'!$K$14&lt;&gt;"",AV$3='Bonding Program'!$K$14),'Bonding Program'!$J$14,0)-IF(AND('Bonding Program'!$M$14&lt;&gt;"",AV$3='Bonding Program'!$M$14),'Bonding Program'!$L$14,0)-IF(AND('Bonding Program'!$P$14&lt;&gt;"",AV$3='Bonding Program'!$P$14),'Bonding Program'!$O$14,0)-IF(AND('Bonding Program'!$R$14&lt;&gt;"",AV$3='Bonding Program'!$R$14),'Bonding Program'!$Q$14,0),0)</f>
        <v>0</v>
      </c>
      <c r="AW155" s="19" t="n">
        <f aca="false">IF(AND('Bonding Program'!$S$14=1,AW$3='Bonding Program'!$H$14),'Bonding Program'!$AA$14,0)-IF(AW$3&lt;='Bonding Program'!$C$8,IF(AND('Bonding Program'!$K$14&lt;&gt;"",AW$3='Bonding Program'!$K$14),'Bonding Program'!$J$14,0)-IF(AND('Bonding Program'!$M$14&lt;&gt;"",AW$3='Bonding Program'!$M$14),'Bonding Program'!$L$14,0)-IF(AND('Bonding Program'!$P$14&lt;&gt;"",AW$3='Bonding Program'!$P$14),'Bonding Program'!$O$14,0)-IF(AND('Bonding Program'!$R$14&lt;&gt;"",AW$3='Bonding Program'!$R$14),'Bonding Program'!$Q$14,0),0)</f>
        <v>0</v>
      </c>
      <c r="AX155" s="19" t="n">
        <f aca="false">IF(AND('Bonding Program'!$S$14=1,AX$3='Bonding Program'!$H$14),'Bonding Program'!$AA$14,0)-IF(AX$3&lt;='Bonding Program'!$C$8,IF(AND('Bonding Program'!$K$14&lt;&gt;"",AX$3='Bonding Program'!$K$14),'Bonding Program'!$J$14,0)-IF(AND('Bonding Program'!$M$14&lt;&gt;"",AX$3='Bonding Program'!$M$14),'Bonding Program'!$L$14,0)-IF(AND('Bonding Program'!$P$14&lt;&gt;"",AX$3='Bonding Program'!$P$14),'Bonding Program'!$O$14,0)-IF(AND('Bonding Program'!$R$14&lt;&gt;"",AX$3='Bonding Program'!$R$14),'Bonding Program'!$Q$14,0),0)</f>
        <v>0</v>
      </c>
      <c r="AY155" s="19" t="n">
        <f aca="false">IF(AND('Bonding Program'!$S$14=1,AY$3='Bonding Program'!$H$14),'Bonding Program'!$AA$14,0)-IF(AY$3&lt;='Bonding Program'!$C$8,IF(AND('Bonding Program'!$K$14&lt;&gt;"",AY$3='Bonding Program'!$K$14),'Bonding Program'!$J$14,0)-IF(AND('Bonding Program'!$M$14&lt;&gt;"",AY$3='Bonding Program'!$M$14),'Bonding Program'!$L$14,0)-IF(AND('Bonding Program'!$P$14&lt;&gt;"",AY$3='Bonding Program'!$P$14),'Bonding Program'!$O$14,0)-IF(AND('Bonding Program'!$R$14&lt;&gt;"",AY$3='Bonding Program'!$R$14),'Bonding Program'!$Q$14,0),0)</f>
        <v>0</v>
      </c>
      <c r="AZ155" s="19" t="n">
        <f aca="false">IF(AND('Bonding Program'!$S$14=1,AZ$3='Bonding Program'!$H$14),'Bonding Program'!$AA$14,0)-IF(AZ$3&lt;='Bonding Program'!$C$8,IF(AND('Bonding Program'!$K$14&lt;&gt;"",AZ$3='Bonding Program'!$K$14),'Bonding Program'!$J$14,0)-IF(AND('Bonding Program'!$M$14&lt;&gt;"",AZ$3='Bonding Program'!$M$14),'Bonding Program'!$L$14,0)-IF(AND('Bonding Program'!$P$14&lt;&gt;"",AZ$3='Bonding Program'!$P$14),'Bonding Program'!$O$14,0)-IF(AND('Bonding Program'!$R$14&lt;&gt;"",AZ$3='Bonding Program'!$R$14),'Bonding Program'!$Q$14,0),0)</f>
        <v>0</v>
      </c>
      <c r="BA155" s="19" t="n">
        <f aca="false">IF(AND('Bonding Program'!$S$14=1,BA$3='Bonding Program'!$H$14),'Bonding Program'!$AA$14,0)-IF(BA$3&lt;='Bonding Program'!$C$8,IF(AND('Bonding Program'!$K$14&lt;&gt;"",BA$3='Bonding Program'!$K$14),'Bonding Program'!$J$14,0)-IF(AND('Bonding Program'!$M$14&lt;&gt;"",BA$3='Bonding Program'!$M$14),'Bonding Program'!$L$14,0)-IF(AND('Bonding Program'!$P$14&lt;&gt;"",BA$3='Bonding Program'!$P$14),'Bonding Program'!$O$14,0)-IF(AND('Bonding Program'!$R$14&lt;&gt;"",BA$3='Bonding Program'!$R$14),'Bonding Program'!$Q$14,0),0)</f>
        <v>0</v>
      </c>
      <c r="BB155" s="19" t="n">
        <f aca="false">IF(AND('Bonding Program'!$S$14=1,BB$3='Bonding Program'!$H$14),'Bonding Program'!$AA$14,0)-IF(BB$3&lt;='Bonding Program'!$C$8,IF(AND('Bonding Program'!$K$14&lt;&gt;"",BB$3='Bonding Program'!$K$14),'Bonding Program'!$J$14,0)-IF(AND('Bonding Program'!$M$14&lt;&gt;"",BB$3='Bonding Program'!$M$14),'Bonding Program'!$L$14,0)-IF(AND('Bonding Program'!$P$14&lt;&gt;"",BB$3='Bonding Program'!$P$14),'Bonding Program'!$O$14,0)-IF(AND('Bonding Program'!$R$14&lt;&gt;"",BB$3='Bonding Program'!$R$14),'Bonding Program'!$Q$14,0),0)</f>
        <v>0</v>
      </c>
      <c r="BC155" s="19" t="n">
        <f aca="false">IF(AND('Bonding Program'!$S$14=1,BC$3='Bonding Program'!$H$14),'Bonding Program'!$AA$14,0)-IF(BC$3&lt;='Bonding Program'!$C$8,IF(AND('Bonding Program'!$K$14&lt;&gt;"",BC$3='Bonding Program'!$K$14),'Bonding Program'!$J$14,0)-IF(AND('Bonding Program'!$M$14&lt;&gt;"",BC$3='Bonding Program'!$M$14),'Bonding Program'!$L$14,0)-IF(AND('Bonding Program'!$P$14&lt;&gt;"",BC$3='Bonding Program'!$P$14),'Bonding Program'!$O$14,0)-IF(AND('Bonding Program'!$R$14&lt;&gt;"",BC$3='Bonding Program'!$R$14),'Bonding Program'!$Q$14,0),0)</f>
        <v>0</v>
      </c>
      <c r="BD155" s="19" t="n">
        <f aca="false">IF(AND('Bonding Program'!$S$14=1,BD$3='Bonding Program'!$H$14),'Bonding Program'!$AA$14,0)-IF(BD$3&lt;='Bonding Program'!$C$8,IF(AND('Bonding Program'!$K$14&lt;&gt;"",BD$3='Bonding Program'!$K$14),'Bonding Program'!$J$14,0)-IF(AND('Bonding Program'!$M$14&lt;&gt;"",BD$3='Bonding Program'!$M$14),'Bonding Program'!$L$14,0)-IF(AND('Bonding Program'!$P$14&lt;&gt;"",BD$3='Bonding Program'!$P$14),'Bonding Program'!$O$14,0)-IF(AND('Bonding Program'!$R$14&lt;&gt;"",BD$3='Bonding Program'!$R$14),'Bonding Program'!$Q$14,0),0)</f>
        <v>0</v>
      </c>
      <c r="BE155" s="19" t="n">
        <f aca="false">IF(AND('Bonding Program'!$S$14=1,BE$3='Bonding Program'!$H$14),'Bonding Program'!$AA$14,0)-IF(BE$3&lt;='Bonding Program'!$C$8,IF(AND('Bonding Program'!$K$14&lt;&gt;"",BE$3='Bonding Program'!$K$14),'Bonding Program'!$J$14,0)-IF(AND('Bonding Program'!$M$14&lt;&gt;"",BE$3='Bonding Program'!$M$14),'Bonding Program'!$L$14,0)-IF(AND('Bonding Program'!$P$14&lt;&gt;"",BE$3='Bonding Program'!$P$14),'Bonding Program'!$O$14,0)-IF(AND('Bonding Program'!$R$14&lt;&gt;"",BE$3='Bonding Program'!$R$14),'Bonding Program'!$Q$14,0),0)</f>
        <v>0</v>
      </c>
      <c r="BF155" s="19" t="n">
        <f aca="false">IF(AND('Bonding Program'!$S$14=1,BF$3='Bonding Program'!$H$14),'Bonding Program'!$AA$14,0)-IF(BF$3&lt;='Bonding Program'!$C$8,IF(AND('Bonding Program'!$K$14&lt;&gt;"",BF$3='Bonding Program'!$K$14),'Bonding Program'!$J$14,0)-IF(AND('Bonding Program'!$M$14&lt;&gt;"",BF$3='Bonding Program'!$M$14),'Bonding Program'!$L$14,0)-IF(AND('Bonding Program'!$P$14&lt;&gt;"",BF$3='Bonding Program'!$P$14),'Bonding Program'!$O$14,0)-IF(AND('Bonding Program'!$R$14&lt;&gt;"",BF$3='Bonding Program'!$R$14),'Bonding Program'!$Q$14,0),0)</f>
        <v>0</v>
      </c>
      <c r="BG155" s="19" t="n">
        <f aca="false">IF(AND('Bonding Program'!$S$14=1,BG$3='Bonding Program'!$H$14),'Bonding Program'!$AA$14,0)-IF(BG$3&lt;='Bonding Program'!$C$8,IF(AND('Bonding Program'!$K$14&lt;&gt;"",BG$3='Bonding Program'!$K$14),'Bonding Program'!$J$14,0)-IF(AND('Bonding Program'!$M$14&lt;&gt;"",BG$3='Bonding Program'!$M$14),'Bonding Program'!$L$14,0)-IF(AND('Bonding Program'!$P$14&lt;&gt;"",BG$3='Bonding Program'!$P$14),'Bonding Program'!$O$14,0)-IF(AND('Bonding Program'!$R$14&lt;&gt;"",BG$3='Bonding Program'!$R$14),'Bonding Program'!$Q$14,0),0)</f>
        <v>0</v>
      </c>
      <c r="BH155" s="19" t="n">
        <f aca="false">IF(AND('Bonding Program'!$S$14=1,BH$3='Bonding Program'!$H$14),'Bonding Program'!$AA$14,0)-IF(BH$3&lt;='Bonding Program'!$C$8,IF(AND('Bonding Program'!$K$14&lt;&gt;"",BH$3='Bonding Program'!$K$14),'Bonding Program'!$J$14,0)-IF(AND('Bonding Program'!$M$14&lt;&gt;"",BH$3='Bonding Program'!$M$14),'Bonding Program'!$L$14,0)-IF(AND('Bonding Program'!$P$14&lt;&gt;"",BH$3='Bonding Program'!$P$14),'Bonding Program'!$O$14,0)-IF(AND('Bonding Program'!$R$14&lt;&gt;"",BH$3='Bonding Program'!$R$14),'Bonding Program'!$Q$14,0),0)</f>
        <v>0</v>
      </c>
      <c r="BI155" s="19" t="n">
        <f aca="false">IF(AND('Bonding Program'!$S$14=1,BI$3='Bonding Program'!$H$14),'Bonding Program'!$AA$14,0)-IF(BI$3&lt;='Bonding Program'!$C$8,IF(AND('Bonding Program'!$K$14&lt;&gt;"",BI$3='Bonding Program'!$K$14),'Bonding Program'!$J$14,0)-IF(AND('Bonding Program'!$M$14&lt;&gt;"",BI$3='Bonding Program'!$M$14),'Bonding Program'!$L$14,0)-IF(AND('Bonding Program'!$P$14&lt;&gt;"",BI$3='Bonding Program'!$P$14),'Bonding Program'!$O$14,0)-IF(AND('Bonding Program'!$R$14&lt;&gt;"",BI$3='Bonding Program'!$R$14),'Bonding Program'!$Q$14,0),0)</f>
        <v>0</v>
      </c>
      <c r="BJ155" s="19" t="n">
        <f aca="false">IF(AND('Bonding Program'!$S$14=1,BJ$3='Bonding Program'!$H$14),'Bonding Program'!$AA$14,0)-IF(BJ$3&lt;='Bonding Program'!$C$8,IF(AND('Bonding Program'!$K$14&lt;&gt;"",BJ$3='Bonding Program'!$K$14),'Bonding Program'!$J$14,0)-IF(AND('Bonding Program'!$M$14&lt;&gt;"",BJ$3='Bonding Program'!$M$14),'Bonding Program'!$L$14,0)-IF(AND('Bonding Program'!$P$14&lt;&gt;"",BJ$3='Bonding Program'!$P$14),'Bonding Program'!$O$14,0)-IF(AND('Bonding Program'!$R$14&lt;&gt;"",BJ$3='Bonding Program'!$R$14),'Bonding Program'!$Q$14,0),0)</f>
        <v>0</v>
      </c>
      <c r="BK155" s="19" t="n">
        <f aca="false">IF(AND('Bonding Program'!$S$14=1,BK$3='Bonding Program'!$H$14),'Bonding Program'!$AA$14,0)-IF(BK$3&lt;='Bonding Program'!$C$8,IF(AND('Bonding Program'!$K$14&lt;&gt;"",BK$3='Bonding Program'!$K$14),'Bonding Program'!$J$14,0)-IF(AND('Bonding Program'!$M$14&lt;&gt;"",BK$3='Bonding Program'!$M$14),'Bonding Program'!$L$14,0)-IF(AND('Bonding Program'!$P$14&lt;&gt;"",BK$3='Bonding Program'!$P$14),'Bonding Program'!$O$14,0)-IF(AND('Bonding Program'!$R$14&lt;&gt;"",BK$3='Bonding Program'!$R$14),'Bonding Program'!$Q$14,0),0)</f>
        <v>0</v>
      </c>
      <c r="BL155" s="19" t="n">
        <f aca="false">IF(AND('Bonding Program'!$S$14=1,BL$3='Bonding Program'!$H$14),'Bonding Program'!$AA$14,0)-IF(BL$3&lt;='Bonding Program'!$C$8,IF(AND('Bonding Program'!$K$14&lt;&gt;"",BL$3='Bonding Program'!$K$14),'Bonding Program'!$J$14,0)-IF(AND('Bonding Program'!$M$14&lt;&gt;"",BL$3='Bonding Program'!$M$14),'Bonding Program'!$L$14,0)-IF(AND('Bonding Program'!$P$14&lt;&gt;"",BL$3='Bonding Program'!$P$14),'Bonding Program'!$O$14,0)-IF(AND('Bonding Program'!$R$14&lt;&gt;"",BL$3='Bonding Program'!$R$14),'Bonding Program'!$Q$14,0),0)</f>
        <v>0</v>
      </c>
      <c r="BM155" s="19" t="n">
        <f aca="false">IF(AND('Bonding Program'!$S$14=1,BM$3='Bonding Program'!$H$14),'Bonding Program'!$AA$14,0)-IF(BM$3&lt;='Bonding Program'!$C$8,IF(AND('Bonding Program'!$K$14&lt;&gt;"",BM$3='Bonding Program'!$K$14),'Bonding Program'!$J$14,0)-IF(AND('Bonding Program'!$M$14&lt;&gt;"",BM$3='Bonding Program'!$M$14),'Bonding Program'!$L$14,0)-IF(AND('Bonding Program'!$P$14&lt;&gt;"",BM$3='Bonding Program'!$P$14),'Bonding Program'!$O$14,0)-IF(AND('Bonding Program'!$R$14&lt;&gt;"",BM$3='Bonding Program'!$R$14),'Bonding Program'!$Q$14,0),0)</f>
        <v>0</v>
      </c>
      <c r="BN155" s="19" t="n">
        <f aca="false">IF(AND('Bonding Program'!$S$14=1,BN$3='Bonding Program'!$H$14),'Bonding Program'!$AA$14,0)-IF(BN$3&lt;='Bonding Program'!$C$8,IF(AND('Bonding Program'!$K$14&lt;&gt;"",BN$3='Bonding Program'!$K$14),'Bonding Program'!$J$14,0)-IF(AND('Bonding Program'!$M$14&lt;&gt;"",BN$3='Bonding Program'!$M$14),'Bonding Program'!$L$14,0)-IF(AND('Bonding Program'!$P$14&lt;&gt;"",BN$3='Bonding Program'!$P$14),'Bonding Program'!$O$14,0)-IF(AND('Bonding Program'!$R$14&lt;&gt;"",BN$3='Bonding Program'!$R$14),'Bonding Program'!$Q$14,0),0)</f>
        <v>0</v>
      </c>
      <c r="BO155" s="19" t="n">
        <f aca="false">IF(AND('Bonding Program'!$S$14=1,BO$3='Bonding Program'!$H$14),'Bonding Program'!$AA$14,0)-IF(BO$3&lt;='Bonding Program'!$C$8,IF(AND('Bonding Program'!$K$14&lt;&gt;"",BO$3='Bonding Program'!$K$14),'Bonding Program'!$J$14,0)-IF(AND('Bonding Program'!$M$14&lt;&gt;"",BO$3='Bonding Program'!$M$14),'Bonding Program'!$L$14,0)-IF(AND('Bonding Program'!$P$14&lt;&gt;"",BO$3='Bonding Program'!$P$14),'Bonding Program'!$O$14,0)-IF(AND('Bonding Program'!$R$14&lt;&gt;"",BO$3='Bonding Program'!$R$14),'Bonding Program'!$Q$14,0),0)</f>
        <v>0</v>
      </c>
      <c r="BP155" s="19" t="n">
        <f aca="false">IF(AND('Bonding Program'!$S$14=1,BP$3='Bonding Program'!$H$14),'Bonding Program'!$AA$14,0)-IF(BP$3&lt;='Bonding Program'!$C$8,IF(AND('Bonding Program'!$K$14&lt;&gt;"",BP$3='Bonding Program'!$K$14),'Bonding Program'!$J$14,0)-IF(AND('Bonding Program'!$M$14&lt;&gt;"",BP$3='Bonding Program'!$M$14),'Bonding Program'!$L$14,0)-IF(AND('Bonding Program'!$P$14&lt;&gt;"",BP$3='Bonding Program'!$P$14),'Bonding Program'!$O$14,0)-IF(AND('Bonding Program'!$R$14&lt;&gt;"",BP$3='Bonding Program'!$R$14),'Bonding Program'!$Q$14,0),0)</f>
        <v>0</v>
      </c>
      <c r="BQ155" s="19" t="n">
        <f aca="false">IF(AND('Bonding Program'!$S$14=1,BQ$3='Bonding Program'!$H$14),'Bonding Program'!$AA$14,0)-IF(BQ$3&lt;='Bonding Program'!$C$8,IF(AND('Bonding Program'!$K$14&lt;&gt;"",BQ$3='Bonding Program'!$K$14),'Bonding Program'!$J$14,0)-IF(AND('Bonding Program'!$M$14&lt;&gt;"",BQ$3='Bonding Program'!$M$14),'Bonding Program'!$L$14,0)-IF(AND('Bonding Program'!$P$14&lt;&gt;"",BQ$3='Bonding Program'!$P$14),'Bonding Program'!$O$14,0)-IF(AND('Bonding Program'!$R$14&lt;&gt;"",BQ$3='Bonding Program'!$R$14),'Bonding Program'!$Q$14,0),0)</f>
        <v>0</v>
      </c>
      <c r="BR155" s="19" t="n">
        <f aca="false">IF(AND('Bonding Program'!$S$14=1,BR$3='Bonding Program'!$H$14),'Bonding Program'!$AA$14,0)-IF(BR$3&lt;='Bonding Program'!$C$8,IF(AND('Bonding Program'!$K$14&lt;&gt;"",BR$3='Bonding Program'!$K$14),'Bonding Program'!$J$14,0)-IF(AND('Bonding Program'!$M$14&lt;&gt;"",BR$3='Bonding Program'!$M$14),'Bonding Program'!$L$14,0)-IF(AND('Bonding Program'!$P$14&lt;&gt;"",BR$3='Bonding Program'!$P$14),'Bonding Program'!$O$14,0)-IF(AND('Bonding Program'!$R$14&lt;&gt;"",BR$3='Bonding Program'!$R$14),'Bonding Program'!$Q$14,0),0)</f>
        <v>0</v>
      </c>
      <c r="BS155" s="19" t="n">
        <f aca="false">IF(AND('Bonding Program'!$S$14=1,BS$3='Bonding Program'!$H$14),'Bonding Program'!$AA$14,0)-IF(BS$3&lt;='Bonding Program'!$C$8,IF(AND('Bonding Program'!$K$14&lt;&gt;"",BS$3='Bonding Program'!$K$14),'Bonding Program'!$J$14,0)-IF(AND('Bonding Program'!$M$14&lt;&gt;"",BS$3='Bonding Program'!$M$14),'Bonding Program'!$L$14,0)-IF(AND('Bonding Program'!$P$14&lt;&gt;"",BS$3='Bonding Program'!$P$14),'Bonding Program'!$O$14,0)-IF(AND('Bonding Program'!$R$14&lt;&gt;"",BS$3='Bonding Program'!$R$14),'Bonding Program'!$Q$14,0),0)</f>
        <v>0</v>
      </c>
      <c r="BT155" s="19" t="n">
        <f aca="false">IF(AND('Bonding Program'!$S$14=1,BT$3='Bonding Program'!$H$14),'Bonding Program'!$AA$14,0)-IF(BT$3&lt;='Bonding Program'!$C$8,IF(AND('Bonding Program'!$K$14&lt;&gt;"",BT$3='Bonding Program'!$K$14),'Bonding Program'!$J$14,0)-IF(AND('Bonding Program'!$M$14&lt;&gt;"",BT$3='Bonding Program'!$M$14),'Bonding Program'!$L$14,0)-IF(AND('Bonding Program'!$P$14&lt;&gt;"",BT$3='Bonding Program'!$P$14),'Bonding Program'!$O$14,0)-IF(AND('Bonding Program'!$R$14&lt;&gt;"",BT$3='Bonding Program'!$R$14),'Bonding Program'!$Q$14,0),0)</f>
        <v>0</v>
      </c>
      <c r="BU155" s="19" t="n">
        <f aca="false">IF(AND('Bonding Program'!$S$14=1,BU$3='Bonding Program'!$H$14),'Bonding Program'!$AA$14,0)-IF(BU$3&lt;='Bonding Program'!$C$8,IF(AND('Bonding Program'!$K$14&lt;&gt;"",BU$3='Bonding Program'!$K$14),'Bonding Program'!$J$14,0)-IF(AND('Bonding Program'!$M$14&lt;&gt;"",BU$3='Bonding Program'!$M$14),'Bonding Program'!$L$14,0)-IF(AND('Bonding Program'!$P$14&lt;&gt;"",BU$3='Bonding Program'!$P$14),'Bonding Program'!$O$14,0)-IF(AND('Bonding Program'!$R$14&lt;&gt;"",BU$3='Bonding Program'!$R$14),'Bonding Program'!$Q$14,0),0)</f>
        <v>0</v>
      </c>
      <c r="BV155" s="19" t="n">
        <f aca="false">IF(AND('Bonding Program'!$S$14=1,BV$3='Bonding Program'!$H$14),'Bonding Program'!$AA$14,0)-IF(BV$3&lt;='Bonding Program'!$C$8,IF(AND('Bonding Program'!$K$14&lt;&gt;"",BV$3='Bonding Program'!$K$14),'Bonding Program'!$J$14,0)-IF(AND('Bonding Program'!$M$14&lt;&gt;"",BV$3='Bonding Program'!$M$14),'Bonding Program'!$L$14,0)-IF(AND('Bonding Program'!$P$14&lt;&gt;"",BV$3='Bonding Program'!$P$14),'Bonding Program'!$O$14,0)-IF(AND('Bonding Program'!$R$14&lt;&gt;"",BV$3='Bonding Program'!$R$14),'Bonding Program'!$Q$14,0),0)</f>
        <v>0</v>
      </c>
      <c r="BW155" s="19" t="n">
        <f aca="false">IF(AND('Bonding Program'!$S$14=1,BW$3='Bonding Program'!$H$14),'Bonding Program'!$AA$14,0)-IF(BW$3&lt;='Bonding Program'!$C$8,IF(AND('Bonding Program'!$K$14&lt;&gt;"",BW$3='Bonding Program'!$K$14),'Bonding Program'!$J$14,0)-IF(AND('Bonding Program'!$M$14&lt;&gt;"",BW$3='Bonding Program'!$M$14),'Bonding Program'!$L$14,0)-IF(AND('Bonding Program'!$P$14&lt;&gt;"",BW$3='Bonding Program'!$P$14),'Bonding Program'!$O$14,0)-IF(AND('Bonding Program'!$R$14&lt;&gt;"",BW$3='Bonding Program'!$R$14),'Bonding Program'!$Q$14,0),0)</f>
        <v>0</v>
      </c>
      <c r="BX155" s="19" t="n">
        <f aca="false">IF(AND('Bonding Program'!$S$14=1,BX$3='Bonding Program'!$H$14),'Bonding Program'!$AA$14,0)-IF(BX$3&lt;='Bonding Program'!$C$8,IF(AND('Bonding Program'!$K$14&lt;&gt;"",BX$3='Bonding Program'!$K$14),'Bonding Program'!$J$14,0)-IF(AND('Bonding Program'!$M$14&lt;&gt;"",BX$3='Bonding Program'!$M$14),'Bonding Program'!$L$14,0)-IF(AND('Bonding Program'!$P$14&lt;&gt;"",BX$3='Bonding Program'!$P$14),'Bonding Program'!$O$14,0)-IF(AND('Bonding Program'!$R$14&lt;&gt;"",BX$3='Bonding Program'!$R$14),'Bonding Program'!$Q$14,0),0)</f>
        <v>0</v>
      </c>
      <c r="BY155" s="19" t="n">
        <f aca="false">IF(AND('Bonding Program'!$S$14=1,BY$3='Bonding Program'!$H$14),'Bonding Program'!$AA$14,0)-IF(BY$3&lt;='Bonding Program'!$C$8,IF(AND('Bonding Program'!$K$14&lt;&gt;"",BY$3='Bonding Program'!$K$14),'Bonding Program'!$J$14,0)-IF(AND('Bonding Program'!$M$14&lt;&gt;"",BY$3='Bonding Program'!$M$14),'Bonding Program'!$L$14,0)-IF(AND('Bonding Program'!$P$14&lt;&gt;"",BY$3='Bonding Program'!$P$14),'Bonding Program'!$O$14,0)-IF(AND('Bonding Program'!$R$14&lt;&gt;"",BY$3='Bonding Program'!$R$14),'Bonding Program'!$Q$14,0),0)</f>
        <v>0</v>
      </c>
      <c r="BZ155" s="19" t="n">
        <f aca="false">IF(AND('Bonding Program'!$S$14=1,BZ$3='Bonding Program'!$H$14),'Bonding Program'!$AA$14,0)-IF(BZ$3&lt;='Bonding Program'!$C$8,IF(AND('Bonding Program'!$K$14&lt;&gt;"",BZ$3='Bonding Program'!$K$14),'Bonding Program'!$J$14,0)-IF(AND('Bonding Program'!$M$14&lt;&gt;"",BZ$3='Bonding Program'!$M$14),'Bonding Program'!$L$14,0)-IF(AND('Bonding Program'!$P$14&lt;&gt;"",BZ$3='Bonding Program'!$P$14),'Bonding Program'!$O$14,0)-IF(AND('Bonding Program'!$R$14&lt;&gt;"",BZ$3='Bonding Program'!$R$14),'Bonding Program'!$Q$14,0),0)</f>
        <v>0</v>
      </c>
      <c r="CA155" s="19" t="n">
        <f aca="false">IF(AND('Bonding Program'!$S$14=1,CA$3='Bonding Program'!$H$14),'Bonding Program'!$AA$14,0)-IF(CA$3&lt;='Bonding Program'!$C$8,IF(AND('Bonding Program'!$K$14&lt;&gt;"",CA$3='Bonding Program'!$K$14),'Bonding Program'!$J$14,0)-IF(AND('Bonding Program'!$M$14&lt;&gt;"",CA$3='Bonding Program'!$M$14),'Bonding Program'!$L$14,0)-IF(AND('Bonding Program'!$P$14&lt;&gt;"",CA$3='Bonding Program'!$P$14),'Bonding Program'!$O$14,0)-IF(AND('Bonding Program'!$R$14&lt;&gt;"",CA$3='Bonding Program'!$R$14),'Bonding Program'!$Q$14,0),0)</f>
        <v>0</v>
      </c>
      <c r="CB155" s="19" t="n">
        <f aca="false">IF(AND('Bonding Program'!$S$14=1,CB$3='Bonding Program'!$H$14),'Bonding Program'!$AA$14,0)-IF(CB$3&lt;='Bonding Program'!$C$8,IF(AND('Bonding Program'!$K$14&lt;&gt;"",CB$3='Bonding Program'!$K$14),'Bonding Program'!$J$14,0)-IF(AND('Bonding Program'!$M$14&lt;&gt;"",CB$3='Bonding Program'!$M$14),'Bonding Program'!$L$14,0)-IF(AND('Bonding Program'!$P$14&lt;&gt;"",CB$3='Bonding Program'!$P$14),'Bonding Program'!$O$14,0)-IF(AND('Bonding Program'!$R$14&lt;&gt;"",CB$3='Bonding Program'!$R$14),'Bonding Program'!$Q$14,0),0)</f>
        <v>0</v>
      </c>
      <c r="CC155" s="19" t="n">
        <f aca="false">IF(AND('Bonding Program'!$S$14=1,CC$3='Bonding Program'!$H$14),'Bonding Program'!$AA$14,0)-IF(CC$3&lt;='Bonding Program'!$C$8,IF(AND('Bonding Program'!$K$14&lt;&gt;"",CC$3='Bonding Program'!$K$14),'Bonding Program'!$J$14,0)-IF(AND('Bonding Program'!$M$14&lt;&gt;"",CC$3='Bonding Program'!$M$14),'Bonding Program'!$L$14,0)-IF(AND('Bonding Program'!$P$14&lt;&gt;"",CC$3='Bonding Program'!$P$14),'Bonding Program'!$O$14,0)-IF(AND('Bonding Program'!$R$14&lt;&gt;"",CC$3='Bonding Program'!$R$14),'Bonding Program'!$Q$14,0),0)</f>
        <v>0</v>
      </c>
      <c r="CD155" s="19" t="n">
        <f aca="false">IF(AND('Bonding Program'!$S$14=1,CD$3='Bonding Program'!$H$14),'Bonding Program'!$AA$14,0)-IF(CD$3&lt;='Bonding Program'!$C$8,IF(AND('Bonding Program'!$K$14&lt;&gt;"",CD$3='Bonding Program'!$K$14),'Bonding Program'!$J$14,0)-IF(AND('Bonding Program'!$M$14&lt;&gt;"",CD$3='Bonding Program'!$M$14),'Bonding Program'!$L$14,0)-IF(AND('Bonding Program'!$P$14&lt;&gt;"",CD$3='Bonding Program'!$P$14),'Bonding Program'!$O$14,0)-IF(AND('Bonding Program'!$R$14&lt;&gt;"",CD$3='Bonding Program'!$R$14),'Bonding Program'!$Q$14,0),0)</f>
        <v>0</v>
      </c>
      <c r="CE155" s="19" t="n">
        <f aca="false">IF(AND('Bonding Program'!$S$14=1,CE$3='Bonding Program'!$H$14),'Bonding Program'!$AA$14,0)-IF(CE$3&lt;='Bonding Program'!$C$8,IF(AND('Bonding Program'!$K$14&lt;&gt;"",CE$3='Bonding Program'!$K$14),'Bonding Program'!$J$14,0)-IF(AND('Bonding Program'!$M$14&lt;&gt;"",CE$3='Bonding Program'!$M$14),'Bonding Program'!$L$14,0)-IF(AND('Bonding Program'!$P$14&lt;&gt;"",CE$3='Bonding Program'!$P$14),'Bonding Program'!$O$14,0)-IF(AND('Bonding Program'!$R$14&lt;&gt;"",CE$3='Bonding Program'!$R$14),'Bonding Program'!$Q$14,0),0)</f>
        <v>0</v>
      </c>
      <c r="CF155" s="19" t="n">
        <f aca="false">IF(AND('Bonding Program'!$S$14=1,CF$3='Bonding Program'!$H$14),'Bonding Program'!$AA$14,0)-IF(CF$3&lt;='Bonding Program'!$C$8,IF(AND('Bonding Program'!$K$14&lt;&gt;"",CF$3='Bonding Program'!$K$14),'Bonding Program'!$J$14,0)-IF(AND('Bonding Program'!$M$14&lt;&gt;"",CF$3='Bonding Program'!$M$14),'Bonding Program'!$L$14,0)-IF(AND('Bonding Program'!$P$14&lt;&gt;"",CF$3='Bonding Program'!$P$14),'Bonding Program'!$O$14,0)-IF(AND('Bonding Program'!$R$14&lt;&gt;"",CF$3='Bonding Program'!$R$14),'Bonding Program'!$Q$14,0),0)</f>
        <v>0</v>
      </c>
      <c r="CG155" s="19" t="n">
        <f aca="false">IF(AND('Bonding Program'!$S$14=1,CG$3='Bonding Program'!$H$14),'Bonding Program'!$AA$14,0)-IF(CG$3&lt;='Bonding Program'!$C$8,IF(AND('Bonding Program'!$K$14&lt;&gt;"",CG$3='Bonding Program'!$K$14),'Bonding Program'!$J$14,0)-IF(AND('Bonding Program'!$M$14&lt;&gt;"",CG$3='Bonding Program'!$M$14),'Bonding Program'!$L$14,0)-IF(AND('Bonding Program'!$P$14&lt;&gt;"",CG$3='Bonding Program'!$P$14),'Bonding Program'!$O$14,0)-IF(AND('Bonding Program'!$R$14&lt;&gt;"",CG$3='Bonding Program'!$R$14),'Bonding Program'!$Q$14,0),0)</f>
        <v>0</v>
      </c>
      <c r="CH155" s="19" t="n">
        <f aca="false">IF(AND('Bonding Program'!$S$14=1,CH$3='Bonding Program'!$H$14),'Bonding Program'!$AA$14,0)-IF(CH$3&lt;='Bonding Program'!$C$8,IF(AND('Bonding Program'!$K$14&lt;&gt;"",CH$3='Bonding Program'!$K$14),'Bonding Program'!$J$14,0)-IF(AND('Bonding Program'!$M$14&lt;&gt;"",CH$3='Bonding Program'!$M$14),'Bonding Program'!$L$14,0)-IF(AND('Bonding Program'!$P$14&lt;&gt;"",CH$3='Bonding Program'!$P$14),'Bonding Program'!$O$14,0)-IF(AND('Bonding Program'!$R$14&lt;&gt;"",CH$3='Bonding Program'!$R$14),'Bonding Program'!$Q$14,0),0)</f>
        <v>0</v>
      </c>
      <c r="CI155" s="19" t="n">
        <f aca="false">IF(AND('Bonding Program'!$S$14=1,CI$3='Bonding Program'!$H$14),'Bonding Program'!$AA$14,0)-IF(CI$3&lt;='Bonding Program'!$C$8,IF(AND('Bonding Program'!$K$14&lt;&gt;"",CI$3='Bonding Program'!$K$14),'Bonding Program'!$J$14,0)-IF(AND('Bonding Program'!$M$14&lt;&gt;"",CI$3='Bonding Program'!$M$14),'Bonding Program'!$L$14,0)-IF(AND('Bonding Program'!$P$14&lt;&gt;"",CI$3='Bonding Program'!$P$14),'Bonding Program'!$O$14,0)-IF(AND('Bonding Program'!$R$14&lt;&gt;"",CI$3='Bonding Program'!$R$14),'Bonding Program'!$Q$14,0),0)</f>
        <v>0</v>
      </c>
      <c r="CJ155" s="19" t="n">
        <f aca="false">IF(AND('Bonding Program'!$S$14=1,CJ$3='Bonding Program'!$H$14),'Bonding Program'!$AA$14,0)-IF(CJ$3&lt;='Bonding Program'!$C$8,IF(AND('Bonding Program'!$K$14&lt;&gt;"",CJ$3='Bonding Program'!$K$14),'Bonding Program'!$J$14,0)-IF(AND('Bonding Program'!$M$14&lt;&gt;"",CJ$3='Bonding Program'!$M$14),'Bonding Program'!$L$14,0)-IF(AND('Bonding Program'!$P$14&lt;&gt;"",CJ$3='Bonding Program'!$P$14),'Bonding Program'!$O$14,0)-IF(AND('Bonding Program'!$R$14&lt;&gt;"",CJ$3='Bonding Program'!$R$14),'Bonding Program'!$Q$14,0),0)</f>
        <v>0</v>
      </c>
      <c r="CK155" s="19" t="n">
        <f aca="false">IF(AND('Bonding Program'!$S$14=1,CK$3='Bonding Program'!$H$14),'Bonding Program'!$AA$14,0)-IF(CK$3&lt;='Bonding Program'!$C$8,IF(AND('Bonding Program'!$K$14&lt;&gt;"",CK$3='Bonding Program'!$K$14),'Bonding Program'!$J$14,0)-IF(AND('Bonding Program'!$M$14&lt;&gt;"",CK$3='Bonding Program'!$M$14),'Bonding Program'!$L$14,0)-IF(AND('Bonding Program'!$P$14&lt;&gt;"",CK$3='Bonding Program'!$P$14),'Bonding Program'!$O$14,0)-IF(AND('Bonding Program'!$R$14&lt;&gt;"",CK$3='Bonding Program'!$R$14),'Bonding Program'!$Q$14,0),0)</f>
        <v>0</v>
      </c>
      <c r="CL155" s="19" t="n">
        <f aca="false">IF(AND('Bonding Program'!$S$14=1,CL$3='Bonding Program'!$H$14),'Bonding Program'!$AA$14,0)-IF(CL$3&lt;='Bonding Program'!$C$8,IF(AND('Bonding Program'!$K$14&lt;&gt;"",CL$3='Bonding Program'!$K$14),'Bonding Program'!$J$14,0)-IF(AND('Bonding Program'!$M$14&lt;&gt;"",CL$3='Bonding Program'!$M$14),'Bonding Program'!$L$14,0)-IF(AND('Bonding Program'!$P$14&lt;&gt;"",CL$3='Bonding Program'!$P$14),'Bonding Program'!$O$14,0)-IF(AND('Bonding Program'!$R$14&lt;&gt;"",CL$3='Bonding Program'!$R$14),'Bonding Program'!$Q$14,0),0)</f>
        <v>0</v>
      </c>
      <c r="CM155" s="19" t="n">
        <f aca="false">IF(AND('Bonding Program'!$S$14=1,CM$3='Bonding Program'!$H$14),'Bonding Program'!$AA$14,0)-IF(CM$3&lt;='Bonding Program'!$C$8,IF(AND('Bonding Program'!$K$14&lt;&gt;"",CM$3='Bonding Program'!$K$14),'Bonding Program'!$J$14,0)-IF(AND('Bonding Program'!$M$14&lt;&gt;"",CM$3='Bonding Program'!$M$14),'Bonding Program'!$L$14,0)-IF(AND('Bonding Program'!$P$14&lt;&gt;"",CM$3='Bonding Program'!$P$14),'Bonding Program'!$O$14,0)-IF(AND('Bonding Program'!$R$14&lt;&gt;"",CM$3='Bonding Program'!$R$14),'Bonding Program'!$Q$14,0),0)</f>
        <v>0</v>
      </c>
      <c r="CN155" s="19" t="n">
        <f aca="false">IF(AND('Bonding Program'!$S$14=1,CN$3='Bonding Program'!$H$14),'Bonding Program'!$AA$14,0)-IF(CN$3&lt;='Bonding Program'!$C$8,IF(AND('Bonding Program'!$K$14&lt;&gt;"",CN$3='Bonding Program'!$K$14),'Bonding Program'!$J$14,0)-IF(AND('Bonding Program'!$M$14&lt;&gt;"",CN$3='Bonding Program'!$M$14),'Bonding Program'!$L$14,0)-IF(AND('Bonding Program'!$P$14&lt;&gt;"",CN$3='Bonding Program'!$P$14),'Bonding Program'!$O$14,0)-IF(AND('Bonding Program'!$R$14&lt;&gt;"",CN$3='Bonding Program'!$R$14),'Bonding Program'!$Q$14,0),0)</f>
        <v>0</v>
      </c>
      <c r="CO155" s="19" t="n">
        <f aca="false">IF(AND('Bonding Program'!$S$14=1,CO$3='Bonding Program'!$H$14),'Bonding Program'!$AA$14,0)-IF(CO$3&lt;='Bonding Program'!$C$8,IF(AND('Bonding Program'!$K$14&lt;&gt;"",CO$3='Bonding Program'!$K$14),'Bonding Program'!$J$14,0)-IF(AND('Bonding Program'!$M$14&lt;&gt;"",CO$3='Bonding Program'!$M$14),'Bonding Program'!$L$14,0)-IF(AND('Bonding Program'!$P$14&lt;&gt;"",CO$3='Bonding Program'!$P$14),'Bonding Program'!$O$14,0)-IF(AND('Bonding Program'!$R$14&lt;&gt;"",CO$3='Bonding Program'!$R$14),'Bonding Program'!$Q$14,0),0)</f>
        <v>0</v>
      </c>
      <c r="CP155" s="19" t="n">
        <f aca="false">IF(AND('Bonding Program'!$S$14=1,CP$3='Bonding Program'!$H$14),'Bonding Program'!$AA$14,0)-IF(CP$3&lt;='Bonding Program'!$C$8,IF(AND('Bonding Program'!$K$14&lt;&gt;"",CP$3='Bonding Program'!$K$14),'Bonding Program'!$J$14,0)-IF(AND('Bonding Program'!$M$14&lt;&gt;"",CP$3='Bonding Program'!$M$14),'Bonding Program'!$L$14,0)-IF(AND('Bonding Program'!$P$14&lt;&gt;"",CP$3='Bonding Program'!$P$14),'Bonding Program'!$O$14,0)-IF(AND('Bonding Program'!$R$14&lt;&gt;"",CP$3='Bonding Program'!$R$14),'Bonding Program'!$Q$14,0),0)</f>
        <v>0</v>
      </c>
      <c r="CQ155" s="19" t="n">
        <f aca="false">IF(AND('Bonding Program'!$S$14=1,CQ$3='Bonding Program'!$H$14),'Bonding Program'!$AA$14,0)-IF(CQ$3&lt;='Bonding Program'!$C$8,IF(AND('Bonding Program'!$K$14&lt;&gt;"",CQ$3='Bonding Program'!$K$14),'Bonding Program'!$J$14,0)-IF(AND('Bonding Program'!$M$14&lt;&gt;"",CQ$3='Bonding Program'!$M$14),'Bonding Program'!$L$14,0)-IF(AND('Bonding Program'!$P$14&lt;&gt;"",CQ$3='Bonding Program'!$P$14),'Bonding Program'!$O$14,0)-IF(AND('Bonding Program'!$R$14&lt;&gt;"",CQ$3='Bonding Program'!$R$14),'Bonding Program'!$Q$14,0),0)</f>
        <v>0</v>
      </c>
      <c r="CR155" s="19" t="n">
        <f aca="false">IF(AND('Bonding Program'!$S$14=1,CR$3='Bonding Program'!$H$14),'Bonding Program'!$AA$14,0)-IF(CR$3&lt;='Bonding Program'!$C$8,IF(AND('Bonding Program'!$K$14&lt;&gt;"",CR$3='Bonding Program'!$K$14),'Bonding Program'!$J$14,0)-IF(AND('Bonding Program'!$M$14&lt;&gt;"",CR$3='Bonding Program'!$M$14),'Bonding Program'!$L$14,0)-IF(AND('Bonding Program'!$P$14&lt;&gt;"",CR$3='Bonding Program'!$P$14),'Bonding Program'!$O$14,0)-IF(AND('Bonding Program'!$R$14&lt;&gt;"",CR$3='Bonding Program'!$R$14),'Bonding Program'!$Q$14,0),0)</f>
        <v>0</v>
      </c>
      <c r="CS155" s="19" t="n">
        <f aca="false">IF(AND('Bonding Program'!$S$14=1,CS$3='Bonding Program'!$H$14),'Bonding Program'!$AA$14,0)-IF(CS$3&lt;='Bonding Program'!$C$8,IF(AND('Bonding Program'!$K$14&lt;&gt;"",CS$3='Bonding Program'!$K$14),'Bonding Program'!$J$14,0)-IF(AND('Bonding Program'!$M$14&lt;&gt;"",CS$3='Bonding Program'!$M$14),'Bonding Program'!$L$14,0)-IF(AND('Bonding Program'!$P$14&lt;&gt;"",CS$3='Bonding Program'!$P$14),'Bonding Program'!$O$14,0)-IF(AND('Bonding Program'!$R$14&lt;&gt;"",CS$3='Bonding Program'!$R$14),'Bonding Program'!$Q$14,0),0)</f>
        <v>0</v>
      </c>
      <c r="CT155" s="19" t="n">
        <f aca="false">IF(AND('Bonding Program'!$S$14=1,CT$3='Bonding Program'!$H$14),'Bonding Program'!$AA$14,0)-IF(CT$3&lt;='Bonding Program'!$C$8,IF(AND('Bonding Program'!$K$14&lt;&gt;"",CT$3='Bonding Program'!$K$14),'Bonding Program'!$J$14,0)-IF(AND('Bonding Program'!$M$14&lt;&gt;"",CT$3='Bonding Program'!$M$14),'Bonding Program'!$L$14,0)-IF(AND('Bonding Program'!$P$14&lt;&gt;"",CT$3='Bonding Program'!$P$14),'Bonding Program'!$O$14,0)-IF(AND('Bonding Program'!$R$14&lt;&gt;"",CT$3='Bonding Program'!$R$14),'Bonding Program'!$Q$14,0),0)</f>
        <v>0</v>
      </c>
      <c r="CU155" s="19" t="n">
        <f aca="false">IF(AND('Bonding Program'!$S$14=1,CU$3='Bonding Program'!$H$14),'Bonding Program'!$AA$14,0)-IF(CU$3&lt;='Bonding Program'!$C$8,IF(AND('Bonding Program'!$K$14&lt;&gt;"",CU$3='Bonding Program'!$K$14),'Bonding Program'!$J$14,0)-IF(AND('Bonding Program'!$M$14&lt;&gt;"",CU$3='Bonding Program'!$M$14),'Bonding Program'!$L$14,0)-IF(AND('Bonding Program'!$P$14&lt;&gt;"",CU$3='Bonding Program'!$P$14),'Bonding Program'!$O$14,0)-IF(AND('Bonding Program'!$R$14&lt;&gt;"",CU$3='Bonding Program'!$R$14),'Bonding Program'!$Q$14,0),0)</f>
        <v>0</v>
      </c>
      <c r="CV155" s="19" t="n">
        <f aca="false">IF(AND('Bonding Program'!$S$14=1,CV$3='Bonding Program'!$H$14),'Bonding Program'!$AA$14,0)-IF(CV$3&lt;='Bonding Program'!$C$8,IF(AND('Bonding Program'!$K$14&lt;&gt;"",CV$3='Bonding Program'!$K$14),'Bonding Program'!$J$14,0)-IF(AND('Bonding Program'!$M$14&lt;&gt;"",CV$3='Bonding Program'!$M$14),'Bonding Program'!$L$14,0)-IF(AND('Bonding Program'!$P$14&lt;&gt;"",CV$3='Bonding Program'!$P$14),'Bonding Program'!$O$14,0)-IF(AND('Bonding Program'!$R$14&lt;&gt;"",CV$3='Bonding Program'!$R$14),'Bonding Program'!$Q$14,0),0)</f>
        <v>0</v>
      </c>
      <c r="CW155" s="19" t="n">
        <f aca="false">IF(AND('Bonding Program'!$S$14=1,CW$3='Bonding Program'!$H$14),'Bonding Program'!$AA$14,0)-IF(CW$3&lt;='Bonding Program'!$C$8,IF(AND('Bonding Program'!$K$14&lt;&gt;"",CW$3='Bonding Program'!$K$14),'Bonding Program'!$J$14,0)-IF(AND('Bonding Program'!$M$14&lt;&gt;"",CW$3='Bonding Program'!$M$14),'Bonding Program'!$L$14,0)-IF(AND('Bonding Program'!$P$14&lt;&gt;"",CW$3='Bonding Program'!$P$14),'Bonding Program'!$O$14,0)-IF(AND('Bonding Program'!$R$14&lt;&gt;"",CW$3='Bonding Program'!$R$14),'Bonding Program'!$Q$14,0),0)</f>
        <v>0</v>
      </c>
      <c r="CX155" s="19" t="n">
        <f aca="false">IF(AND('Bonding Program'!$S$14=1,CX$3='Bonding Program'!$H$14),'Bonding Program'!$AA$14,0)-IF(CX$3&lt;='Bonding Program'!$C$8,IF(AND('Bonding Program'!$K$14&lt;&gt;"",CX$3='Bonding Program'!$K$14),'Bonding Program'!$J$14,0)-IF(AND('Bonding Program'!$M$14&lt;&gt;"",CX$3='Bonding Program'!$M$14),'Bonding Program'!$L$14,0)-IF(AND('Bonding Program'!$P$14&lt;&gt;"",CX$3='Bonding Program'!$P$14),'Bonding Program'!$O$14,0)-IF(AND('Bonding Program'!$R$14&lt;&gt;"",CX$3='Bonding Program'!$R$14),'Bonding Program'!$Q$14,0),0)</f>
        <v>0</v>
      </c>
      <c r="CY155" s="19" t="n">
        <f aca="false">IF(AND('Bonding Program'!$S$14=1,CY$3='Bonding Program'!$H$14),'Bonding Program'!$AA$14,0)-IF(CY$3&lt;='Bonding Program'!$C$8,IF(AND('Bonding Program'!$K$14&lt;&gt;"",CY$3='Bonding Program'!$K$14),'Bonding Program'!$J$14,0)-IF(AND('Bonding Program'!$M$14&lt;&gt;"",CY$3='Bonding Program'!$M$14),'Bonding Program'!$L$14,0)-IF(AND('Bonding Program'!$P$14&lt;&gt;"",CY$3='Bonding Program'!$P$14),'Bonding Program'!$O$14,0)-IF(AND('Bonding Program'!$R$14&lt;&gt;"",CY$3='Bonding Program'!$R$14),'Bonding Program'!$Q$14,0),0)</f>
        <v>0</v>
      </c>
      <c r="CZ155" s="19" t="n">
        <f aca="false">IF(AND('Bonding Program'!$S$14=1,CZ$3='Bonding Program'!$H$14),'Bonding Program'!$AA$14,0)-IF(CZ$3&lt;='Bonding Program'!$C$8,IF(AND('Bonding Program'!$K$14&lt;&gt;"",CZ$3='Bonding Program'!$K$14),'Bonding Program'!$J$14,0)-IF(AND('Bonding Program'!$M$14&lt;&gt;"",CZ$3='Bonding Program'!$M$14),'Bonding Program'!$L$14,0)-IF(AND('Bonding Program'!$P$14&lt;&gt;"",CZ$3='Bonding Program'!$P$14),'Bonding Program'!$O$14,0)-IF(AND('Bonding Program'!$R$14&lt;&gt;"",CZ$3='Bonding Program'!$R$14),'Bonding Program'!$Q$14,0),0)</f>
        <v>0</v>
      </c>
      <c r="DA155" s="19" t="n">
        <f aca="false">IF(AND('Bonding Program'!$S$14=1,DA$3='Bonding Program'!$H$14),'Bonding Program'!$AA$14,0)-IF(DA$3&lt;='Bonding Program'!$C$8,IF(AND('Bonding Program'!$K$14&lt;&gt;"",DA$3='Bonding Program'!$K$14),'Bonding Program'!$J$14,0)-IF(AND('Bonding Program'!$M$14&lt;&gt;"",DA$3='Bonding Program'!$M$14),'Bonding Program'!$L$14,0)-IF(AND('Bonding Program'!$P$14&lt;&gt;"",DA$3='Bonding Program'!$P$14),'Bonding Program'!$O$14,0)-IF(AND('Bonding Program'!$R$14&lt;&gt;"",DA$3='Bonding Program'!$R$14),'Bonding Program'!$Q$14,0),0)</f>
        <v>0</v>
      </c>
      <c r="DB155" s="19" t="n">
        <f aca="false">IF(AND('Bonding Program'!$S$14=1,DB$3='Bonding Program'!$H$14),'Bonding Program'!$AA$14,0)-IF(DB$3&lt;='Bonding Program'!$C$8,IF(AND('Bonding Program'!$K$14&lt;&gt;"",DB$3='Bonding Program'!$K$14),'Bonding Program'!$J$14,0)-IF(AND('Bonding Program'!$M$14&lt;&gt;"",DB$3='Bonding Program'!$M$14),'Bonding Program'!$L$14,0)-IF(AND('Bonding Program'!$P$14&lt;&gt;"",DB$3='Bonding Program'!$P$14),'Bonding Program'!$O$14,0)-IF(AND('Bonding Program'!$R$14&lt;&gt;"",DB$3='Bonding Program'!$R$14),'Bonding Program'!$Q$14,0),0)</f>
        <v>0</v>
      </c>
      <c r="DC155" s="19" t="n">
        <f aca="false">IF(AND('Bonding Program'!$S$14=1,DC$3='Bonding Program'!$H$14),'Bonding Program'!$AA$14,0)-IF(DC$3&lt;='Bonding Program'!$C$8,IF(AND('Bonding Program'!$K$14&lt;&gt;"",DC$3='Bonding Program'!$K$14),'Bonding Program'!$J$14,0)-IF(AND('Bonding Program'!$M$14&lt;&gt;"",DC$3='Bonding Program'!$M$14),'Bonding Program'!$L$14,0)-IF(AND('Bonding Program'!$P$14&lt;&gt;"",DC$3='Bonding Program'!$P$14),'Bonding Program'!$O$14,0)-IF(AND('Bonding Program'!$R$14&lt;&gt;"",DC$3='Bonding Program'!$R$14),'Bonding Program'!$Q$14,0),0)</f>
        <v>0</v>
      </c>
      <c r="DD155" s="19" t="n">
        <f aca="false">IF(AND('Bonding Program'!$S$14=1,DD$3='Bonding Program'!$H$14),'Bonding Program'!$AA$14,0)-IF(DD$3&lt;='Bonding Program'!$C$8,IF(AND('Bonding Program'!$K$14&lt;&gt;"",DD$3='Bonding Program'!$K$14),'Bonding Program'!$J$14,0)-IF(AND('Bonding Program'!$M$14&lt;&gt;"",DD$3='Bonding Program'!$M$14),'Bonding Program'!$L$14,0)-IF(AND('Bonding Program'!$P$14&lt;&gt;"",DD$3='Bonding Program'!$P$14),'Bonding Program'!$O$14,0)-IF(AND('Bonding Program'!$R$14&lt;&gt;"",DD$3='Bonding Program'!$R$14),'Bonding Program'!$Q$14,0),0)</f>
        <v>0</v>
      </c>
      <c r="DE155" s="19" t="n">
        <f aca="false">IF(AND('Bonding Program'!$S$14=1,DE$3='Bonding Program'!$H$14),'Bonding Program'!$AA$14,0)-IF(DE$3&lt;='Bonding Program'!$C$8,IF(AND('Bonding Program'!$K$14&lt;&gt;"",DE$3='Bonding Program'!$K$14),'Bonding Program'!$J$14,0)-IF(AND('Bonding Program'!$M$14&lt;&gt;"",DE$3='Bonding Program'!$M$14),'Bonding Program'!$L$14,0)-IF(AND('Bonding Program'!$P$14&lt;&gt;"",DE$3='Bonding Program'!$P$14),'Bonding Program'!$O$14,0)-IF(AND('Bonding Program'!$R$14&lt;&gt;"",DE$3='Bonding Program'!$R$14),'Bonding Program'!$Q$14,0),0)</f>
        <v>0</v>
      </c>
    </row>
    <row r="156" customFormat="false" ht="15" hidden="false" customHeight="true" outlineLevel="1" collapsed="false">
      <c r="A156" s="28" t="s">
        <v>11</v>
      </c>
      <c r="B156" s="19" t="n">
        <f aca="false">IF(AND('Bonding Program'!$S$15=1,B$3='Bonding Program'!$H$15),'Bonding Program'!$AA$15,0)-IF(B$3&lt;='Bonding Program'!$C$8,IF(AND('Bonding Program'!$K$15&lt;&gt;"",B$3='Bonding Program'!$K$15),'Bonding Program'!$J$15,0)-IF(AND('Bonding Program'!$M$15&lt;&gt;"",B$3='Bonding Program'!$M$15),'Bonding Program'!$L$15,0)-IF(AND('Bonding Program'!$P$15&lt;&gt;"",B$3='Bonding Program'!$P$15),'Bonding Program'!$O$15,0)-IF(AND('Bonding Program'!$R$15&lt;&gt;"",B$3='Bonding Program'!$R$15),'Bonding Program'!$Q$15,0),0)</f>
        <v>0</v>
      </c>
      <c r="C156" s="19" t="n">
        <f aca="false">IF(AND('Bonding Program'!$S$15=1,C$3='Bonding Program'!$H$15),'Bonding Program'!$AA$15,0)-IF(C$3&lt;='Bonding Program'!$C$8,IF(AND('Bonding Program'!$K$15&lt;&gt;"",C$3='Bonding Program'!$K$15),'Bonding Program'!$J$15,0)-IF(AND('Bonding Program'!$M$15&lt;&gt;"",C$3='Bonding Program'!$M$15),'Bonding Program'!$L$15,0)-IF(AND('Bonding Program'!$P$15&lt;&gt;"",C$3='Bonding Program'!$P$15),'Bonding Program'!$O$15,0)-IF(AND('Bonding Program'!$R$15&lt;&gt;"",C$3='Bonding Program'!$R$15),'Bonding Program'!$Q$15,0),0)</f>
        <v>0</v>
      </c>
      <c r="D156" s="19" t="n">
        <f aca="false">IF(AND('Bonding Program'!$S$15=1,D$3='Bonding Program'!$H$15),'Bonding Program'!$AA$15,0)-IF(D$3&lt;='Bonding Program'!$C$8,IF(AND('Bonding Program'!$K$15&lt;&gt;"",D$3='Bonding Program'!$K$15),'Bonding Program'!$J$15,0)-IF(AND('Bonding Program'!$M$15&lt;&gt;"",D$3='Bonding Program'!$M$15),'Bonding Program'!$L$15,0)-IF(AND('Bonding Program'!$P$15&lt;&gt;"",D$3='Bonding Program'!$P$15),'Bonding Program'!$O$15,0)-IF(AND('Bonding Program'!$R$15&lt;&gt;"",D$3='Bonding Program'!$R$15),'Bonding Program'!$Q$15,0),0)</f>
        <v>0</v>
      </c>
      <c r="E156" s="19" t="n">
        <f aca="false">IF(AND('Bonding Program'!$S$15=1,E$3='Bonding Program'!$H$15),'Bonding Program'!$AA$15,0)-IF(E$3&lt;='Bonding Program'!$C$8,IF(AND('Bonding Program'!$K$15&lt;&gt;"",E$3='Bonding Program'!$K$15),'Bonding Program'!$J$15,0)-IF(AND('Bonding Program'!$M$15&lt;&gt;"",E$3='Bonding Program'!$M$15),'Bonding Program'!$L$15,0)-IF(AND('Bonding Program'!$P$15&lt;&gt;"",E$3='Bonding Program'!$P$15),'Bonding Program'!$O$15,0)-IF(AND('Bonding Program'!$R$15&lt;&gt;"",E$3='Bonding Program'!$R$15),'Bonding Program'!$Q$15,0),0)</f>
        <v>0</v>
      </c>
      <c r="F156" s="19" t="n">
        <f aca="false">IF(AND('Bonding Program'!$S$15=1,F$3='Bonding Program'!$H$15),'Bonding Program'!$AA$15,0)-IF(F$3&lt;='Bonding Program'!$C$8,IF(AND('Bonding Program'!$K$15&lt;&gt;"",F$3='Bonding Program'!$K$15),'Bonding Program'!$J$15,0)-IF(AND('Bonding Program'!$M$15&lt;&gt;"",F$3='Bonding Program'!$M$15),'Bonding Program'!$L$15,0)-IF(AND('Bonding Program'!$P$15&lt;&gt;"",F$3='Bonding Program'!$P$15),'Bonding Program'!$O$15,0)-IF(AND('Bonding Program'!$R$15&lt;&gt;"",F$3='Bonding Program'!$R$15),'Bonding Program'!$Q$15,0),0)</f>
        <v>0</v>
      </c>
      <c r="G156" s="19" t="n">
        <f aca="false">IF(AND('Bonding Program'!$S$15=1,G$3='Bonding Program'!$H$15),'Bonding Program'!$AA$15,0)-IF(G$3&lt;='Bonding Program'!$C$8,IF(AND('Bonding Program'!$K$15&lt;&gt;"",G$3='Bonding Program'!$K$15),'Bonding Program'!$J$15,0)-IF(AND('Bonding Program'!$M$15&lt;&gt;"",G$3='Bonding Program'!$M$15),'Bonding Program'!$L$15,0)-IF(AND('Bonding Program'!$P$15&lt;&gt;"",G$3='Bonding Program'!$P$15),'Bonding Program'!$O$15,0)-IF(AND('Bonding Program'!$R$15&lt;&gt;"",G$3='Bonding Program'!$R$15),'Bonding Program'!$Q$15,0),0)</f>
        <v>0</v>
      </c>
      <c r="H156" s="19" t="n">
        <f aca="false">IF(AND('Bonding Program'!$S$15=1,H$3='Bonding Program'!$H$15),'Bonding Program'!$AA$15,0)-IF(H$3&lt;='Bonding Program'!$C$8,IF(AND('Bonding Program'!$K$15&lt;&gt;"",H$3='Bonding Program'!$K$15),'Bonding Program'!$J$15,0)-IF(AND('Bonding Program'!$M$15&lt;&gt;"",H$3='Bonding Program'!$M$15),'Bonding Program'!$L$15,0)-IF(AND('Bonding Program'!$P$15&lt;&gt;"",H$3='Bonding Program'!$P$15),'Bonding Program'!$O$15,0)-IF(AND('Bonding Program'!$R$15&lt;&gt;"",H$3='Bonding Program'!$R$15),'Bonding Program'!$Q$15,0),0)</f>
        <v>0</v>
      </c>
      <c r="I156" s="19" t="n">
        <f aca="false">IF(AND('Bonding Program'!$S$15=1,I$3='Bonding Program'!$H$15),'Bonding Program'!$AA$15,0)-IF(I$3&lt;='Bonding Program'!$C$8,IF(AND('Bonding Program'!$K$15&lt;&gt;"",I$3='Bonding Program'!$K$15),'Bonding Program'!$J$15,0)-IF(AND('Bonding Program'!$M$15&lt;&gt;"",I$3='Bonding Program'!$M$15),'Bonding Program'!$L$15,0)-IF(AND('Bonding Program'!$P$15&lt;&gt;"",I$3='Bonding Program'!$P$15),'Bonding Program'!$O$15,0)-IF(AND('Bonding Program'!$R$15&lt;&gt;"",I$3='Bonding Program'!$R$15),'Bonding Program'!$Q$15,0),0)</f>
        <v>0</v>
      </c>
      <c r="J156" s="19" t="n">
        <f aca="false">IF(AND('Bonding Program'!$S$15=1,J$3='Bonding Program'!$H$15),'Bonding Program'!$AA$15,0)-IF(J$3&lt;='Bonding Program'!$C$8,IF(AND('Bonding Program'!$K$15&lt;&gt;"",J$3='Bonding Program'!$K$15),'Bonding Program'!$J$15,0)-IF(AND('Bonding Program'!$M$15&lt;&gt;"",J$3='Bonding Program'!$M$15),'Bonding Program'!$L$15,0)-IF(AND('Bonding Program'!$P$15&lt;&gt;"",J$3='Bonding Program'!$P$15),'Bonding Program'!$O$15,0)-IF(AND('Bonding Program'!$R$15&lt;&gt;"",J$3='Bonding Program'!$R$15),'Bonding Program'!$Q$15,0),0)</f>
        <v>0</v>
      </c>
      <c r="K156" s="19" t="n">
        <f aca="false">IF(AND('Bonding Program'!$S$15=1,K$3='Bonding Program'!$H$15),'Bonding Program'!$AA$15,0)-IF(K$3&lt;='Bonding Program'!$C$8,IF(AND('Bonding Program'!$K$15&lt;&gt;"",K$3='Bonding Program'!$K$15),'Bonding Program'!$J$15,0)-IF(AND('Bonding Program'!$M$15&lt;&gt;"",K$3='Bonding Program'!$M$15),'Bonding Program'!$L$15,0)-IF(AND('Bonding Program'!$P$15&lt;&gt;"",K$3='Bonding Program'!$P$15),'Bonding Program'!$O$15,0)-IF(AND('Bonding Program'!$R$15&lt;&gt;"",K$3='Bonding Program'!$R$15),'Bonding Program'!$Q$15,0),0)</f>
        <v>0</v>
      </c>
      <c r="L156" s="19" t="n">
        <f aca="false">IF(AND('Bonding Program'!$S$15=1,L$3='Bonding Program'!$H$15),'Bonding Program'!$AA$15,0)-IF(L$3&lt;='Bonding Program'!$C$8,IF(AND('Bonding Program'!$K$15&lt;&gt;"",L$3='Bonding Program'!$K$15),'Bonding Program'!$J$15,0)-IF(AND('Bonding Program'!$M$15&lt;&gt;"",L$3='Bonding Program'!$M$15),'Bonding Program'!$L$15,0)-IF(AND('Bonding Program'!$P$15&lt;&gt;"",L$3='Bonding Program'!$P$15),'Bonding Program'!$O$15,0)-IF(AND('Bonding Program'!$R$15&lt;&gt;"",L$3='Bonding Program'!$R$15),'Bonding Program'!$Q$15,0),0)</f>
        <v>0</v>
      </c>
      <c r="M156" s="19" t="n">
        <f aca="false">IF(AND('Bonding Program'!$S$15=1,M$3='Bonding Program'!$H$15),'Bonding Program'!$AA$15,0)-IF(M$3&lt;='Bonding Program'!$C$8,IF(AND('Bonding Program'!$K$15&lt;&gt;"",M$3='Bonding Program'!$K$15),'Bonding Program'!$J$15,0)-IF(AND('Bonding Program'!$M$15&lt;&gt;"",M$3='Bonding Program'!$M$15),'Bonding Program'!$L$15,0)-IF(AND('Bonding Program'!$P$15&lt;&gt;"",M$3='Bonding Program'!$P$15),'Bonding Program'!$O$15,0)-IF(AND('Bonding Program'!$R$15&lt;&gt;"",M$3='Bonding Program'!$R$15),'Bonding Program'!$Q$15,0),0)</f>
        <v>0</v>
      </c>
      <c r="N156" s="19" t="n">
        <f aca="false">IF(AND('Bonding Program'!$S$15=1,N$3='Bonding Program'!$H$15),'Bonding Program'!$AA$15,0)-IF(N$3&lt;='Bonding Program'!$C$8,IF(AND('Bonding Program'!$K$15&lt;&gt;"",N$3='Bonding Program'!$K$15),'Bonding Program'!$J$15,0)-IF(AND('Bonding Program'!$M$15&lt;&gt;"",N$3='Bonding Program'!$M$15),'Bonding Program'!$L$15,0)-IF(AND('Bonding Program'!$P$15&lt;&gt;"",N$3='Bonding Program'!$P$15),'Bonding Program'!$O$15,0)-IF(AND('Bonding Program'!$R$15&lt;&gt;"",N$3='Bonding Program'!$R$15),'Bonding Program'!$Q$15,0),0)</f>
        <v>0</v>
      </c>
      <c r="O156" s="19" t="n">
        <f aca="false">IF(AND('Bonding Program'!$S$15=1,O$3='Bonding Program'!$H$15),'Bonding Program'!$AA$15,0)-IF(O$3&lt;='Bonding Program'!$C$8,IF(AND('Bonding Program'!$K$15&lt;&gt;"",O$3='Bonding Program'!$K$15),'Bonding Program'!$J$15,0)-IF(AND('Bonding Program'!$M$15&lt;&gt;"",O$3='Bonding Program'!$M$15),'Bonding Program'!$L$15,0)-IF(AND('Bonding Program'!$P$15&lt;&gt;"",O$3='Bonding Program'!$P$15),'Bonding Program'!$O$15,0)-IF(AND('Bonding Program'!$R$15&lt;&gt;"",O$3='Bonding Program'!$R$15),'Bonding Program'!$Q$15,0),0)</f>
        <v>0</v>
      </c>
      <c r="P156" s="19" t="n">
        <f aca="false">IF(AND('Bonding Program'!$S$15=1,P$3='Bonding Program'!$H$15),'Bonding Program'!$AA$15,0)-IF(P$3&lt;='Bonding Program'!$C$8,IF(AND('Bonding Program'!$K$15&lt;&gt;"",P$3='Bonding Program'!$K$15),'Bonding Program'!$J$15,0)-IF(AND('Bonding Program'!$M$15&lt;&gt;"",P$3='Bonding Program'!$M$15),'Bonding Program'!$L$15,0)-IF(AND('Bonding Program'!$P$15&lt;&gt;"",P$3='Bonding Program'!$P$15),'Bonding Program'!$O$15,0)-IF(AND('Bonding Program'!$R$15&lt;&gt;"",P$3='Bonding Program'!$R$15),'Bonding Program'!$Q$15,0),0)</f>
        <v>0</v>
      </c>
      <c r="Q156" s="19" t="n">
        <f aca="false">IF(AND('Bonding Program'!$S$15=1,Q$3='Bonding Program'!$H$15),'Bonding Program'!$AA$15,0)-IF(Q$3&lt;='Bonding Program'!$C$8,IF(AND('Bonding Program'!$K$15&lt;&gt;"",Q$3='Bonding Program'!$K$15),'Bonding Program'!$J$15,0)-IF(AND('Bonding Program'!$M$15&lt;&gt;"",Q$3='Bonding Program'!$M$15),'Bonding Program'!$L$15,0)-IF(AND('Bonding Program'!$P$15&lt;&gt;"",Q$3='Bonding Program'!$P$15),'Bonding Program'!$O$15,0)-IF(AND('Bonding Program'!$R$15&lt;&gt;"",Q$3='Bonding Program'!$R$15),'Bonding Program'!$Q$15,0),0)</f>
        <v>0</v>
      </c>
      <c r="R156" s="19" t="n">
        <f aca="false">IF(AND('Bonding Program'!$S$15=1,R$3='Bonding Program'!$H$15),'Bonding Program'!$AA$15,0)-IF(R$3&lt;='Bonding Program'!$C$8,IF(AND('Bonding Program'!$K$15&lt;&gt;"",R$3='Bonding Program'!$K$15),'Bonding Program'!$J$15,0)-IF(AND('Bonding Program'!$M$15&lt;&gt;"",R$3='Bonding Program'!$M$15),'Bonding Program'!$L$15,0)-IF(AND('Bonding Program'!$P$15&lt;&gt;"",R$3='Bonding Program'!$P$15),'Bonding Program'!$O$15,0)-IF(AND('Bonding Program'!$R$15&lt;&gt;"",R$3='Bonding Program'!$R$15),'Bonding Program'!$Q$15,0),0)</f>
        <v>0</v>
      </c>
      <c r="S156" s="19" t="n">
        <f aca="false">IF(AND('Bonding Program'!$S$15=1,S$3='Bonding Program'!$H$15),'Bonding Program'!$AA$15,0)-IF(S$3&lt;='Bonding Program'!$C$8,IF(AND('Bonding Program'!$K$15&lt;&gt;"",S$3='Bonding Program'!$K$15),'Bonding Program'!$J$15,0)-IF(AND('Bonding Program'!$M$15&lt;&gt;"",S$3='Bonding Program'!$M$15),'Bonding Program'!$L$15,0)-IF(AND('Bonding Program'!$P$15&lt;&gt;"",S$3='Bonding Program'!$P$15),'Bonding Program'!$O$15,0)-IF(AND('Bonding Program'!$R$15&lt;&gt;"",S$3='Bonding Program'!$R$15),'Bonding Program'!$Q$15,0),0)</f>
        <v>0</v>
      </c>
      <c r="T156" s="19" t="n">
        <f aca="false">IF(AND('Bonding Program'!$S$15=1,T$3='Bonding Program'!$H$15),'Bonding Program'!$AA$15,0)-IF(T$3&lt;='Bonding Program'!$C$8,IF(AND('Bonding Program'!$K$15&lt;&gt;"",T$3='Bonding Program'!$K$15),'Bonding Program'!$J$15,0)-IF(AND('Bonding Program'!$M$15&lt;&gt;"",T$3='Bonding Program'!$M$15),'Bonding Program'!$L$15,0)-IF(AND('Bonding Program'!$P$15&lt;&gt;"",T$3='Bonding Program'!$P$15),'Bonding Program'!$O$15,0)-IF(AND('Bonding Program'!$R$15&lt;&gt;"",T$3='Bonding Program'!$R$15),'Bonding Program'!$Q$15,0),0)</f>
        <v>0</v>
      </c>
      <c r="U156" s="19" t="n">
        <f aca="false">IF(AND('Bonding Program'!$S$15=1,U$3='Bonding Program'!$H$15),'Bonding Program'!$AA$15,0)-IF(U$3&lt;='Bonding Program'!$C$8,IF(AND('Bonding Program'!$K$15&lt;&gt;"",U$3='Bonding Program'!$K$15),'Bonding Program'!$J$15,0)-IF(AND('Bonding Program'!$M$15&lt;&gt;"",U$3='Bonding Program'!$M$15),'Bonding Program'!$L$15,0)-IF(AND('Bonding Program'!$P$15&lt;&gt;"",U$3='Bonding Program'!$P$15),'Bonding Program'!$O$15,0)-IF(AND('Bonding Program'!$R$15&lt;&gt;"",U$3='Bonding Program'!$R$15),'Bonding Program'!$Q$15,0),0)</f>
        <v>0</v>
      </c>
      <c r="V156" s="19" t="n">
        <f aca="false">IF(AND('Bonding Program'!$S$15=1,V$3='Bonding Program'!$H$15),'Bonding Program'!$AA$15,0)-IF(V$3&lt;='Bonding Program'!$C$8,IF(AND('Bonding Program'!$K$15&lt;&gt;"",V$3='Bonding Program'!$K$15),'Bonding Program'!$J$15,0)-IF(AND('Bonding Program'!$M$15&lt;&gt;"",V$3='Bonding Program'!$M$15),'Bonding Program'!$L$15,0)-IF(AND('Bonding Program'!$P$15&lt;&gt;"",V$3='Bonding Program'!$P$15),'Bonding Program'!$O$15,0)-IF(AND('Bonding Program'!$R$15&lt;&gt;"",V$3='Bonding Program'!$R$15),'Bonding Program'!$Q$15,0),0)</f>
        <v>0</v>
      </c>
      <c r="W156" s="19" t="n">
        <f aca="false">IF(AND('Bonding Program'!$S$15=1,W$3='Bonding Program'!$H$15),'Bonding Program'!$AA$15,0)-IF(W$3&lt;='Bonding Program'!$C$8,IF(AND('Bonding Program'!$K$15&lt;&gt;"",W$3='Bonding Program'!$K$15),'Bonding Program'!$J$15,0)-IF(AND('Bonding Program'!$M$15&lt;&gt;"",W$3='Bonding Program'!$M$15),'Bonding Program'!$L$15,0)-IF(AND('Bonding Program'!$P$15&lt;&gt;"",W$3='Bonding Program'!$P$15),'Bonding Program'!$O$15,0)-IF(AND('Bonding Program'!$R$15&lt;&gt;"",W$3='Bonding Program'!$R$15),'Bonding Program'!$Q$15,0),0)</f>
        <v>0</v>
      </c>
      <c r="X156" s="19" t="n">
        <f aca="false">IF(AND('Bonding Program'!$S$15=1,X$3='Bonding Program'!$H$15),'Bonding Program'!$AA$15,0)-IF(X$3&lt;='Bonding Program'!$C$8,IF(AND('Bonding Program'!$K$15&lt;&gt;"",X$3='Bonding Program'!$K$15),'Bonding Program'!$J$15,0)-IF(AND('Bonding Program'!$M$15&lt;&gt;"",X$3='Bonding Program'!$M$15),'Bonding Program'!$L$15,0)-IF(AND('Bonding Program'!$P$15&lt;&gt;"",X$3='Bonding Program'!$P$15),'Bonding Program'!$O$15,0)-IF(AND('Bonding Program'!$R$15&lt;&gt;"",X$3='Bonding Program'!$R$15),'Bonding Program'!$Q$15,0),0)</f>
        <v>0</v>
      </c>
      <c r="Y156" s="19" t="n">
        <f aca="false">IF(AND('Bonding Program'!$S$15=1,Y$3='Bonding Program'!$H$15),'Bonding Program'!$AA$15,0)-IF(Y$3&lt;='Bonding Program'!$C$8,IF(AND('Bonding Program'!$K$15&lt;&gt;"",Y$3='Bonding Program'!$K$15),'Bonding Program'!$J$15,0)-IF(AND('Bonding Program'!$M$15&lt;&gt;"",Y$3='Bonding Program'!$M$15),'Bonding Program'!$L$15,0)-IF(AND('Bonding Program'!$P$15&lt;&gt;"",Y$3='Bonding Program'!$P$15),'Bonding Program'!$O$15,0)-IF(AND('Bonding Program'!$R$15&lt;&gt;"",Y$3='Bonding Program'!$R$15),'Bonding Program'!$Q$15,0),0)</f>
        <v>0</v>
      </c>
      <c r="Z156" s="19" t="n">
        <f aca="false">IF(AND('Bonding Program'!$S$15=1,Z$3='Bonding Program'!$H$15),'Bonding Program'!$AA$15,0)-IF(Z$3&lt;='Bonding Program'!$C$8,IF(AND('Bonding Program'!$K$15&lt;&gt;"",Z$3='Bonding Program'!$K$15),'Bonding Program'!$J$15,0)-IF(AND('Bonding Program'!$M$15&lt;&gt;"",Z$3='Bonding Program'!$M$15),'Bonding Program'!$L$15,0)-IF(AND('Bonding Program'!$P$15&lt;&gt;"",Z$3='Bonding Program'!$P$15),'Bonding Program'!$O$15,0)-IF(AND('Bonding Program'!$R$15&lt;&gt;"",Z$3='Bonding Program'!$R$15),'Bonding Program'!$Q$15,0),0)</f>
        <v>0</v>
      </c>
      <c r="AA156" s="19" t="n">
        <f aca="false">IF(AND('Bonding Program'!$S$15=1,AA$3='Bonding Program'!$H$15),'Bonding Program'!$AA$15,0)-IF(AA$3&lt;='Bonding Program'!$C$8,IF(AND('Bonding Program'!$K$15&lt;&gt;"",AA$3='Bonding Program'!$K$15),'Bonding Program'!$J$15,0)-IF(AND('Bonding Program'!$M$15&lt;&gt;"",AA$3='Bonding Program'!$M$15),'Bonding Program'!$L$15,0)-IF(AND('Bonding Program'!$P$15&lt;&gt;"",AA$3='Bonding Program'!$P$15),'Bonding Program'!$O$15,0)-IF(AND('Bonding Program'!$R$15&lt;&gt;"",AA$3='Bonding Program'!$R$15),'Bonding Program'!$Q$15,0),0)</f>
        <v>0</v>
      </c>
      <c r="AB156" s="19" t="n">
        <f aca="false">IF(AND('Bonding Program'!$S$15=1,AB$3='Bonding Program'!$H$15),'Bonding Program'!$AA$15,0)-IF(AB$3&lt;='Bonding Program'!$C$8,IF(AND('Bonding Program'!$K$15&lt;&gt;"",AB$3='Bonding Program'!$K$15),'Bonding Program'!$J$15,0)-IF(AND('Bonding Program'!$M$15&lt;&gt;"",AB$3='Bonding Program'!$M$15),'Bonding Program'!$L$15,0)-IF(AND('Bonding Program'!$P$15&lt;&gt;"",AB$3='Bonding Program'!$P$15),'Bonding Program'!$O$15,0)-IF(AND('Bonding Program'!$R$15&lt;&gt;"",AB$3='Bonding Program'!$R$15),'Bonding Program'!$Q$15,0),0)</f>
        <v>0</v>
      </c>
      <c r="AC156" s="19" t="n">
        <f aca="false">IF(AND('Bonding Program'!$S$15=1,AC$3='Bonding Program'!$H$15),'Bonding Program'!$AA$15,0)-IF(AC$3&lt;='Bonding Program'!$C$8,IF(AND('Bonding Program'!$K$15&lt;&gt;"",AC$3='Bonding Program'!$K$15),'Bonding Program'!$J$15,0)-IF(AND('Bonding Program'!$M$15&lt;&gt;"",AC$3='Bonding Program'!$M$15),'Bonding Program'!$L$15,0)-IF(AND('Bonding Program'!$P$15&lt;&gt;"",AC$3='Bonding Program'!$P$15),'Bonding Program'!$O$15,0)-IF(AND('Bonding Program'!$R$15&lt;&gt;"",AC$3='Bonding Program'!$R$15),'Bonding Program'!$Q$15,0),0)</f>
        <v>0</v>
      </c>
      <c r="AD156" s="19" t="n">
        <f aca="false">IF(AND('Bonding Program'!$S$15=1,AD$3='Bonding Program'!$H$15),'Bonding Program'!$AA$15,0)-IF(AD$3&lt;='Bonding Program'!$C$8,IF(AND('Bonding Program'!$K$15&lt;&gt;"",AD$3='Bonding Program'!$K$15),'Bonding Program'!$J$15,0)-IF(AND('Bonding Program'!$M$15&lt;&gt;"",AD$3='Bonding Program'!$M$15),'Bonding Program'!$L$15,0)-IF(AND('Bonding Program'!$P$15&lt;&gt;"",AD$3='Bonding Program'!$P$15),'Bonding Program'!$O$15,0)-IF(AND('Bonding Program'!$R$15&lt;&gt;"",AD$3='Bonding Program'!$R$15),'Bonding Program'!$Q$15,0),0)</f>
        <v>0</v>
      </c>
      <c r="AE156" s="19" t="n">
        <f aca="false">IF(AND('Bonding Program'!$S$15=1,AE$3='Bonding Program'!$H$15),'Bonding Program'!$AA$15,0)-IF(AE$3&lt;='Bonding Program'!$C$8,IF(AND('Bonding Program'!$K$15&lt;&gt;"",AE$3='Bonding Program'!$K$15),'Bonding Program'!$J$15,0)-IF(AND('Bonding Program'!$M$15&lt;&gt;"",AE$3='Bonding Program'!$M$15),'Bonding Program'!$L$15,0)-IF(AND('Bonding Program'!$P$15&lt;&gt;"",AE$3='Bonding Program'!$P$15),'Bonding Program'!$O$15,0)-IF(AND('Bonding Program'!$R$15&lt;&gt;"",AE$3='Bonding Program'!$R$15),'Bonding Program'!$Q$15,0),0)</f>
        <v>0</v>
      </c>
      <c r="AF156" s="19" t="n">
        <f aca="false">IF(AND('Bonding Program'!$S$15=1,AF$3='Bonding Program'!$H$15),'Bonding Program'!$AA$15,0)-IF(AF$3&lt;='Bonding Program'!$C$8,IF(AND('Bonding Program'!$K$15&lt;&gt;"",AF$3='Bonding Program'!$K$15),'Bonding Program'!$J$15,0)-IF(AND('Bonding Program'!$M$15&lt;&gt;"",AF$3='Bonding Program'!$M$15),'Bonding Program'!$L$15,0)-IF(AND('Bonding Program'!$P$15&lt;&gt;"",AF$3='Bonding Program'!$P$15),'Bonding Program'!$O$15,0)-IF(AND('Bonding Program'!$R$15&lt;&gt;"",AF$3='Bonding Program'!$R$15),'Bonding Program'!$Q$15,0),0)</f>
        <v>0</v>
      </c>
      <c r="AG156" s="19" t="n">
        <f aca="false">IF(AND('Bonding Program'!$S$15=1,AG$3='Bonding Program'!$H$15),'Bonding Program'!$AA$15,0)-IF(AG$3&lt;='Bonding Program'!$C$8,IF(AND('Bonding Program'!$K$15&lt;&gt;"",AG$3='Bonding Program'!$K$15),'Bonding Program'!$J$15,0)-IF(AND('Bonding Program'!$M$15&lt;&gt;"",AG$3='Bonding Program'!$M$15),'Bonding Program'!$L$15,0)-IF(AND('Bonding Program'!$P$15&lt;&gt;"",AG$3='Bonding Program'!$P$15),'Bonding Program'!$O$15,0)-IF(AND('Bonding Program'!$R$15&lt;&gt;"",AG$3='Bonding Program'!$R$15),'Bonding Program'!$Q$15,0),0)</f>
        <v>0</v>
      </c>
      <c r="AH156" s="19" t="n">
        <f aca="false">IF(AND('Bonding Program'!$S$15=1,AH$3='Bonding Program'!$H$15),'Bonding Program'!$AA$15,0)-IF(AH$3&lt;='Bonding Program'!$C$8,IF(AND('Bonding Program'!$K$15&lt;&gt;"",AH$3='Bonding Program'!$K$15),'Bonding Program'!$J$15,0)-IF(AND('Bonding Program'!$M$15&lt;&gt;"",AH$3='Bonding Program'!$M$15),'Bonding Program'!$L$15,0)-IF(AND('Bonding Program'!$P$15&lt;&gt;"",AH$3='Bonding Program'!$P$15),'Bonding Program'!$O$15,0)-IF(AND('Bonding Program'!$R$15&lt;&gt;"",AH$3='Bonding Program'!$R$15),'Bonding Program'!$Q$15,0),0)</f>
        <v>0</v>
      </c>
      <c r="AI156" s="19" t="n">
        <f aca="false">IF(AND('Bonding Program'!$S$15=1,AI$3='Bonding Program'!$H$15),'Bonding Program'!$AA$15,0)-IF(AI$3&lt;='Bonding Program'!$C$8,IF(AND('Bonding Program'!$K$15&lt;&gt;"",AI$3='Bonding Program'!$K$15),'Bonding Program'!$J$15,0)-IF(AND('Bonding Program'!$M$15&lt;&gt;"",AI$3='Bonding Program'!$M$15),'Bonding Program'!$L$15,0)-IF(AND('Bonding Program'!$P$15&lt;&gt;"",AI$3='Bonding Program'!$P$15),'Bonding Program'!$O$15,0)-IF(AND('Bonding Program'!$R$15&lt;&gt;"",AI$3='Bonding Program'!$R$15),'Bonding Program'!$Q$15,0),0)</f>
        <v>0</v>
      </c>
      <c r="AJ156" s="19" t="n">
        <f aca="false">IF(AND('Bonding Program'!$S$15=1,AJ$3='Bonding Program'!$H$15),'Bonding Program'!$AA$15,0)-IF(AJ$3&lt;='Bonding Program'!$C$8,IF(AND('Bonding Program'!$K$15&lt;&gt;"",AJ$3='Bonding Program'!$K$15),'Bonding Program'!$J$15,0)-IF(AND('Bonding Program'!$M$15&lt;&gt;"",AJ$3='Bonding Program'!$M$15),'Bonding Program'!$L$15,0)-IF(AND('Bonding Program'!$P$15&lt;&gt;"",AJ$3='Bonding Program'!$P$15),'Bonding Program'!$O$15,0)-IF(AND('Bonding Program'!$R$15&lt;&gt;"",AJ$3='Bonding Program'!$R$15),'Bonding Program'!$Q$15,0),0)</f>
        <v>0</v>
      </c>
      <c r="AK156" s="19" t="n">
        <f aca="false">IF(AND('Bonding Program'!$S$15=1,AK$3='Bonding Program'!$H$15),'Bonding Program'!$AA$15,0)-IF(AK$3&lt;='Bonding Program'!$C$8,IF(AND('Bonding Program'!$K$15&lt;&gt;"",AK$3='Bonding Program'!$K$15),'Bonding Program'!$J$15,0)-IF(AND('Bonding Program'!$M$15&lt;&gt;"",AK$3='Bonding Program'!$M$15),'Bonding Program'!$L$15,0)-IF(AND('Bonding Program'!$P$15&lt;&gt;"",AK$3='Bonding Program'!$P$15),'Bonding Program'!$O$15,0)-IF(AND('Bonding Program'!$R$15&lt;&gt;"",AK$3='Bonding Program'!$R$15),'Bonding Program'!$Q$15,0),0)</f>
        <v>0</v>
      </c>
      <c r="AL156" s="19" t="n">
        <f aca="false">IF(AND('Bonding Program'!$S$15=1,AL$3='Bonding Program'!$H$15),'Bonding Program'!$AA$15,0)-IF(AL$3&lt;='Bonding Program'!$C$8,IF(AND('Bonding Program'!$K$15&lt;&gt;"",AL$3='Bonding Program'!$K$15),'Bonding Program'!$J$15,0)-IF(AND('Bonding Program'!$M$15&lt;&gt;"",AL$3='Bonding Program'!$M$15),'Bonding Program'!$L$15,0)-IF(AND('Bonding Program'!$P$15&lt;&gt;"",AL$3='Bonding Program'!$P$15),'Bonding Program'!$O$15,0)-IF(AND('Bonding Program'!$R$15&lt;&gt;"",AL$3='Bonding Program'!$R$15),'Bonding Program'!$Q$15,0),0)</f>
        <v>0</v>
      </c>
      <c r="AM156" s="19" t="n">
        <f aca="false">IF(AND('Bonding Program'!$S$15=1,AM$3='Bonding Program'!$H$15),'Bonding Program'!$AA$15,0)-IF(AM$3&lt;='Bonding Program'!$C$8,IF(AND('Bonding Program'!$K$15&lt;&gt;"",AM$3='Bonding Program'!$K$15),'Bonding Program'!$J$15,0)-IF(AND('Bonding Program'!$M$15&lt;&gt;"",AM$3='Bonding Program'!$M$15),'Bonding Program'!$L$15,0)-IF(AND('Bonding Program'!$P$15&lt;&gt;"",AM$3='Bonding Program'!$P$15),'Bonding Program'!$O$15,0)-IF(AND('Bonding Program'!$R$15&lt;&gt;"",AM$3='Bonding Program'!$R$15),'Bonding Program'!$Q$15,0),0)</f>
        <v>0</v>
      </c>
      <c r="AN156" s="19" t="n">
        <f aca="false">IF(AND('Bonding Program'!$S$15=1,AN$3='Bonding Program'!$H$15),'Bonding Program'!$AA$15,0)-IF(AN$3&lt;='Bonding Program'!$C$8,IF(AND('Bonding Program'!$K$15&lt;&gt;"",AN$3='Bonding Program'!$K$15),'Bonding Program'!$J$15,0)-IF(AND('Bonding Program'!$M$15&lt;&gt;"",AN$3='Bonding Program'!$M$15),'Bonding Program'!$L$15,0)-IF(AND('Bonding Program'!$P$15&lt;&gt;"",AN$3='Bonding Program'!$P$15),'Bonding Program'!$O$15,0)-IF(AND('Bonding Program'!$R$15&lt;&gt;"",AN$3='Bonding Program'!$R$15),'Bonding Program'!$Q$15,0),0)</f>
        <v>0</v>
      </c>
      <c r="AO156" s="19" t="n">
        <f aca="false">IF(AND('Bonding Program'!$S$15=1,AO$3='Bonding Program'!$H$15),'Bonding Program'!$AA$15,0)-IF(AO$3&lt;='Bonding Program'!$C$8,IF(AND('Bonding Program'!$K$15&lt;&gt;"",AO$3='Bonding Program'!$K$15),'Bonding Program'!$J$15,0)-IF(AND('Bonding Program'!$M$15&lt;&gt;"",AO$3='Bonding Program'!$M$15),'Bonding Program'!$L$15,0)-IF(AND('Bonding Program'!$P$15&lt;&gt;"",AO$3='Bonding Program'!$P$15),'Bonding Program'!$O$15,0)-IF(AND('Bonding Program'!$R$15&lt;&gt;"",AO$3='Bonding Program'!$R$15),'Bonding Program'!$Q$15,0),0)</f>
        <v>0</v>
      </c>
      <c r="AP156" s="19" t="n">
        <f aca="false">IF(AND('Bonding Program'!$S$15=1,AP$3='Bonding Program'!$H$15),'Bonding Program'!$AA$15,0)-IF(AP$3&lt;='Bonding Program'!$C$8,IF(AND('Bonding Program'!$K$15&lt;&gt;"",AP$3='Bonding Program'!$K$15),'Bonding Program'!$J$15,0)-IF(AND('Bonding Program'!$M$15&lt;&gt;"",AP$3='Bonding Program'!$M$15),'Bonding Program'!$L$15,0)-IF(AND('Bonding Program'!$P$15&lt;&gt;"",AP$3='Bonding Program'!$P$15),'Bonding Program'!$O$15,0)-IF(AND('Bonding Program'!$R$15&lt;&gt;"",AP$3='Bonding Program'!$R$15),'Bonding Program'!$Q$15,0),0)</f>
        <v>0</v>
      </c>
      <c r="AQ156" s="19" t="n">
        <f aca="false">IF(AND('Bonding Program'!$S$15=1,AQ$3='Bonding Program'!$H$15),'Bonding Program'!$AA$15,0)-IF(AQ$3&lt;='Bonding Program'!$C$8,IF(AND('Bonding Program'!$K$15&lt;&gt;"",AQ$3='Bonding Program'!$K$15),'Bonding Program'!$J$15,0)-IF(AND('Bonding Program'!$M$15&lt;&gt;"",AQ$3='Bonding Program'!$M$15),'Bonding Program'!$L$15,0)-IF(AND('Bonding Program'!$P$15&lt;&gt;"",AQ$3='Bonding Program'!$P$15),'Bonding Program'!$O$15,0)-IF(AND('Bonding Program'!$R$15&lt;&gt;"",AQ$3='Bonding Program'!$R$15),'Bonding Program'!$Q$15,0),0)</f>
        <v>0</v>
      </c>
      <c r="AR156" s="19" t="n">
        <f aca="false">IF(AND('Bonding Program'!$S$15=1,AR$3='Bonding Program'!$H$15),'Bonding Program'!$AA$15,0)-IF(AR$3&lt;='Bonding Program'!$C$8,IF(AND('Bonding Program'!$K$15&lt;&gt;"",AR$3='Bonding Program'!$K$15),'Bonding Program'!$J$15,0)-IF(AND('Bonding Program'!$M$15&lt;&gt;"",AR$3='Bonding Program'!$M$15),'Bonding Program'!$L$15,0)-IF(AND('Bonding Program'!$P$15&lt;&gt;"",AR$3='Bonding Program'!$P$15),'Bonding Program'!$O$15,0)-IF(AND('Bonding Program'!$R$15&lt;&gt;"",AR$3='Bonding Program'!$R$15),'Bonding Program'!$Q$15,0),0)</f>
        <v>0</v>
      </c>
      <c r="AS156" s="19" t="n">
        <f aca="false">IF(AND('Bonding Program'!$S$15=1,AS$3='Bonding Program'!$H$15),'Bonding Program'!$AA$15,0)-IF(AS$3&lt;='Bonding Program'!$C$8,IF(AND('Bonding Program'!$K$15&lt;&gt;"",AS$3='Bonding Program'!$K$15),'Bonding Program'!$J$15,0)-IF(AND('Bonding Program'!$M$15&lt;&gt;"",AS$3='Bonding Program'!$M$15),'Bonding Program'!$L$15,0)-IF(AND('Bonding Program'!$P$15&lt;&gt;"",AS$3='Bonding Program'!$P$15),'Bonding Program'!$O$15,0)-IF(AND('Bonding Program'!$R$15&lt;&gt;"",AS$3='Bonding Program'!$R$15),'Bonding Program'!$Q$15,0),0)</f>
        <v>0</v>
      </c>
      <c r="AT156" s="19" t="n">
        <f aca="false">IF(AND('Bonding Program'!$S$15=1,AT$3='Bonding Program'!$H$15),'Bonding Program'!$AA$15,0)-IF(AT$3&lt;='Bonding Program'!$C$8,IF(AND('Bonding Program'!$K$15&lt;&gt;"",AT$3='Bonding Program'!$K$15),'Bonding Program'!$J$15,0)-IF(AND('Bonding Program'!$M$15&lt;&gt;"",AT$3='Bonding Program'!$M$15),'Bonding Program'!$L$15,0)-IF(AND('Bonding Program'!$P$15&lt;&gt;"",AT$3='Bonding Program'!$P$15),'Bonding Program'!$O$15,0)-IF(AND('Bonding Program'!$R$15&lt;&gt;"",AT$3='Bonding Program'!$R$15),'Bonding Program'!$Q$15,0),0)</f>
        <v>0</v>
      </c>
      <c r="AU156" s="19" t="n">
        <f aca="false">IF(AND('Bonding Program'!$S$15=1,AU$3='Bonding Program'!$H$15),'Bonding Program'!$AA$15,0)-IF(AU$3&lt;='Bonding Program'!$C$8,IF(AND('Bonding Program'!$K$15&lt;&gt;"",AU$3='Bonding Program'!$K$15),'Bonding Program'!$J$15,0)-IF(AND('Bonding Program'!$M$15&lt;&gt;"",AU$3='Bonding Program'!$M$15),'Bonding Program'!$L$15,0)-IF(AND('Bonding Program'!$P$15&lt;&gt;"",AU$3='Bonding Program'!$P$15),'Bonding Program'!$O$15,0)-IF(AND('Bonding Program'!$R$15&lt;&gt;"",AU$3='Bonding Program'!$R$15),'Bonding Program'!$Q$15,0),0)</f>
        <v>0</v>
      </c>
      <c r="AV156" s="19" t="n">
        <f aca="false">IF(AND('Bonding Program'!$S$15=1,AV$3='Bonding Program'!$H$15),'Bonding Program'!$AA$15,0)-IF(AV$3&lt;='Bonding Program'!$C$8,IF(AND('Bonding Program'!$K$15&lt;&gt;"",AV$3='Bonding Program'!$K$15),'Bonding Program'!$J$15,0)-IF(AND('Bonding Program'!$M$15&lt;&gt;"",AV$3='Bonding Program'!$M$15),'Bonding Program'!$L$15,0)-IF(AND('Bonding Program'!$P$15&lt;&gt;"",AV$3='Bonding Program'!$P$15),'Bonding Program'!$O$15,0)-IF(AND('Bonding Program'!$R$15&lt;&gt;"",AV$3='Bonding Program'!$R$15),'Bonding Program'!$Q$15,0),0)</f>
        <v>0</v>
      </c>
      <c r="AW156" s="19" t="n">
        <f aca="false">IF(AND('Bonding Program'!$S$15=1,AW$3='Bonding Program'!$H$15),'Bonding Program'!$AA$15,0)-IF(AW$3&lt;='Bonding Program'!$C$8,IF(AND('Bonding Program'!$K$15&lt;&gt;"",AW$3='Bonding Program'!$K$15),'Bonding Program'!$J$15,0)-IF(AND('Bonding Program'!$M$15&lt;&gt;"",AW$3='Bonding Program'!$M$15),'Bonding Program'!$L$15,0)-IF(AND('Bonding Program'!$P$15&lt;&gt;"",AW$3='Bonding Program'!$P$15),'Bonding Program'!$O$15,0)-IF(AND('Bonding Program'!$R$15&lt;&gt;"",AW$3='Bonding Program'!$R$15),'Bonding Program'!$Q$15,0),0)</f>
        <v>0</v>
      </c>
      <c r="AX156" s="19" t="n">
        <f aca="false">IF(AND('Bonding Program'!$S$15=1,AX$3='Bonding Program'!$H$15),'Bonding Program'!$AA$15,0)-IF(AX$3&lt;='Bonding Program'!$C$8,IF(AND('Bonding Program'!$K$15&lt;&gt;"",AX$3='Bonding Program'!$K$15),'Bonding Program'!$J$15,0)-IF(AND('Bonding Program'!$M$15&lt;&gt;"",AX$3='Bonding Program'!$M$15),'Bonding Program'!$L$15,0)-IF(AND('Bonding Program'!$P$15&lt;&gt;"",AX$3='Bonding Program'!$P$15),'Bonding Program'!$O$15,0)-IF(AND('Bonding Program'!$R$15&lt;&gt;"",AX$3='Bonding Program'!$R$15),'Bonding Program'!$Q$15,0),0)</f>
        <v>0</v>
      </c>
      <c r="AY156" s="19" t="n">
        <f aca="false">IF(AND('Bonding Program'!$S$15=1,AY$3='Bonding Program'!$H$15),'Bonding Program'!$AA$15,0)-IF(AY$3&lt;='Bonding Program'!$C$8,IF(AND('Bonding Program'!$K$15&lt;&gt;"",AY$3='Bonding Program'!$K$15),'Bonding Program'!$J$15,0)-IF(AND('Bonding Program'!$M$15&lt;&gt;"",AY$3='Bonding Program'!$M$15),'Bonding Program'!$L$15,0)-IF(AND('Bonding Program'!$P$15&lt;&gt;"",AY$3='Bonding Program'!$P$15),'Bonding Program'!$O$15,0)-IF(AND('Bonding Program'!$R$15&lt;&gt;"",AY$3='Bonding Program'!$R$15),'Bonding Program'!$Q$15,0),0)</f>
        <v>0</v>
      </c>
      <c r="AZ156" s="19" t="n">
        <f aca="false">IF(AND('Bonding Program'!$S$15=1,AZ$3='Bonding Program'!$H$15),'Bonding Program'!$AA$15,0)-IF(AZ$3&lt;='Bonding Program'!$C$8,IF(AND('Bonding Program'!$K$15&lt;&gt;"",AZ$3='Bonding Program'!$K$15),'Bonding Program'!$J$15,0)-IF(AND('Bonding Program'!$M$15&lt;&gt;"",AZ$3='Bonding Program'!$M$15),'Bonding Program'!$L$15,0)-IF(AND('Bonding Program'!$P$15&lt;&gt;"",AZ$3='Bonding Program'!$P$15),'Bonding Program'!$O$15,0)-IF(AND('Bonding Program'!$R$15&lt;&gt;"",AZ$3='Bonding Program'!$R$15),'Bonding Program'!$Q$15,0),0)</f>
        <v>0</v>
      </c>
      <c r="BA156" s="19" t="n">
        <f aca="false">IF(AND('Bonding Program'!$S$15=1,BA$3='Bonding Program'!$H$15),'Bonding Program'!$AA$15,0)-IF(BA$3&lt;='Bonding Program'!$C$8,IF(AND('Bonding Program'!$K$15&lt;&gt;"",BA$3='Bonding Program'!$K$15),'Bonding Program'!$J$15,0)-IF(AND('Bonding Program'!$M$15&lt;&gt;"",BA$3='Bonding Program'!$M$15),'Bonding Program'!$L$15,0)-IF(AND('Bonding Program'!$P$15&lt;&gt;"",BA$3='Bonding Program'!$P$15),'Bonding Program'!$O$15,0)-IF(AND('Bonding Program'!$R$15&lt;&gt;"",BA$3='Bonding Program'!$R$15),'Bonding Program'!$Q$15,0),0)</f>
        <v>0</v>
      </c>
      <c r="BB156" s="19" t="n">
        <f aca="false">IF(AND('Bonding Program'!$S$15=1,BB$3='Bonding Program'!$H$15),'Bonding Program'!$AA$15,0)-IF(BB$3&lt;='Bonding Program'!$C$8,IF(AND('Bonding Program'!$K$15&lt;&gt;"",BB$3='Bonding Program'!$K$15),'Bonding Program'!$J$15,0)-IF(AND('Bonding Program'!$M$15&lt;&gt;"",BB$3='Bonding Program'!$M$15),'Bonding Program'!$L$15,0)-IF(AND('Bonding Program'!$P$15&lt;&gt;"",BB$3='Bonding Program'!$P$15),'Bonding Program'!$O$15,0)-IF(AND('Bonding Program'!$R$15&lt;&gt;"",BB$3='Bonding Program'!$R$15),'Bonding Program'!$Q$15,0),0)</f>
        <v>0</v>
      </c>
      <c r="BC156" s="19" t="n">
        <f aca="false">IF(AND('Bonding Program'!$S$15=1,BC$3='Bonding Program'!$H$15),'Bonding Program'!$AA$15,0)-IF(BC$3&lt;='Bonding Program'!$C$8,IF(AND('Bonding Program'!$K$15&lt;&gt;"",BC$3='Bonding Program'!$K$15),'Bonding Program'!$J$15,0)-IF(AND('Bonding Program'!$M$15&lt;&gt;"",BC$3='Bonding Program'!$M$15),'Bonding Program'!$L$15,0)-IF(AND('Bonding Program'!$P$15&lt;&gt;"",BC$3='Bonding Program'!$P$15),'Bonding Program'!$O$15,0)-IF(AND('Bonding Program'!$R$15&lt;&gt;"",BC$3='Bonding Program'!$R$15),'Bonding Program'!$Q$15,0),0)</f>
        <v>0</v>
      </c>
      <c r="BD156" s="19" t="n">
        <f aca="false">IF(AND('Bonding Program'!$S$15=1,BD$3='Bonding Program'!$H$15),'Bonding Program'!$AA$15,0)-IF(BD$3&lt;='Bonding Program'!$C$8,IF(AND('Bonding Program'!$K$15&lt;&gt;"",BD$3='Bonding Program'!$K$15),'Bonding Program'!$J$15,0)-IF(AND('Bonding Program'!$M$15&lt;&gt;"",BD$3='Bonding Program'!$M$15),'Bonding Program'!$L$15,0)-IF(AND('Bonding Program'!$P$15&lt;&gt;"",BD$3='Bonding Program'!$P$15),'Bonding Program'!$O$15,0)-IF(AND('Bonding Program'!$R$15&lt;&gt;"",BD$3='Bonding Program'!$R$15),'Bonding Program'!$Q$15,0),0)</f>
        <v>0</v>
      </c>
      <c r="BE156" s="19" t="n">
        <f aca="false">IF(AND('Bonding Program'!$S$15=1,BE$3='Bonding Program'!$H$15),'Bonding Program'!$AA$15,0)-IF(BE$3&lt;='Bonding Program'!$C$8,IF(AND('Bonding Program'!$K$15&lt;&gt;"",BE$3='Bonding Program'!$K$15),'Bonding Program'!$J$15,0)-IF(AND('Bonding Program'!$M$15&lt;&gt;"",BE$3='Bonding Program'!$M$15),'Bonding Program'!$L$15,0)-IF(AND('Bonding Program'!$P$15&lt;&gt;"",BE$3='Bonding Program'!$P$15),'Bonding Program'!$O$15,0)-IF(AND('Bonding Program'!$R$15&lt;&gt;"",BE$3='Bonding Program'!$R$15),'Bonding Program'!$Q$15,0),0)</f>
        <v>0</v>
      </c>
      <c r="BF156" s="19" t="n">
        <f aca="false">IF(AND('Bonding Program'!$S$15=1,BF$3='Bonding Program'!$H$15),'Bonding Program'!$AA$15,0)-IF(BF$3&lt;='Bonding Program'!$C$8,IF(AND('Bonding Program'!$K$15&lt;&gt;"",BF$3='Bonding Program'!$K$15),'Bonding Program'!$J$15,0)-IF(AND('Bonding Program'!$M$15&lt;&gt;"",BF$3='Bonding Program'!$M$15),'Bonding Program'!$L$15,0)-IF(AND('Bonding Program'!$P$15&lt;&gt;"",BF$3='Bonding Program'!$P$15),'Bonding Program'!$O$15,0)-IF(AND('Bonding Program'!$R$15&lt;&gt;"",BF$3='Bonding Program'!$R$15),'Bonding Program'!$Q$15,0),0)</f>
        <v>0</v>
      </c>
      <c r="BG156" s="19" t="n">
        <f aca="false">IF(AND('Bonding Program'!$S$15=1,BG$3='Bonding Program'!$H$15),'Bonding Program'!$AA$15,0)-IF(BG$3&lt;='Bonding Program'!$C$8,IF(AND('Bonding Program'!$K$15&lt;&gt;"",BG$3='Bonding Program'!$K$15),'Bonding Program'!$J$15,0)-IF(AND('Bonding Program'!$M$15&lt;&gt;"",BG$3='Bonding Program'!$M$15),'Bonding Program'!$L$15,0)-IF(AND('Bonding Program'!$P$15&lt;&gt;"",BG$3='Bonding Program'!$P$15),'Bonding Program'!$O$15,0)-IF(AND('Bonding Program'!$R$15&lt;&gt;"",BG$3='Bonding Program'!$R$15),'Bonding Program'!$Q$15,0),0)</f>
        <v>0</v>
      </c>
      <c r="BH156" s="19" t="n">
        <f aca="false">IF(AND('Bonding Program'!$S$15=1,BH$3='Bonding Program'!$H$15),'Bonding Program'!$AA$15,0)-IF(BH$3&lt;='Bonding Program'!$C$8,IF(AND('Bonding Program'!$K$15&lt;&gt;"",BH$3='Bonding Program'!$K$15),'Bonding Program'!$J$15,0)-IF(AND('Bonding Program'!$M$15&lt;&gt;"",BH$3='Bonding Program'!$M$15),'Bonding Program'!$L$15,0)-IF(AND('Bonding Program'!$P$15&lt;&gt;"",BH$3='Bonding Program'!$P$15),'Bonding Program'!$O$15,0)-IF(AND('Bonding Program'!$R$15&lt;&gt;"",BH$3='Bonding Program'!$R$15),'Bonding Program'!$Q$15,0),0)</f>
        <v>0</v>
      </c>
      <c r="BI156" s="19" t="n">
        <f aca="false">IF(AND('Bonding Program'!$S$15=1,BI$3='Bonding Program'!$H$15),'Bonding Program'!$AA$15,0)-IF(BI$3&lt;='Bonding Program'!$C$8,IF(AND('Bonding Program'!$K$15&lt;&gt;"",BI$3='Bonding Program'!$K$15),'Bonding Program'!$J$15,0)-IF(AND('Bonding Program'!$M$15&lt;&gt;"",BI$3='Bonding Program'!$M$15),'Bonding Program'!$L$15,0)-IF(AND('Bonding Program'!$P$15&lt;&gt;"",BI$3='Bonding Program'!$P$15),'Bonding Program'!$O$15,0)-IF(AND('Bonding Program'!$R$15&lt;&gt;"",BI$3='Bonding Program'!$R$15),'Bonding Program'!$Q$15,0),0)</f>
        <v>0</v>
      </c>
      <c r="BJ156" s="19" t="n">
        <f aca="false">IF(AND('Bonding Program'!$S$15=1,BJ$3='Bonding Program'!$H$15),'Bonding Program'!$AA$15,0)-IF(BJ$3&lt;='Bonding Program'!$C$8,IF(AND('Bonding Program'!$K$15&lt;&gt;"",BJ$3='Bonding Program'!$K$15),'Bonding Program'!$J$15,0)-IF(AND('Bonding Program'!$M$15&lt;&gt;"",BJ$3='Bonding Program'!$M$15),'Bonding Program'!$L$15,0)-IF(AND('Bonding Program'!$P$15&lt;&gt;"",BJ$3='Bonding Program'!$P$15),'Bonding Program'!$O$15,0)-IF(AND('Bonding Program'!$R$15&lt;&gt;"",BJ$3='Bonding Program'!$R$15),'Bonding Program'!$Q$15,0),0)</f>
        <v>0</v>
      </c>
      <c r="BK156" s="19" t="n">
        <f aca="false">IF(AND('Bonding Program'!$S$15=1,BK$3='Bonding Program'!$H$15),'Bonding Program'!$AA$15,0)-IF(BK$3&lt;='Bonding Program'!$C$8,IF(AND('Bonding Program'!$K$15&lt;&gt;"",BK$3='Bonding Program'!$K$15),'Bonding Program'!$J$15,0)-IF(AND('Bonding Program'!$M$15&lt;&gt;"",BK$3='Bonding Program'!$M$15),'Bonding Program'!$L$15,0)-IF(AND('Bonding Program'!$P$15&lt;&gt;"",BK$3='Bonding Program'!$P$15),'Bonding Program'!$O$15,0)-IF(AND('Bonding Program'!$R$15&lt;&gt;"",BK$3='Bonding Program'!$R$15),'Bonding Program'!$Q$15,0),0)</f>
        <v>0</v>
      </c>
      <c r="BL156" s="19" t="n">
        <f aca="false">IF(AND('Bonding Program'!$S$15=1,BL$3='Bonding Program'!$H$15),'Bonding Program'!$AA$15,0)-IF(BL$3&lt;='Bonding Program'!$C$8,IF(AND('Bonding Program'!$K$15&lt;&gt;"",BL$3='Bonding Program'!$K$15),'Bonding Program'!$J$15,0)-IF(AND('Bonding Program'!$M$15&lt;&gt;"",BL$3='Bonding Program'!$M$15),'Bonding Program'!$L$15,0)-IF(AND('Bonding Program'!$P$15&lt;&gt;"",BL$3='Bonding Program'!$P$15),'Bonding Program'!$O$15,0)-IF(AND('Bonding Program'!$R$15&lt;&gt;"",BL$3='Bonding Program'!$R$15),'Bonding Program'!$Q$15,0),0)</f>
        <v>0</v>
      </c>
      <c r="BM156" s="19" t="n">
        <f aca="false">IF(AND('Bonding Program'!$S$15=1,BM$3='Bonding Program'!$H$15),'Bonding Program'!$AA$15,0)-IF(BM$3&lt;='Bonding Program'!$C$8,IF(AND('Bonding Program'!$K$15&lt;&gt;"",BM$3='Bonding Program'!$K$15),'Bonding Program'!$J$15,0)-IF(AND('Bonding Program'!$M$15&lt;&gt;"",BM$3='Bonding Program'!$M$15),'Bonding Program'!$L$15,0)-IF(AND('Bonding Program'!$P$15&lt;&gt;"",BM$3='Bonding Program'!$P$15),'Bonding Program'!$O$15,0)-IF(AND('Bonding Program'!$R$15&lt;&gt;"",BM$3='Bonding Program'!$R$15),'Bonding Program'!$Q$15,0),0)</f>
        <v>0</v>
      </c>
      <c r="BN156" s="19" t="n">
        <f aca="false">IF(AND('Bonding Program'!$S$15=1,BN$3='Bonding Program'!$H$15),'Bonding Program'!$AA$15,0)-IF(BN$3&lt;='Bonding Program'!$C$8,IF(AND('Bonding Program'!$K$15&lt;&gt;"",BN$3='Bonding Program'!$K$15),'Bonding Program'!$J$15,0)-IF(AND('Bonding Program'!$M$15&lt;&gt;"",BN$3='Bonding Program'!$M$15),'Bonding Program'!$L$15,0)-IF(AND('Bonding Program'!$P$15&lt;&gt;"",BN$3='Bonding Program'!$P$15),'Bonding Program'!$O$15,0)-IF(AND('Bonding Program'!$R$15&lt;&gt;"",BN$3='Bonding Program'!$R$15),'Bonding Program'!$Q$15,0),0)</f>
        <v>0</v>
      </c>
      <c r="BO156" s="19" t="n">
        <f aca="false">IF(AND('Bonding Program'!$S$15=1,BO$3='Bonding Program'!$H$15),'Bonding Program'!$AA$15,0)-IF(BO$3&lt;='Bonding Program'!$C$8,IF(AND('Bonding Program'!$K$15&lt;&gt;"",BO$3='Bonding Program'!$K$15),'Bonding Program'!$J$15,0)-IF(AND('Bonding Program'!$M$15&lt;&gt;"",BO$3='Bonding Program'!$M$15),'Bonding Program'!$L$15,0)-IF(AND('Bonding Program'!$P$15&lt;&gt;"",BO$3='Bonding Program'!$P$15),'Bonding Program'!$O$15,0)-IF(AND('Bonding Program'!$R$15&lt;&gt;"",BO$3='Bonding Program'!$R$15),'Bonding Program'!$Q$15,0),0)</f>
        <v>0</v>
      </c>
      <c r="BP156" s="19" t="n">
        <f aca="false">IF(AND('Bonding Program'!$S$15=1,BP$3='Bonding Program'!$H$15),'Bonding Program'!$AA$15,0)-IF(BP$3&lt;='Bonding Program'!$C$8,IF(AND('Bonding Program'!$K$15&lt;&gt;"",BP$3='Bonding Program'!$K$15),'Bonding Program'!$J$15,0)-IF(AND('Bonding Program'!$M$15&lt;&gt;"",BP$3='Bonding Program'!$M$15),'Bonding Program'!$L$15,0)-IF(AND('Bonding Program'!$P$15&lt;&gt;"",BP$3='Bonding Program'!$P$15),'Bonding Program'!$O$15,0)-IF(AND('Bonding Program'!$R$15&lt;&gt;"",BP$3='Bonding Program'!$R$15),'Bonding Program'!$Q$15,0),0)</f>
        <v>0</v>
      </c>
      <c r="BQ156" s="19" t="n">
        <f aca="false">IF(AND('Bonding Program'!$S$15=1,BQ$3='Bonding Program'!$H$15),'Bonding Program'!$AA$15,0)-IF(BQ$3&lt;='Bonding Program'!$C$8,IF(AND('Bonding Program'!$K$15&lt;&gt;"",BQ$3='Bonding Program'!$K$15),'Bonding Program'!$J$15,0)-IF(AND('Bonding Program'!$M$15&lt;&gt;"",BQ$3='Bonding Program'!$M$15),'Bonding Program'!$L$15,0)-IF(AND('Bonding Program'!$P$15&lt;&gt;"",BQ$3='Bonding Program'!$P$15),'Bonding Program'!$O$15,0)-IF(AND('Bonding Program'!$R$15&lt;&gt;"",BQ$3='Bonding Program'!$R$15),'Bonding Program'!$Q$15,0),0)</f>
        <v>0</v>
      </c>
      <c r="BR156" s="19" t="n">
        <f aca="false">IF(AND('Bonding Program'!$S$15=1,BR$3='Bonding Program'!$H$15),'Bonding Program'!$AA$15,0)-IF(BR$3&lt;='Bonding Program'!$C$8,IF(AND('Bonding Program'!$K$15&lt;&gt;"",BR$3='Bonding Program'!$K$15),'Bonding Program'!$J$15,0)-IF(AND('Bonding Program'!$M$15&lt;&gt;"",BR$3='Bonding Program'!$M$15),'Bonding Program'!$L$15,0)-IF(AND('Bonding Program'!$P$15&lt;&gt;"",BR$3='Bonding Program'!$P$15),'Bonding Program'!$O$15,0)-IF(AND('Bonding Program'!$R$15&lt;&gt;"",BR$3='Bonding Program'!$R$15),'Bonding Program'!$Q$15,0),0)</f>
        <v>0</v>
      </c>
      <c r="BS156" s="19" t="n">
        <f aca="false">IF(AND('Bonding Program'!$S$15=1,BS$3='Bonding Program'!$H$15),'Bonding Program'!$AA$15,0)-IF(BS$3&lt;='Bonding Program'!$C$8,IF(AND('Bonding Program'!$K$15&lt;&gt;"",BS$3='Bonding Program'!$K$15),'Bonding Program'!$J$15,0)-IF(AND('Bonding Program'!$M$15&lt;&gt;"",BS$3='Bonding Program'!$M$15),'Bonding Program'!$L$15,0)-IF(AND('Bonding Program'!$P$15&lt;&gt;"",BS$3='Bonding Program'!$P$15),'Bonding Program'!$O$15,0)-IF(AND('Bonding Program'!$R$15&lt;&gt;"",BS$3='Bonding Program'!$R$15),'Bonding Program'!$Q$15,0),0)</f>
        <v>0</v>
      </c>
      <c r="BT156" s="19" t="n">
        <f aca="false">IF(AND('Bonding Program'!$S$15=1,BT$3='Bonding Program'!$H$15),'Bonding Program'!$AA$15,0)-IF(BT$3&lt;='Bonding Program'!$C$8,IF(AND('Bonding Program'!$K$15&lt;&gt;"",BT$3='Bonding Program'!$K$15),'Bonding Program'!$J$15,0)-IF(AND('Bonding Program'!$M$15&lt;&gt;"",BT$3='Bonding Program'!$M$15),'Bonding Program'!$L$15,0)-IF(AND('Bonding Program'!$P$15&lt;&gt;"",BT$3='Bonding Program'!$P$15),'Bonding Program'!$O$15,0)-IF(AND('Bonding Program'!$R$15&lt;&gt;"",BT$3='Bonding Program'!$R$15),'Bonding Program'!$Q$15,0),0)</f>
        <v>0</v>
      </c>
      <c r="BU156" s="19" t="n">
        <f aca="false">IF(AND('Bonding Program'!$S$15=1,BU$3='Bonding Program'!$H$15),'Bonding Program'!$AA$15,0)-IF(BU$3&lt;='Bonding Program'!$C$8,IF(AND('Bonding Program'!$K$15&lt;&gt;"",BU$3='Bonding Program'!$K$15),'Bonding Program'!$J$15,0)-IF(AND('Bonding Program'!$M$15&lt;&gt;"",BU$3='Bonding Program'!$M$15),'Bonding Program'!$L$15,0)-IF(AND('Bonding Program'!$P$15&lt;&gt;"",BU$3='Bonding Program'!$P$15),'Bonding Program'!$O$15,0)-IF(AND('Bonding Program'!$R$15&lt;&gt;"",BU$3='Bonding Program'!$R$15),'Bonding Program'!$Q$15,0),0)</f>
        <v>0</v>
      </c>
      <c r="BV156" s="19" t="n">
        <f aca="false">IF(AND('Bonding Program'!$S$15=1,BV$3='Bonding Program'!$H$15),'Bonding Program'!$AA$15,0)-IF(BV$3&lt;='Bonding Program'!$C$8,IF(AND('Bonding Program'!$K$15&lt;&gt;"",BV$3='Bonding Program'!$K$15),'Bonding Program'!$J$15,0)-IF(AND('Bonding Program'!$M$15&lt;&gt;"",BV$3='Bonding Program'!$M$15),'Bonding Program'!$L$15,0)-IF(AND('Bonding Program'!$P$15&lt;&gt;"",BV$3='Bonding Program'!$P$15),'Bonding Program'!$O$15,0)-IF(AND('Bonding Program'!$R$15&lt;&gt;"",BV$3='Bonding Program'!$R$15),'Bonding Program'!$Q$15,0),0)</f>
        <v>0</v>
      </c>
      <c r="BW156" s="19" t="n">
        <f aca="false">IF(AND('Bonding Program'!$S$15=1,BW$3='Bonding Program'!$H$15),'Bonding Program'!$AA$15,0)-IF(BW$3&lt;='Bonding Program'!$C$8,IF(AND('Bonding Program'!$K$15&lt;&gt;"",BW$3='Bonding Program'!$K$15),'Bonding Program'!$J$15,0)-IF(AND('Bonding Program'!$M$15&lt;&gt;"",BW$3='Bonding Program'!$M$15),'Bonding Program'!$L$15,0)-IF(AND('Bonding Program'!$P$15&lt;&gt;"",BW$3='Bonding Program'!$P$15),'Bonding Program'!$O$15,0)-IF(AND('Bonding Program'!$R$15&lt;&gt;"",BW$3='Bonding Program'!$R$15),'Bonding Program'!$Q$15,0),0)</f>
        <v>0</v>
      </c>
      <c r="BX156" s="19" t="n">
        <f aca="false">IF(AND('Bonding Program'!$S$15=1,BX$3='Bonding Program'!$H$15),'Bonding Program'!$AA$15,0)-IF(BX$3&lt;='Bonding Program'!$C$8,IF(AND('Bonding Program'!$K$15&lt;&gt;"",BX$3='Bonding Program'!$K$15),'Bonding Program'!$J$15,0)-IF(AND('Bonding Program'!$M$15&lt;&gt;"",BX$3='Bonding Program'!$M$15),'Bonding Program'!$L$15,0)-IF(AND('Bonding Program'!$P$15&lt;&gt;"",BX$3='Bonding Program'!$P$15),'Bonding Program'!$O$15,0)-IF(AND('Bonding Program'!$R$15&lt;&gt;"",BX$3='Bonding Program'!$R$15),'Bonding Program'!$Q$15,0),0)</f>
        <v>0</v>
      </c>
      <c r="BY156" s="19" t="n">
        <f aca="false">IF(AND('Bonding Program'!$S$15=1,BY$3='Bonding Program'!$H$15),'Bonding Program'!$AA$15,0)-IF(BY$3&lt;='Bonding Program'!$C$8,IF(AND('Bonding Program'!$K$15&lt;&gt;"",BY$3='Bonding Program'!$K$15),'Bonding Program'!$J$15,0)-IF(AND('Bonding Program'!$M$15&lt;&gt;"",BY$3='Bonding Program'!$M$15),'Bonding Program'!$L$15,0)-IF(AND('Bonding Program'!$P$15&lt;&gt;"",BY$3='Bonding Program'!$P$15),'Bonding Program'!$O$15,0)-IF(AND('Bonding Program'!$R$15&lt;&gt;"",BY$3='Bonding Program'!$R$15),'Bonding Program'!$Q$15,0),0)</f>
        <v>0</v>
      </c>
      <c r="BZ156" s="19" t="n">
        <f aca="false">IF(AND('Bonding Program'!$S$15=1,BZ$3='Bonding Program'!$H$15),'Bonding Program'!$AA$15,0)-IF(BZ$3&lt;='Bonding Program'!$C$8,IF(AND('Bonding Program'!$K$15&lt;&gt;"",BZ$3='Bonding Program'!$K$15),'Bonding Program'!$J$15,0)-IF(AND('Bonding Program'!$M$15&lt;&gt;"",BZ$3='Bonding Program'!$M$15),'Bonding Program'!$L$15,0)-IF(AND('Bonding Program'!$P$15&lt;&gt;"",BZ$3='Bonding Program'!$P$15),'Bonding Program'!$O$15,0)-IF(AND('Bonding Program'!$R$15&lt;&gt;"",BZ$3='Bonding Program'!$R$15),'Bonding Program'!$Q$15,0),0)</f>
        <v>0</v>
      </c>
      <c r="CA156" s="19" t="n">
        <f aca="false">IF(AND('Bonding Program'!$S$15=1,CA$3='Bonding Program'!$H$15),'Bonding Program'!$AA$15,0)-IF(CA$3&lt;='Bonding Program'!$C$8,IF(AND('Bonding Program'!$K$15&lt;&gt;"",CA$3='Bonding Program'!$K$15),'Bonding Program'!$J$15,0)-IF(AND('Bonding Program'!$M$15&lt;&gt;"",CA$3='Bonding Program'!$M$15),'Bonding Program'!$L$15,0)-IF(AND('Bonding Program'!$P$15&lt;&gt;"",CA$3='Bonding Program'!$P$15),'Bonding Program'!$O$15,0)-IF(AND('Bonding Program'!$R$15&lt;&gt;"",CA$3='Bonding Program'!$R$15),'Bonding Program'!$Q$15,0),0)</f>
        <v>0</v>
      </c>
      <c r="CB156" s="19" t="n">
        <f aca="false">IF(AND('Bonding Program'!$S$15=1,CB$3='Bonding Program'!$H$15),'Bonding Program'!$AA$15,0)-IF(CB$3&lt;='Bonding Program'!$C$8,IF(AND('Bonding Program'!$K$15&lt;&gt;"",CB$3='Bonding Program'!$K$15),'Bonding Program'!$J$15,0)-IF(AND('Bonding Program'!$M$15&lt;&gt;"",CB$3='Bonding Program'!$M$15),'Bonding Program'!$L$15,0)-IF(AND('Bonding Program'!$P$15&lt;&gt;"",CB$3='Bonding Program'!$P$15),'Bonding Program'!$O$15,0)-IF(AND('Bonding Program'!$R$15&lt;&gt;"",CB$3='Bonding Program'!$R$15),'Bonding Program'!$Q$15,0),0)</f>
        <v>0</v>
      </c>
      <c r="CC156" s="19" t="n">
        <f aca="false">IF(AND('Bonding Program'!$S$15=1,CC$3='Bonding Program'!$H$15),'Bonding Program'!$AA$15,0)-IF(CC$3&lt;='Bonding Program'!$C$8,IF(AND('Bonding Program'!$K$15&lt;&gt;"",CC$3='Bonding Program'!$K$15),'Bonding Program'!$J$15,0)-IF(AND('Bonding Program'!$M$15&lt;&gt;"",CC$3='Bonding Program'!$M$15),'Bonding Program'!$L$15,0)-IF(AND('Bonding Program'!$P$15&lt;&gt;"",CC$3='Bonding Program'!$P$15),'Bonding Program'!$O$15,0)-IF(AND('Bonding Program'!$R$15&lt;&gt;"",CC$3='Bonding Program'!$R$15),'Bonding Program'!$Q$15,0),0)</f>
        <v>0</v>
      </c>
      <c r="CD156" s="19" t="n">
        <f aca="false">IF(AND('Bonding Program'!$S$15=1,CD$3='Bonding Program'!$H$15),'Bonding Program'!$AA$15,0)-IF(CD$3&lt;='Bonding Program'!$C$8,IF(AND('Bonding Program'!$K$15&lt;&gt;"",CD$3='Bonding Program'!$K$15),'Bonding Program'!$J$15,0)-IF(AND('Bonding Program'!$M$15&lt;&gt;"",CD$3='Bonding Program'!$M$15),'Bonding Program'!$L$15,0)-IF(AND('Bonding Program'!$P$15&lt;&gt;"",CD$3='Bonding Program'!$P$15),'Bonding Program'!$O$15,0)-IF(AND('Bonding Program'!$R$15&lt;&gt;"",CD$3='Bonding Program'!$R$15),'Bonding Program'!$Q$15,0),0)</f>
        <v>0</v>
      </c>
      <c r="CE156" s="19" t="n">
        <f aca="false">IF(AND('Bonding Program'!$S$15=1,CE$3='Bonding Program'!$H$15),'Bonding Program'!$AA$15,0)-IF(CE$3&lt;='Bonding Program'!$C$8,IF(AND('Bonding Program'!$K$15&lt;&gt;"",CE$3='Bonding Program'!$K$15),'Bonding Program'!$J$15,0)-IF(AND('Bonding Program'!$M$15&lt;&gt;"",CE$3='Bonding Program'!$M$15),'Bonding Program'!$L$15,0)-IF(AND('Bonding Program'!$P$15&lt;&gt;"",CE$3='Bonding Program'!$P$15),'Bonding Program'!$O$15,0)-IF(AND('Bonding Program'!$R$15&lt;&gt;"",CE$3='Bonding Program'!$R$15),'Bonding Program'!$Q$15,0),0)</f>
        <v>0</v>
      </c>
      <c r="CF156" s="19" t="n">
        <f aca="false">IF(AND('Bonding Program'!$S$15=1,CF$3='Bonding Program'!$H$15),'Bonding Program'!$AA$15,0)-IF(CF$3&lt;='Bonding Program'!$C$8,IF(AND('Bonding Program'!$K$15&lt;&gt;"",CF$3='Bonding Program'!$K$15),'Bonding Program'!$J$15,0)-IF(AND('Bonding Program'!$M$15&lt;&gt;"",CF$3='Bonding Program'!$M$15),'Bonding Program'!$L$15,0)-IF(AND('Bonding Program'!$P$15&lt;&gt;"",CF$3='Bonding Program'!$P$15),'Bonding Program'!$O$15,0)-IF(AND('Bonding Program'!$R$15&lt;&gt;"",CF$3='Bonding Program'!$R$15),'Bonding Program'!$Q$15,0),0)</f>
        <v>0</v>
      </c>
      <c r="CG156" s="19" t="n">
        <f aca="false">IF(AND('Bonding Program'!$S$15=1,CG$3='Bonding Program'!$H$15),'Bonding Program'!$AA$15,0)-IF(CG$3&lt;='Bonding Program'!$C$8,IF(AND('Bonding Program'!$K$15&lt;&gt;"",CG$3='Bonding Program'!$K$15),'Bonding Program'!$J$15,0)-IF(AND('Bonding Program'!$M$15&lt;&gt;"",CG$3='Bonding Program'!$M$15),'Bonding Program'!$L$15,0)-IF(AND('Bonding Program'!$P$15&lt;&gt;"",CG$3='Bonding Program'!$P$15),'Bonding Program'!$O$15,0)-IF(AND('Bonding Program'!$R$15&lt;&gt;"",CG$3='Bonding Program'!$R$15),'Bonding Program'!$Q$15,0),0)</f>
        <v>0</v>
      </c>
      <c r="CH156" s="19" t="n">
        <f aca="false">IF(AND('Bonding Program'!$S$15=1,CH$3='Bonding Program'!$H$15),'Bonding Program'!$AA$15,0)-IF(CH$3&lt;='Bonding Program'!$C$8,IF(AND('Bonding Program'!$K$15&lt;&gt;"",CH$3='Bonding Program'!$K$15),'Bonding Program'!$J$15,0)-IF(AND('Bonding Program'!$M$15&lt;&gt;"",CH$3='Bonding Program'!$M$15),'Bonding Program'!$L$15,0)-IF(AND('Bonding Program'!$P$15&lt;&gt;"",CH$3='Bonding Program'!$P$15),'Bonding Program'!$O$15,0)-IF(AND('Bonding Program'!$R$15&lt;&gt;"",CH$3='Bonding Program'!$R$15),'Bonding Program'!$Q$15,0),0)</f>
        <v>0</v>
      </c>
      <c r="CI156" s="19" t="n">
        <f aca="false">IF(AND('Bonding Program'!$S$15=1,CI$3='Bonding Program'!$H$15),'Bonding Program'!$AA$15,0)-IF(CI$3&lt;='Bonding Program'!$C$8,IF(AND('Bonding Program'!$K$15&lt;&gt;"",CI$3='Bonding Program'!$K$15),'Bonding Program'!$J$15,0)-IF(AND('Bonding Program'!$M$15&lt;&gt;"",CI$3='Bonding Program'!$M$15),'Bonding Program'!$L$15,0)-IF(AND('Bonding Program'!$P$15&lt;&gt;"",CI$3='Bonding Program'!$P$15),'Bonding Program'!$O$15,0)-IF(AND('Bonding Program'!$R$15&lt;&gt;"",CI$3='Bonding Program'!$R$15),'Bonding Program'!$Q$15,0),0)</f>
        <v>0</v>
      </c>
      <c r="CJ156" s="19" t="n">
        <f aca="false">IF(AND('Bonding Program'!$S$15=1,CJ$3='Bonding Program'!$H$15),'Bonding Program'!$AA$15,0)-IF(CJ$3&lt;='Bonding Program'!$C$8,IF(AND('Bonding Program'!$K$15&lt;&gt;"",CJ$3='Bonding Program'!$K$15),'Bonding Program'!$J$15,0)-IF(AND('Bonding Program'!$M$15&lt;&gt;"",CJ$3='Bonding Program'!$M$15),'Bonding Program'!$L$15,0)-IF(AND('Bonding Program'!$P$15&lt;&gt;"",CJ$3='Bonding Program'!$P$15),'Bonding Program'!$O$15,0)-IF(AND('Bonding Program'!$R$15&lt;&gt;"",CJ$3='Bonding Program'!$R$15),'Bonding Program'!$Q$15,0),0)</f>
        <v>0</v>
      </c>
      <c r="CK156" s="19" t="n">
        <f aca="false">IF(AND('Bonding Program'!$S$15=1,CK$3='Bonding Program'!$H$15),'Bonding Program'!$AA$15,0)-IF(CK$3&lt;='Bonding Program'!$C$8,IF(AND('Bonding Program'!$K$15&lt;&gt;"",CK$3='Bonding Program'!$K$15),'Bonding Program'!$J$15,0)-IF(AND('Bonding Program'!$M$15&lt;&gt;"",CK$3='Bonding Program'!$M$15),'Bonding Program'!$L$15,0)-IF(AND('Bonding Program'!$P$15&lt;&gt;"",CK$3='Bonding Program'!$P$15),'Bonding Program'!$O$15,0)-IF(AND('Bonding Program'!$R$15&lt;&gt;"",CK$3='Bonding Program'!$R$15),'Bonding Program'!$Q$15,0),0)</f>
        <v>0</v>
      </c>
      <c r="CL156" s="19" t="n">
        <f aca="false">IF(AND('Bonding Program'!$S$15=1,CL$3='Bonding Program'!$H$15),'Bonding Program'!$AA$15,0)-IF(CL$3&lt;='Bonding Program'!$C$8,IF(AND('Bonding Program'!$K$15&lt;&gt;"",CL$3='Bonding Program'!$K$15),'Bonding Program'!$J$15,0)-IF(AND('Bonding Program'!$M$15&lt;&gt;"",CL$3='Bonding Program'!$M$15),'Bonding Program'!$L$15,0)-IF(AND('Bonding Program'!$P$15&lt;&gt;"",CL$3='Bonding Program'!$P$15),'Bonding Program'!$O$15,0)-IF(AND('Bonding Program'!$R$15&lt;&gt;"",CL$3='Bonding Program'!$R$15),'Bonding Program'!$Q$15,0),0)</f>
        <v>0</v>
      </c>
      <c r="CM156" s="19" t="n">
        <f aca="false">IF(AND('Bonding Program'!$S$15=1,CM$3='Bonding Program'!$H$15),'Bonding Program'!$AA$15,0)-IF(CM$3&lt;='Bonding Program'!$C$8,IF(AND('Bonding Program'!$K$15&lt;&gt;"",CM$3='Bonding Program'!$K$15),'Bonding Program'!$J$15,0)-IF(AND('Bonding Program'!$M$15&lt;&gt;"",CM$3='Bonding Program'!$M$15),'Bonding Program'!$L$15,0)-IF(AND('Bonding Program'!$P$15&lt;&gt;"",CM$3='Bonding Program'!$P$15),'Bonding Program'!$O$15,0)-IF(AND('Bonding Program'!$R$15&lt;&gt;"",CM$3='Bonding Program'!$R$15),'Bonding Program'!$Q$15,0),0)</f>
        <v>0</v>
      </c>
      <c r="CN156" s="19" t="n">
        <f aca="false">IF(AND('Bonding Program'!$S$15=1,CN$3='Bonding Program'!$H$15),'Bonding Program'!$AA$15,0)-IF(CN$3&lt;='Bonding Program'!$C$8,IF(AND('Bonding Program'!$K$15&lt;&gt;"",CN$3='Bonding Program'!$K$15),'Bonding Program'!$J$15,0)-IF(AND('Bonding Program'!$M$15&lt;&gt;"",CN$3='Bonding Program'!$M$15),'Bonding Program'!$L$15,0)-IF(AND('Bonding Program'!$P$15&lt;&gt;"",CN$3='Bonding Program'!$P$15),'Bonding Program'!$O$15,0)-IF(AND('Bonding Program'!$R$15&lt;&gt;"",CN$3='Bonding Program'!$R$15),'Bonding Program'!$Q$15,0),0)</f>
        <v>0</v>
      </c>
      <c r="CO156" s="19" t="n">
        <f aca="false">IF(AND('Bonding Program'!$S$15=1,CO$3='Bonding Program'!$H$15),'Bonding Program'!$AA$15,0)-IF(CO$3&lt;='Bonding Program'!$C$8,IF(AND('Bonding Program'!$K$15&lt;&gt;"",CO$3='Bonding Program'!$K$15),'Bonding Program'!$J$15,0)-IF(AND('Bonding Program'!$M$15&lt;&gt;"",CO$3='Bonding Program'!$M$15),'Bonding Program'!$L$15,0)-IF(AND('Bonding Program'!$P$15&lt;&gt;"",CO$3='Bonding Program'!$P$15),'Bonding Program'!$O$15,0)-IF(AND('Bonding Program'!$R$15&lt;&gt;"",CO$3='Bonding Program'!$R$15),'Bonding Program'!$Q$15,0),0)</f>
        <v>0</v>
      </c>
      <c r="CP156" s="19" t="n">
        <f aca="false">IF(AND('Bonding Program'!$S$15=1,CP$3='Bonding Program'!$H$15),'Bonding Program'!$AA$15,0)-IF(CP$3&lt;='Bonding Program'!$C$8,IF(AND('Bonding Program'!$K$15&lt;&gt;"",CP$3='Bonding Program'!$K$15),'Bonding Program'!$J$15,0)-IF(AND('Bonding Program'!$M$15&lt;&gt;"",CP$3='Bonding Program'!$M$15),'Bonding Program'!$L$15,0)-IF(AND('Bonding Program'!$P$15&lt;&gt;"",CP$3='Bonding Program'!$P$15),'Bonding Program'!$O$15,0)-IF(AND('Bonding Program'!$R$15&lt;&gt;"",CP$3='Bonding Program'!$R$15),'Bonding Program'!$Q$15,0),0)</f>
        <v>0</v>
      </c>
      <c r="CQ156" s="19" t="n">
        <f aca="false">IF(AND('Bonding Program'!$S$15=1,CQ$3='Bonding Program'!$H$15),'Bonding Program'!$AA$15,0)-IF(CQ$3&lt;='Bonding Program'!$C$8,IF(AND('Bonding Program'!$K$15&lt;&gt;"",CQ$3='Bonding Program'!$K$15),'Bonding Program'!$J$15,0)-IF(AND('Bonding Program'!$M$15&lt;&gt;"",CQ$3='Bonding Program'!$M$15),'Bonding Program'!$L$15,0)-IF(AND('Bonding Program'!$P$15&lt;&gt;"",CQ$3='Bonding Program'!$P$15),'Bonding Program'!$O$15,0)-IF(AND('Bonding Program'!$R$15&lt;&gt;"",CQ$3='Bonding Program'!$R$15),'Bonding Program'!$Q$15,0),0)</f>
        <v>0</v>
      </c>
      <c r="CR156" s="19" t="n">
        <f aca="false">IF(AND('Bonding Program'!$S$15=1,CR$3='Bonding Program'!$H$15),'Bonding Program'!$AA$15,0)-IF(CR$3&lt;='Bonding Program'!$C$8,IF(AND('Bonding Program'!$K$15&lt;&gt;"",CR$3='Bonding Program'!$K$15),'Bonding Program'!$J$15,0)-IF(AND('Bonding Program'!$M$15&lt;&gt;"",CR$3='Bonding Program'!$M$15),'Bonding Program'!$L$15,0)-IF(AND('Bonding Program'!$P$15&lt;&gt;"",CR$3='Bonding Program'!$P$15),'Bonding Program'!$O$15,0)-IF(AND('Bonding Program'!$R$15&lt;&gt;"",CR$3='Bonding Program'!$R$15),'Bonding Program'!$Q$15,0),0)</f>
        <v>0</v>
      </c>
      <c r="CS156" s="19" t="n">
        <f aca="false">IF(AND('Bonding Program'!$S$15=1,CS$3='Bonding Program'!$H$15),'Bonding Program'!$AA$15,0)-IF(CS$3&lt;='Bonding Program'!$C$8,IF(AND('Bonding Program'!$K$15&lt;&gt;"",CS$3='Bonding Program'!$K$15),'Bonding Program'!$J$15,0)-IF(AND('Bonding Program'!$M$15&lt;&gt;"",CS$3='Bonding Program'!$M$15),'Bonding Program'!$L$15,0)-IF(AND('Bonding Program'!$P$15&lt;&gt;"",CS$3='Bonding Program'!$P$15),'Bonding Program'!$O$15,0)-IF(AND('Bonding Program'!$R$15&lt;&gt;"",CS$3='Bonding Program'!$R$15),'Bonding Program'!$Q$15,0),0)</f>
        <v>0</v>
      </c>
      <c r="CT156" s="19" t="n">
        <f aca="false">IF(AND('Bonding Program'!$S$15=1,CT$3='Bonding Program'!$H$15),'Bonding Program'!$AA$15,0)-IF(CT$3&lt;='Bonding Program'!$C$8,IF(AND('Bonding Program'!$K$15&lt;&gt;"",CT$3='Bonding Program'!$K$15),'Bonding Program'!$J$15,0)-IF(AND('Bonding Program'!$M$15&lt;&gt;"",CT$3='Bonding Program'!$M$15),'Bonding Program'!$L$15,0)-IF(AND('Bonding Program'!$P$15&lt;&gt;"",CT$3='Bonding Program'!$P$15),'Bonding Program'!$O$15,0)-IF(AND('Bonding Program'!$R$15&lt;&gt;"",CT$3='Bonding Program'!$R$15),'Bonding Program'!$Q$15,0),0)</f>
        <v>0</v>
      </c>
      <c r="CU156" s="19" t="n">
        <f aca="false">IF(AND('Bonding Program'!$S$15=1,CU$3='Bonding Program'!$H$15),'Bonding Program'!$AA$15,0)-IF(CU$3&lt;='Bonding Program'!$C$8,IF(AND('Bonding Program'!$K$15&lt;&gt;"",CU$3='Bonding Program'!$K$15),'Bonding Program'!$J$15,0)-IF(AND('Bonding Program'!$M$15&lt;&gt;"",CU$3='Bonding Program'!$M$15),'Bonding Program'!$L$15,0)-IF(AND('Bonding Program'!$P$15&lt;&gt;"",CU$3='Bonding Program'!$P$15),'Bonding Program'!$O$15,0)-IF(AND('Bonding Program'!$R$15&lt;&gt;"",CU$3='Bonding Program'!$R$15),'Bonding Program'!$Q$15,0),0)</f>
        <v>0</v>
      </c>
      <c r="CV156" s="19" t="n">
        <f aca="false">IF(AND('Bonding Program'!$S$15=1,CV$3='Bonding Program'!$H$15),'Bonding Program'!$AA$15,0)-IF(CV$3&lt;='Bonding Program'!$C$8,IF(AND('Bonding Program'!$K$15&lt;&gt;"",CV$3='Bonding Program'!$K$15),'Bonding Program'!$J$15,0)-IF(AND('Bonding Program'!$M$15&lt;&gt;"",CV$3='Bonding Program'!$M$15),'Bonding Program'!$L$15,0)-IF(AND('Bonding Program'!$P$15&lt;&gt;"",CV$3='Bonding Program'!$P$15),'Bonding Program'!$O$15,0)-IF(AND('Bonding Program'!$R$15&lt;&gt;"",CV$3='Bonding Program'!$R$15),'Bonding Program'!$Q$15,0),0)</f>
        <v>0</v>
      </c>
      <c r="CW156" s="19" t="n">
        <f aca="false">IF(AND('Bonding Program'!$S$15=1,CW$3='Bonding Program'!$H$15),'Bonding Program'!$AA$15,0)-IF(CW$3&lt;='Bonding Program'!$C$8,IF(AND('Bonding Program'!$K$15&lt;&gt;"",CW$3='Bonding Program'!$K$15),'Bonding Program'!$J$15,0)-IF(AND('Bonding Program'!$M$15&lt;&gt;"",CW$3='Bonding Program'!$M$15),'Bonding Program'!$L$15,0)-IF(AND('Bonding Program'!$P$15&lt;&gt;"",CW$3='Bonding Program'!$P$15),'Bonding Program'!$O$15,0)-IF(AND('Bonding Program'!$R$15&lt;&gt;"",CW$3='Bonding Program'!$R$15),'Bonding Program'!$Q$15,0),0)</f>
        <v>0</v>
      </c>
      <c r="CX156" s="19" t="n">
        <f aca="false">IF(AND('Bonding Program'!$S$15=1,CX$3='Bonding Program'!$H$15),'Bonding Program'!$AA$15,0)-IF(CX$3&lt;='Bonding Program'!$C$8,IF(AND('Bonding Program'!$K$15&lt;&gt;"",CX$3='Bonding Program'!$K$15),'Bonding Program'!$J$15,0)-IF(AND('Bonding Program'!$M$15&lt;&gt;"",CX$3='Bonding Program'!$M$15),'Bonding Program'!$L$15,0)-IF(AND('Bonding Program'!$P$15&lt;&gt;"",CX$3='Bonding Program'!$P$15),'Bonding Program'!$O$15,0)-IF(AND('Bonding Program'!$R$15&lt;&gt;"",CX$3='Bonding Program'!$R$15),'Bonding Program'!$Q$15,0),0)</f>
        <v>0</v>
      </c>
      <c r="CY156" s="19" t="n">
        <f aca="false">IF(AND('Bonding Program'!$S$15=1,CY$3='Bonding Program'!$H$15),'Bonding Program'!$AA$15,0)-IF(CY$3&lt;='Bonding Program'!$C$8,IF(AND('Bonding Program'!$K$15&lt;&gt;"",CY$3='Bonding Program'!$K$15),'Bonding Program'!$J$15,0)-IF(AND('Bonding Program'!$M$15&lt;&gt;"",CY$3='Bonding Program'!$M$15),'Bonding Program'!$L$15,0)-IF(AND('Bonding Program'!$P$15&lt;&gt;"",CY$3='Bonding Program'!$P$15),'Bonding Program'!$O$15,0)-IF(AND('Bonding Program'!$R$15&lt;&gt;"",CY$3='Bonding Program'!$R$15),'Bonding Program'!$Q$15,0),0)</f>
        <v>0</v>
      </c>
      <c r="CZ156" s="19" t="n">
        <f aca="false">IF(AND('Bonding Program'!$S$15=1,CZ$3='Bonding Program'!$H$15),'Bonding Program'!$AA$15,0)-IF(CZ$3&lt;='Bonding Program'!$C$8,IF(AND('Bonding Program'!$K$15&lt;&gt;"",CZ$3='Bonding Program'!$K$15),'Bonding Program'!$J$15,0)-IF(AND('Bonding Program'!$M$15&lt;&gt;"",CZ$3='Bonding Program'!$M$15),'Bonding Program'!$L$15,0)-IF(AND('Bonding Program'!$P$15&lt;&gt;"",CZ$3='Bonding Program'!$P$15),'Bonding Program'!$O$15,0)-IF(AND('Bonding Program'!$R$15&lt;&gt;"",CZ$3='Bonding Program'!$R$15),'Bonding Program'!$Q$15,0),0)</f>
        <v>0</v>
      </c>
      <c r="DA156" s="19" t="n">
        <f aca="false">IF(AND('Bonding Program'!$S$15=1,DA$3='Bonding Program'!$H$15),'Bonding Program'!$AA$15,0)-IF(DA$3&lt;='Bonding Program'!$C$8,IF(AND('Bonding Program'!$K$15&lt;&gt;"",DA$3='Bonding Program'!$K$15),'Bonding Program'!$J$15,0)-IF(AND('Bonding Program'!$M$15&lt;&gt;"",DA$3='Bonding Program'!$M$15),'Bonding Program'!$L$15,0)-IF(AND('Bonding Program'!$P$15&lt;&gt;"",DA$3='Bonding Program'!$P$15),'Bonding Program'!$O$15,0)-IF(AND('Bonding Program'!$R$15&lt;&gt;"",DA$3='Bonding Program'!$R$15),'Bonding Program'!$Q$15,0),0)</f>
        <v>0</v>
      </c>
      <c r="DB156" s="19" t="n">
        <f aca="false">IF(AND('Bonding Program'!$S$15=1,DB$3='Bonding Program'!$H$15),'Bonding Program'!$AA$15,0)-IF(DB$3&lt;='Bonding Program'!$C$8,IF(AND('Bonding Program'!$K$15&lt;&gt;"",DB$3='Bonding Program'!$K$15),'Bonding Program'!$J$15,0)-IF(AND('Bonding Program'!$M$15&lt;&gt;"",DB$3='Bonding Program'!$M$15),'Bonding Program'!$L$15,0)-IF(AND('Bonding Program'!$P$15&lt;&gt;"",DB$3='Bonding Program'!$P$15),'Bonding Program'!$O$15,0)-IF(AND('Bonding Program'!$R$15&lt;&gt;"",DB$3='Bonding Program'!$R$15),'Bonding Program'!$Q$15,0),0)</f>
        <v>0</v>
      </c>
      <c r="DC156" s="19" t="n">
        <f aca="false">IF(AND('Bonding Program'!$S$15=1,DC$3='Bonding Program'!$H$15),'Bonding Program'!$AA$15,0)-IF(DC$3&lt;='Bonding Program'!$C$8,IF(AND('Bonding Program'!$K$15&lt;&gt;"",DC$3='Bonding Program'!$K$15),'Bonding Program'!$J$15,0)-IF(AND('Bonding Program'!$M$15&lt;&gt;"",DC$3='Bonding Program'!$M$15),'Bonding Program'!$L$15,0)-IF(AND('Bonding Program'!$P$15&lt;&gt;"",DC$3='Bonding Program'!$P$15),'Bonding Program'!$O$15,0)-IF(AND('Bonding Program'!$R$15&lt;&gt;"",DC$3='Bonding Program'!$R$15),'Bonding Program'!$Q$15,0),0)</f>
        <v>0</v>
      </c>
      <c r="DD156" s="19" t="n">
        <f aca="false">IF(AND('Bonding Program'!$S$15=1,DD$3='Bonding Program'!$H$15),'Bonding Program'!$AA$15,0)-IF(DD$3&lt;='Bonding Program'!$C$8,IF(AND('Bonding Program'!$K$15&lt;&gt;"",DD$3='Bonding Program'!$K$15),'Bonding Program'!$J$15,0)-IF(AND('Bonding Program'!$M$15&lt;&gt;"",DD$3='Bonding Program'!$M$15),'Bonding Program'!$L$15,0)-IF(AND('Bonding Program'!$P$15&lt;&gt;"",DD$3='Bonding Program'!$P$15),'Bonding Program'!$O$15,0)-IF(AND('Bonding Program'!$R$15&lt;&gt;"",DD$3='Bonding Program'!$R$15),'Bonding Program'!$Q$15,0),0)</f>
        <v>0</v>
      </c>
      <c r="DE156" s="19" t="n">
        <f aca="false">IF(AND('Bonding Program'!$S$15=1,DE$3='Bonding Program'!$H$15),'Bonding Program'!$AA$15,0)-IF(DE$3&lt;='Bonding Program'!$C$8,IF(AND('Bonding Program'!$K$15&lt;&gt;"",DE$3='Bonding Program'!$K$15),'Bonding Program'!$J$15,0)-IF(AND('Bonding Program'!$M$15&lt;&gt;"",DE$3='Bonding Program'!$M$15),'Bonding Program'!$L$15,0)-IF(AND('Bonding Program'!$P$15&lt;&gt;"",DE$3='Bonding Program'!$P$15),'Bonding Program'!$O$15,0)-IF(AND('Bonding Program'!$R$15&lt;&gt;"",DE$3='Bonding Program'!$R$15),'Bonding Program'!$Q$15,0),0)</f>
        <v>0</v>
      </c>
    </row>
    <row r="157" customFormat="false" ht="15" hidden="false" customHeight="true" outlineLevel="1" collapsed="false">
      <c r="A157" s="28" t="s">
        <v>12</v>
      </c>
      <c r="B157" s="19" t="n">
        <f aca="false">IF(AND('Bonding Program'!$S$16=1,B$3='Bonding Program'!$H$16),'Bonding Program'!$AA$16,0)-IF(B$3&lt;='Bonding Program'!$C$8,IF(AND('Bonding Program'!$K$16&lt;&gt;"",B$3='Bonding Program'!$K$16),'Bonding Program'!$J$16,0)-IF(AND('Bonding Program'!$M$16&lt;&gt;"",B$3='Bonding Program'!$M$16),'Bonding Program'!$L$16,0)-IF(AND('Bonding Program'!$P$16&lt;&gt;"",B$3='Bonding Program'!$P$16),'Bonding Program'!$O$16,0)-IF(AND('Bonding Program'!$R$16&lt;&gt;"",B$3='Bonding Program'!$R$16),'Bonding Program'!$Q$16,0),0)</f>
        <v>0</v>
      </c>
      <c r="C157" s="19" t="n">
        <f aca="false">IF(AND('Bonding Program'!$S$16=1,C$3='Bonding Program'!$H$16),'Bonding Program'!$AA$16,0)-IF(C$3&lt;='Bonding Program'!$C$8,IF(AND('Bonding Program'!$K$16&lt;&gt;"",C$3='Bonding Program'!$K$16),'Bonding Program'!$J$16,0)-IF(AND('Bonding Program'!$M$16&lt;&gt;"",C$3='Bonding Program'!$M$16),'Bonding Program'!$L$16,0)-IF(AND('Bonding Program'!$P$16&lt;&gt;"",C$3='Bonding Program'!$P$16),'Bonding Program'!$O$16,0)-IF(AND('Bonding Program'!$R$16&lt;&gt;"",C$3='Bonding Program'!$R$16),'Bonding Program'!$Q$16,0),0)</f>
        <v>0</v>
      </c>
      <c r="D157" s="19" t="n">
        <f aca="false">IF(AND('Bonding Program'!$S$16=1,D$3='Bonding Program'!$H$16),'Bonding Program'!$AA$16,0)-IF(D$3&lt;='Bonding Program'!$C$8,IF(AND('Bonding Program'!$K$16&lt;&gt;"",D$3='Bonding Program'!$K$16),'Bonding Program'!$J$16,0)-IF(AND('Bonding Program'!$M$16&lt;&gt;"",D$3='Bonding Program'!$M$16),'Bonding Program'!$L$16,0)-IF(AND('Bonding Program'!$P$16&lt;&gt;"",D$3='Bonding Program'!$P$16),'Bonding Program'!$O$16,0)-IF(AND('Bonding Program'!$R$16&lt;&gt;"",D$3='Bonding Program'!$R$16),'Bonding Program'!$Q$16,0),0)</f>
        <v>0</v>
      </c>
      <c r="E157" s="19" t="n">
        <f aca="false">IF(AND('Bonding Program'!$S$16=1,E$3='Bonding Program'!$H$16),'Bonding Program'!$AA$16,0)-IF(E$3&lt;='Bonding Program'!$C$8,IF(AND('Bonding Program'!$K$16&lt;&gt;"",E$3='Bonding Program'!$K$16),'Bonding Program'!$J$16,0)-IF(AND('Bonding Program'!$M$16&lt;&gt;"",E$3='Bonding Program'!$M$16),'Bonding Program'!$L$16,0)-IF(AND('Bonding Program'!$P$16&lt;&gt;"",E$3='Bonding Program'!$P$16),'Bonding Program'!$O$16,0)-IF(AND('Bonding Program'!$R$16&lt;&gt;"",E$3='Bonding Program'!$R$16),'Bonding Program'!$Q$16,0),0)</f>
        <v>0</v>
      </c>
      <c r="F157" s="19" t="n">
        <f aca="false">IF(AND('Bonding Program'!$S$16=1,F$3='Bonding Program'!$H$16),'Bonding Program'!$AA$16,0)-IF(F$3&lt;='Bonding Program'!$C$8,IF(AND('Bonding Program'!$K$16&lt;&gt;"",F$3='Bonding Program'!$K$16),'Bonding Program'!$J$16,0)-IF(AND('Bonding Program'!$M$16&lt;&gt;"",F$3='Bonding Program'!$M$16),'Bonding Program'!$L$16,0)-IF(AND('Bonding Program'!$P$16&lt;&gt;"",F$3='Bonding Program'!$P$16),'Bonding Program'!$O$16,0)-IF(AND('Bonding Program'!$R$16&lt;&gt;"",F$3='Bonding Program'!$R$16),'Bonding Program'!$Q$16,0),0)</f>
        <v>0</v>
      </c>
      <c r="G157" s="19" t="n">
        <f aca="false">IF(AND('Bonding Program'!$S$16=1,G$3='Bonding Program'!$H$16),'Bonding Program'!$AA$16,0)-IF(G$3&lt;='Bonding Program'!$C$8,IF(AND('Bonding Program'!$K$16&lt;&gt;"",G$3='Bonding Program'!$K$16),'Bonding Program'!$J$16,0)-IF(AND('Bonding Program'!$M$16&lt;&gt;"",G$3='Bonding Program'!$M$16),'Bonding Program'!$L$16,0)-IF(AND('Bonding Program'!$P$16&lt;&gt;"",G$3='Bonding Program'!$P$16),'Bonding Program'!$O$16,0)-IF(AND('Bonding Program'!$R$16&lt;&gt;"",G$3='Bonding Program'!$R$16),'Bonding Program'!$Q$16,0),0)</f>
        <v>0</v>
      </c>
      <c r="H157" s="19" t="n">
        <f aca="false">IF(AND('Bonding Program'!$S$16=1,H$3='Bonding Program'!$H$16),'Bonding Program'!$AA$16,0)-IF(H$3&lt;='Bonding Program'!$C$8,IF(AND('Bonding Program'!$K$16&lt;&gt;"",H$3='Bonding Program'!$K$16),'Bonding Program'!$J$16,0)-IF(AND('Bonding Program'!$M$16&lt;&gt;"",H$3='Bonding Program'!$M$16),'Bonding Program'!$L$16,0)-IF(AND('Bonding Program'!$P$16&lt;&gt;"",H$3='Bonding Program'!$P$16),'Bonding Program'!$O$16,0)-IF(AND('Bonding Program'!$R$16&lt;&gt;"",H$3='Bonding Program'!$R$16),'Bonding Program'!$Q$16,0),0)</f>
        <v>-839113</v>
      </c>
      <c r="I157" s="19" t="n">
        <f aca="false">IF(AND('Bonding Program'!$S$16=1,I$3='Bonding Program'!$H$16),'Bonding Program'!$AA$16,0)-IF(I$3&lt;='Bonding Program'!$C$8,IF(AND('Bonding Program'!$K$16&lt;&gt;"",I$3='Bonding Program'!$K$16),'Bonding Program'!$J$16,0)-IF(AND('Bonding Program'!$M$16&lt;&gt;"",I$3='Bonding Program'!$M$16),'Bonding Program'!$L$16,0)-IF(AND('Bonding Program'!$P$16&lt;&gt;"",I$3='Bonding Program'!$P$16),'Bonding Program'!$O$16,0)-IF(AND('Bonding Program'!$R$16&lt;&gt;"",I$3='Bonding Program'!$R$16),'Bonding Program'!$Q$16,0),0)</f>
        <v>313735</v>
      </c>
      <c r="J157" s="19" t="n">
        <f aca="false">IF(AND('Bonding Program'!$S$16=1,J$3='Bonding Program'!$H$16),'Bonding Program'!$AA$16,0)-IF(J$3&lt;='Bonding Program'!$C$8,IF(AND('Bonding Program'!$K$16&lt;&gt;"",J$3='Bonding Program'!$K$16),'Bonding Program'!$J$16,0)-IF(AND('Bonding Program'!$M$16&lt;&gt;"",J$3='Bonding Program'!$M$16),'Bonding Program'!$L$16,0)-IF(AND('Bonding Program'!$P$16&lt;&gt;"",J$3='Bonding Program'!$P$16),'Bonding Program'!$O$16,0)-IF(AND('Bonding Program'!$R$16&lt;&gt;"",J$3='Bonding Program'!$R$16),'Bonding Program'!$Q$16,0),0)</f>
        <v>0</v>
      </c>
      <c r="K157" s="19" t="n">
        <f aca="false">IF(AND('Bonding Program'!$S$16=1,K$3='Bonding Program'!$H$16),'Bonding Program'!$AA$16,0)-IF(K$3&lt;='Bonding Program'!$C$8,IF(AND('Bonding Program'!$K$16&lt;&gt;"",K$3='Bonding Program'!$K$16),'Bonding Program'!$J$16,0)-IF(AND('Bonding Program'!$M$16&lt;&gt;"",K$3='Bonding Program'!$M$16),'Bonding Program'!$L$16,0)-IF(AND('Bonding Program'!$P$16&lt;&gt;"",K$3='Bonding Program'!$P$16),'Bonding Program'!$O$16,0)-IF(AND('Bonding Program'!$R$16&lt;&gt;"",K$3='Bonding Program'!$R$16),'Bonding Program'!$Q$16,0),0)</f>
        <v>0</v>
      </c>
      <c r="L157" s="19" t="n">
        <f aca="false">IF(AND('Bonding Program'!$S$16=1,L$3='Bonding Program'!$H$16),'Bonding Program'!$AA$16,0)-IF(L$3&lt;='Bonding Program'!$C$8,IF(AND('Bonding Program'!$K$16&lt;&gt;"",L$3='Bonding Program'!$K$16),'Bonding Program'!$J$16,0)-IF(AND('Bonding Program'!$M$16&lt;&gt;"",L$3='Bonding Program'!$M$16),'Bonding Program'!$L$16,0)-IF(AND('Bonding Program'!$P$16&lt;&gt;"",L$3='Bonding Program'!$P$16),'Bonding Program'!$O$16,0)-IF(AND('Bonding Program'!$R$16&lt;&gt;"",L$3='Bonding Program'!$R$16),'Bonding Program'!$Q$16,0),0)</f>
        <v>0</v>
      </c>
      <c r="M157" s="19" t="n">
        <f aca="false">IF(AND('Bonding Program'!$S$16=1,M$3='Bonding Program'!$H$16),'Bonding Program'!$AA$16,0)-IF(M$3&lt;='Bonding Program'!$C$8,IF(AND('Bonding Program'!$K$16&lt;&gt;"",M$3='Bonding Program'!$K$16),'Bonding Program'!$J$16,0)-IF(AND('Bonding Program'!$M$16&lt;&gt;"",M$3='Bonding Program'!$M$16),'Bonding Program'!$L$16,0)-IF(AND('Bonding Program'!$P$16&lt;&gt;"",M$3='Bonding Program'!$P$16),'Bonding Program'!$O$16,0)-IF(AND('Bonding Program'!$R$16&lt;&gt;"",M$3='Bonding Program'!$R$16),'Bonding Program'!$Q$16,0),0)</f>
        <v>0</v>
      </c>
      <c r="N157" s="19" t="n">
        <f aca="false">IF(AND('Bonding Program'!$S$16=1,N$3='Bonding Program'!$H$16),'Bonding Program'!$AA$16,0)-IF(N$3&lt;='Bonding Program'!$C$8,IF(AND('Bonding Program'!$K$16&lt;&gt;"",N$3='Bonding Program'!$K$16),'Bonding Program'!$J$16,0)-IF(AND('Bonding Program'!$M$16&lt;&gt;"",N$3='Bonding Program'!$M$16),'Bonding Program'!$L$16,0)-IF(AND('Bonding Program'!$P$16&lt;&gt;"",N$3='Bonding Program'!$P$16),'Bonding Program'!$O$16,0)-IF(AND('Bonding Program'!$R$16&lt;&gt;"",N$3='Bonding Program'!$R$16),'Bonding Program'!$Q$16,0),0)</f>
        <v>0</v>
      </c>
      <c r="O157" s="19" t="n">
        <f aca="false">IF(AND('Bonding Program'!$S$16=1,O$3='Bonding Program'!$H$16),'Bonding Program'!$AA$16,0)-IF(O$3&lt;='Bonding Program'!$C$8,IF(AND('Bonding Program'!$K$16&lt;&gt;"",O$3='Bonding Program'!$K$16),'Bonding Program'!$J$16,0)-IF(AND('Bonding Program'!$M$16&lt;&gt;"",O$3='Bonding Program'!$M$16),'Bonding Program'!$L$16,0)-IF(AND('Bonding Program'!$P$16&lt;&gt;"",O$3='Bonding Program'!$P$16),'Bonding Program'!$O$16,0)-IF(AND('Bonding Program'!$R$16&lt;&gt;"",O$3='Bonding Program'!$R$16),'Bonding Program'!$Q$16,0),0)</f>
        <v>0</v>
      </c>
      <c r="P157" s="19" t="n">
        <f aca="false">IF(AND('Bonding Program'!$S$16=1,P$3='Bonding Program'!$H$16),'Bonding Program'!$AA$16,0)-IF(P$3&lt;='Bonding Program'!$C$8,IF(AND('Bonding Program'!$K$16&lt;&gt;"",P$3='Bonding Program'!$K$16),'Bonding Program'!$J$16,0)-IF(AND('Bonding Program'!$M$16&lt;&gt;"",P$3='Bonding Program'!$M$16),'Bonding Program'!$L$16,0)-IF(AND('Bonding Program'!$P$16&lt;&gt;"",P$3='Bonding Program'!$P$16),'Bonding Program'!$O$16,0)-IF(AND('Bonding Program'!$R$16&lt;&gt;"",P$3='Bonding Program'!$R$16),'Bonding Program'!$Q$16,0),0)</f>
        <v>0</v>
      </c>
      <c r="Q157" s="19" t="n">
        <f aca="false">IF(AND('Bonding Program'!$S$16=1,Q$3='Bonding Program'!$H$16),'Bonding Program'!$AA$16,0)-IF(Q$3&lt;='Bonding Program'!$C$8,IF(AND('Bonding Program'!$K$16&lt;&gt;"",Q$3='Bonding Program'!$K$16),'Bonding Program'!$J$16,0)-IF(AND('Bonding Program'!$M$16&lt;&gt;"",Q$3='Bonding Program'!$M$16),'Bonding Program'!$L$16,0)-IF(AND('Bonding Program'!$P$16&lt;&gt;"",Q$3='Bonding Program'!$P$16),'Bonding Program'!$O$16,0)-IF(AND('Bonding Program'!$R$16&lt;&gt;"",Q$3='Bonding Program'!$R$16),'Bonding Program'!$Q$16,0),0)</f>
        <v>0</v>
      </c>
      <c r="R157" s="19" t="n">
        <f aca="false">IF(AND('Bonding Program'!$S$16=1,R$3='Bonding Program'!$H$16),'Bonding Program'!$AA$16,0)-IF(R$3&lt;='Bonding Program'!$C$8,IF(AND('Bonding Program'!$K$16&lt;&gt;"",R$3='Bonding Program'!$K$16),'Bonding Program'!$J$16,0)-IF(AND('Bonding Program'!$M$16&lt;&gt;"",R$3='Bonding Program'!$M$16),'Bonding Program'!$L$16,0)-IF(AND('Bonding Program'!$P$16&lt;&gt;"",R$3='Bonding Program'!$P$16),'Bonding Program'!$O$16,0)-IF(AND('Bonding Program'!$R$16&lt;&gt;"",R$3='Bonding Program'!$R$16),'Bonding Program'!$Q$16,0),0)</f>
        <v>0</v>
      </c>
      <c r="S157" s="19" t="n">
        <f aca="false">IF(AND('Bonding Program'!$S$16=1,S$3='Bonding Program'!$H$16),'Bonding Program'!$AA$16,0)-IF(S$3&lt;='Bonding Program'!$C$8,IF(AND('Bonding Program'!$K$16&lt;&gt;"",S$3='Bonding Program'!$K$16),'Bonding Program'!$J$16,0)-IF(AND('Bonding Program'!$M$16&lt;&gt;"",S$3='Bonding Program'!$M$16),'Bonding Program'!$L$16,0)-IF(AND('Bonding Program'!$P$16&lt;&gt;"",S$3='Bonding Program'!$P$16),'Bonding Program'!$O$16,0)-IF(AND('Bonding Program'!$R$16&lt;&gt;"",S$3='Bonding Program'!$R$16),'Bonding Program'!$Q$16,0),0)</f>
        <v>0</v>
      </c>
      <c r="T157" s="19" t="n">
        <f aca="false">IF(AND('Bonding Program'!$S$16=1,T$3='Bonding Program'!$H$16),'Bonding Program'!$AA$16,0)-IF(T$3&lt;='Bonding Program'!$C$8,IF(AND('Bonding Program'!$K$16&lt;&gt;"",T$3='Bonding Program'!$K$16),'Bonding Program'!$J$16,0)-IF(AND('Bonding Program'!$M$16&lt;&gt;"",T$3='Bonding Program'!$M$16),'Bonding Program'!$L$16,0)-IF(AND('Bonding Program'!$P$16&lt;&gt;"",T$3='Bonding Program'!$P$16),'Bonding Program'!$O$16,0)-IF(AND('Bonding Program'!$R$16&lt;&gt;"",T$3='Bonding Program'!$R$16),'Bonding Program'!$Q$16,0),0)</f>
        <v>0</v>
      </c>
      <c r="U157" s="19" t="n">
        <f aca="false">IF(AND('Bonding Program'!$S$16=1,U$3='Bonding Program'!$H$16),'Bonding Program'!$AA$16,0)-IF(U$3&lt;='Bonding Program'!$C$8,IF(AND('Bonding Program'!$K$16&lt;&gt;"",U$3='Bonding Program'!$K$16),'Bonding Program'!$J$16,0)-IF(AND('Bonding Program'!$M$16&lt;&gt;"",U$3='Bonding Program'!$M$16),'Bonding Program'!$L$16,0)-IF(AND('Bonding Program'!$P$16&lt;&gt;"",U$3='Bonding Program'!$P$16),'Bonding Program'!$O$16,0)-IF(AND('Bonding Program'!$R$16&lt;&gt;"",U$3='Bonding Program'!$R$16),'Bonding Program'!$Q$16,0),0)</f>
        <v>0</v>
      </c>
      <c r="V157" s="19" t="n">
        <f aca="false">IF(AND('Bonding Program'!$S$16=1,V$3='Bonding Program'!$H$16),'Bonding Program'!$AA$16,0)-IF(V$3&lt;='Bonding Program'!$C$8,IF(AND('Bonding Program'!$K$16&lt;&gt;"",V$3='Bonding Program'!$K$16),'Bonding Program'!$J$16,0)-IF(AND('Bonding Program'!$M$16&lt;&gt;"",V$3='Bonding Program'!$M$16),'Bonding Program'!$L$16,0)-IF(AND('Bonding Program'!$P$16&lt;&gt;"",V$3='Bonding Program'!$P$16),'Bonding Program'!$O$16,0)-IF(AND('Bonding Program'!$R$16&lt;&gt;"",V$3='Bonding Program'!$R$16),'Bonding Program'!$Q$16,0),0)</f>
        <v>0</v>
      </c>
      <c r="W157" s="19" t="n">
        <f aca="false">IF(AND('Bonding Program'!$S$16=1,W$3='Bonding Program'!$H$16),'Bonding Program'!$AA$16,0)-IF(W$3&lt;='Bonding Program'!$C$8,IF(AND('Bonding Program'!$K$16&lt;&gt;"",W$3='Bonding Program'!$K$16),'Bonding Program'!$J$16,0)-IF(AND('Bonding Program'!$M$16&lt;&gt;"",W$3='Bonding Program'!$M$16),'Bonding Program'!$L$16,0)-IF(AND('Bonding Program'!$P$16&lt;&gt;"",W$3='Bonding Program'!$P$16),'Bonding Program'!$O$16,0)-IF(AND('Bonding Program'!$R$16&lt;&gt;"",W$3='Bonding Program'!$R$16),'Bonding Program'!$Q$16,0),0)</f>
        <v>0</v>
      </c>
      <c r="X157" s="19" t="n">
        <f aca="false">IF(AND('Bonding Program'!$S$16=1,X$3='Bonding Program'!$H$16),'Bonding Program'!$AA$16,0)-IF(X$3&lt;='Bonding Program'!$C$8,IF(AND('Bonding Program'!$K$16&lt;&gt;"",X$3='Bonding Program'!$K$16),'Bonding Program'!$J$16,0)-IF(AND('Bonding Program'!$M$16&lt;&gt;"",X$3='Bonding Program'!$M$16),'Bonding Program'!$L$16,0)-IF(AND('Bonding Program'!$P$16&lt;&gt;"",X$3='Bonding Program'!$P$16),'Bonding Program'!$O$16,0)-IF(AND('Bonding Program'!$R$16&lt;&gt;"",X$3='Bonding Program'!$R$16),'Bonding Program'!$Q$16,0),0)</f>
        <v>0</v>
      </c>
      <c r="Y157" s="19" t="n">
        <f aca="false">IF(AND('Bonding Program'!$S$16=1,Y$3='Bonding Program'!$H$16),'Bonding Program'!$AA$16,0)-IF(Y$3&lt;='Bonding Program'!$C$8,IF(AND('Bonding Program'!$K$16&lt;&gt;"",Y$3='Bonding Program'!$K$16),'Bonding Program'!$J$16,0)-IF(AND('Bonding Program'!$M$16&lt;&gt;"",Y$3='Bonding Program'!$M$16),'Bonding Program'!$L$16,0)-IF(AND('Bonding Program'!$P$16&lt;&gt;"",Y$3='Bonding Program'!$P$16),'Bonding Program'!$O$16,0)-IF(AND('Bonding Program'!$R$16&lt;&gt;"",Y$3='Bonding Program'!$R$16),'Bonding Program'!$Q$16,0),0)</f>
        <v>0</v>
      </c>
      <c r="Z157" s="19" t="n">
        <f aca="false">IF(AND('Bonding Program'!$S$16=1,Z$3='Bonding Program'!$H$16),'Bonding Program'!$AA$16,0)-IF(Z$3&lt;='Bonding Program'!$C$8,IF(AND('Bonding Program'!$K$16&lt;&gt;"",Z$3='Bonding Program'!$K$16),'Bonding Program'!$J$16,0)-IF(AND('Bonding Program'!$M$16&lt;&gt;"",Z$3='Bonding Program'!$M$16),'Bonding Program'!$L$16,0)-IF(AND('Bonding Program'!$P$16&lt;&gt;"",Z$3='Bonding Program'!$P$16),'Bonding Program'!$O$16,0)-IF(AND('Bonding Program'!$R$16&lt;&gt;"",Z$3='Bonding Program'!$R$16),'Bonding Program'!$Q$16,0),0)</f>
        <v>0</v>
      </c>
      <c r="AA157" s="19" t="n">
        <f aca="false">IF(AND('Bonding Program'!$S$16=1,AA$3='Bonding Program'!$H$16),'Bonding Program'!$AA$16,0)-IF(AA$3&lt;='Bonding Program'!$C$8,IF(AND('Bonding Program'!$K$16&lt;&gt;"",AA$3='Bonding Program'!$K$16),'Bonding Program'!$J$16,0)-IF(AND('Bonding Program'!$M$16&lt;&gt;"",AA$3='Bonding Program'!$M$16),'Bonding Program'!$L$16,0)-IF(AND('Bonding Program'!$P$16&lt;&gt;"",AA$3='Bonding Program'!$P$16),'Bonding Program'!$O$16,0)-IF(AND('Bonding Program'!$R$16&lt;&gt;"",AA$3='Bonding Program'!$R$16),'Bonding Program'!$Q$16,0),0)</f>
        <v>0</v>
      </c>
      <c r="AB157" s="19" t="n">
        <f aca="false">IF(AND('Bonding Program'!$S$16=1,AB$3='Bonding Program'!$H$16),'Bonding Program'!$AA$16,0)-IF(AB$3&lt;='Bonding Program'!$C$8,IF(AND('Bonding Program'!$K$16&lt;&gt;"",AB$3='Bonding Program'!$K$16),'Bonding Program'!$J$16,0)-IF(AND('Bonding Program'!$M$16&lt;&gt;"",AB$3='Bonding Program'!$M$16),'Bonding Program'!$L$16,0)-IF(AND('Bonding Program'!$P$16&lt;&gt;"",AB$3='Bonding Program'!$P$16),'Bonding Program'!$O$16,0)-IF(AND('Bonding Program'!$R$16&lt;&gt;"",AB$3='Bonding Program'!$R$16),'Bonding Program'!$Q$16,0),0)</f>
        <v>0</v>
      </c>
      <c r="AC157" s="19" t="n">
        <f aca="false">IF(AND('Bonding Program'!$S$16=1,AC$3='Bonding Program'!$H$16),'Bonding Program'!$AA$16,0)-IF(AC$3&lt;='Bonding Program'!$C$8,IF(AND('Bonding Program'!$K$16&lt;&gt;"",AC$3='Bonding Program'!$K$16),'Bonding Program'!$J$16,0)-IF(AND('Bonding Program'!$M$16&lt;&gt;"",AC$3='Bonding Program'!$M$16),'Bonding Program'!$L$16,0)-IF(AND('Bonding Program'!$P$16&lt;&gt;"",AC$3='Bonding Program'!$P$16),'Bonding Program'!$O$16,0)-IF(AND('Bonding Program'!$R$16&lt;&gt;"",AC$3='Bonding Program'!$R$16),'Bonding Program'!$Q$16,0),0)</f>
        <v>0</v>
      </c>
      <c r="AD157" s="19" t="n">
        <f aca="false">IF(AND('Bonding Program'!$S$16=1,AD$3='Bonding Program'!$H$16),'Bonding Program'!$AA$16,0)-IF(AD$3&lt;='Bonding Program'!$C$8,IF(AND('Bonding Program'!$K$16&lt;&gt;"",AD$3='Bonding Program'!$K$16),'Bonding Program'!$J$16,0)-IF(AND('Bonding Program'!$M$16&lt;&gt;"",AD$3='Bonding Program'!$M$16),'Bonding Program'!$L$16,0)-IF(AND('Bonding Program'!$P$16&lt;&gt;"",AD$3='Bonding Program'!$P$16),'Bonding Program'!$O$16,0)-IF(AND('Bonding Program'!$R$16&lt;&gt;"",AD$3='Bonding Program'!$R$16),'Bonding Program'!$Q$16,0),0)</f>
        <v>0</v>
      </c>
      <c r="AE157" s="19" t="n">
        <f aca="false">IF(AND('Bonding Program'!$S$16=1,AE$3='Bonding Program'!$H$16),'Bonding Program'!$AA$16,0)-IF(AE$3&lt;='Bonding Program'!$C$8,IF(AND('Bonding Program'!$K$16&lt;&gt;"",AE$3='Bonding Program'!$K$16),'Bonding Program'!$J$16,0)-IF(AND('Bonding Program'!$M$16&lt;&gt;"",AE$3='Bonding Program'!$M$16),'Bonding Program'!$L$16,0)-IF(AND('Bonding Program'!$P$16&lt;&gt;"",AE$3='Bonding Program'!$P$16),'Bonding Program'!$O$16,0)-IF(AND('Bonding Program'!$R$16&lt;&gt;"",AE$3='Bonding Program'!$R$16),'Bonding Program'!$Q$16,0),0)</f>
        <v>0</v>
      </c>
      <c r="AF157" s="19" t="n">
        <f aca="false">IF(AND('Bonding Program'!$S$16=1,AF$3='Bonding Program'!$H$16),'Bonding Program'!$AA$16,0)-IF(AF$3&lt;='Bonding Program'!$C$8,IF(AND('Bonding Program'!$K$16&lt;&gt;"",AF$3='Bonding Program'!$K$16),'Bonding Program'!$J$16,0)-IF(AND('Bonding Program'!$M$16&lt;&gt;"",AF$3='Bonding Program'!$M$16),'Bonding Program'!$L$16,0)-IF(AND('Bonding Program'!$P$16&lt;&gt;"",AF$3='Bonding Program'!$P$16),'Bonding Program'!$O$16,0)-IF(AND('Bonding Program'!$R$16&lt;&gt;"",AF$3='Bonding Program'!$R$16),'Bonding Program'!$Q$16,0),0)</f>
        <v>0</v>
      </c>
      <c r="AG157" s="19" t="n">
        <f aca="false">IF(AND('Bonding Program'!$S$16=1,AG$3='Bonding Program'!$H$16),'Bonding Program'!$AA$16,0)-IF(AG$3&lt;='Bonding Program'!$C$8,IF(AND('Bonding Program'!$K$16&lt;&gt;"",AG$3='Bonding Program'!$K$16),'Bonding Program'!$J$16,0)-IF(AND('Bonding Program'!$M$16&lt;&gt;"",AG$3='Bonding Program'!$M$16),'Bonding Program'!$L$16,0)-IF(AND('Bonding Program'!$P$16&lt;&gt;"",AG$3='Bonding Program'!$P$16),'Bonding Program'!$O$16,0)-IF(AND('Bonding Program'!$R$16&lt;&gt;"",AG$3='Bonding Program'!$R$16),'Bonding Program'!$Q$16,0),0)</f>
        <v>0</v>
      </c>
      <c r="AH157" s="19" t="n">
        <f aca="false">IF(AND('Bonding Program'!$S$16=1,AH$3='Bonding Program'!$H$16),'Bonding Program'!$AA$16,0)-IF(AH$3&lt;='Bonding Program'!$C$8,IF(AND('Bonding Program'!$K$16&lt;&gt;"",AH$3='Bonding Program'!$K$16),'Bonding Program'!$J$16,0)-IF(AND('Bonding Program'!$M$16&lt;&gt;"",AH$3='Bonding Program'!$M$16),'Bonding Program'!$L$16,0)-IF(AND('Bonding Program'!$P$16&lt;&gt;"",AH$3='Bonding Program'!$P$16),'Bonding Program'!$O$16,0)-IF(AND('Bonding Program'!$R$16&lt;&gt;"",AH$3='Bonding Program'!$R$16),'Bonding Program'!$Q$16,0),0)</f>
        <v>0</v>
      </c>
      <c r="AI157" s="19" t="n">
        <f aca="false">IF(AND('Bonding Program'!$S$16=1,AI$3='Bonding Program'!$H$16),'Bonding Program'!$AA$16,0)-IF(AI$3&lt;='Bonding Program'!$C$8,IF(AND('Bonding Program'!$K$16&lt;&gt;"",AI$3='Bonding Program'!$K$16),'Bonding Program'!$J$16,0)-IF(AND('Bonding Program'!$M$16&lt;&gt;"",AI$3='Bonding Program'!$M$16),'Bonding Program'!$L$16,0)-IF(AND('Bonding Program'!$P$16&lt;&gt;"",AI$3='Bonding Program'!$P$16),'Bonding Program'!$O$16,0)-IF(AND('Bonding Program'!$R$16&lt;&gt;"",AI$3='Bonding Program'!$R$16),'Bonding Program'!$Q$16,0),0)</f>
        <v>0</v>
      </c>
      <c r="AJ157" s="19" t="n">
        <f aca="false">IF(AND('Bonding Program'!$S$16=1,AJ$3='Bonding Program'!$H$16),'Bonding Program'!$AA$16,0)-IF(AJ$3&lt;='Bonding Program'!$C$8,IF(AND('Bonding Program'!$K$16&lt;&gt;"",AJ$3='Bonding Program'!$K$16),'Bonding Program'!$J$16,0)-IF(AND('Bonding Program'!$M$16&lt;&gt;"",AJ$3='Bonding Program'!$M$16),'Bonding Program'!$L$16,0)-IF(AND('Bonding Program'!$P$16&lt;&gt;"",AJ$3='Bonding Program'!$P$16),'Bonding Program'!$O$16,0)-IF(AND('Bonding Program'!$R$16&lt;&gt;"",AJ$3='Bonding Program'!$R$16),'Bonding Program'!$Q$16,0),0)</f>
        <v>0</v>
      </c>
      <c r="AK157" s="19" t="n">
        <f aca="false">IF(AND('Bonding Program'!$S$16=1,AK$3='Bonding Program'!$H$16),'Bonding Program'!$AA$16,0)-IF(AK$3&lt;='Bonding Program'!$C$8,IF(AND('Bonding Program'!$K$16&lt;&gt;"",AK$3='Bonding Program'!$K$16),'Bonding Program'!$J$16,0)-IF(AND('Bonding Program'!$M$16&lt;&gt;"",AK$3='Bonding Program'!$M$16),'Bonding Program'!$L$16,0)-IF(AND('Bonding Program'!$P$16&lt;&gt;"",AK$3='Bonding Program'!$P$16),'Bonding Program'!$O$16,0)-IF(AND('Bonding Program'!$R$16&lt;&gt;"",AK$3='Bonding Program'!$R$16),'Bonding Program'!$Q$16,0),0)</f>
        <v>0</v>
      </c>
      <c r="AL157" s="19" t="n">
        <f aca="false">IF(AND('Bonding Program'!$S$16=1,AL$3='Bonding Program'!$H$16),'Bonding Program'!$AA$16,0)-IF(AL$3&lt;='Bonding Program'!$C$8,IF(AND('Bonding Program'!$K$16&lt;&gt;"",AL$3='Bonding Program'!$K$16),'Bonding Program'!$J$16,0)-IF(AND('Bonding Program'!$M$16&lt;&gt;"",AL$3='Bonding Program'!$M$16),'Bonding Program'!$L$16,0)-IF(AND('Bonding Program'!$P$16&lt;&gt;"",AL$3='Bonding Program'!$P$16),'Bonding Program'!$O$16,0)-IF(AND('Bonding Program'!$R$16&lt;&gt;"",AL$3='Bonding Program'!$R$16),'Bonding Program'!$Q$16,0),0)</f>
        <v>0</v>
      </c>
      <c r="AM157" s="19" t="n">
        <f aca="false">IF(AND('Bonding Program'!$S$16=1,AM$3='Bonding Program'!$H$16),'Bonding Program'!$AA$16,0)-IF(AM$3&lt;='Bonding Program'!$C$8,IF(AND('Bonding Program'!$K$16&lt;&gt;"",AM$3='Bonding Program'!$K$16),'Bonding Program'!$J$16,0)-IF(AND('Bonding Program'!$M$16&lt;&gt;"",AM$3='Bonding Program'!$M$16),'Bonding Program'!$L$16,0)-IF(AND('Bonding Program'!$P$16&lt;&gt;"",AM$3='Bonding Program'!$P$16),'Bonding Program'!$O$16,0)-IF(AND('Bonding Program'!$R$16&lt;&gt;"",AM$3='Bonding Program'!$R$16),'Bonding Program'!$Q$16,0),0)</f>
        <v>0</v>
      </c>
      <c r="AN157" s="19" t="n">
        <f aca="false">IF(AND('Bonding Program'!$S$16=1,AN$3='Bonding Program'!$H$16),'Bonding Program'!$AA$16,0)-IF(AN$3&lt;='Bonding Program'!$C$8,IF(AND('Bonding Program'!$K$16&lt;&gt;"",AN$3='Bonding Program'!$K$16),'Bonding Program'!$J$16,0)-IF(AND('Bonding Program'!$M$16&lt;&gt;"",AN$3='Bonding Program'!$M$16),'Bonding Program'!$L$16,0)-IF(AND('Bonding Program'!$P$16&lt;&gt;"",AN$3='Bonding Program'!$P$16),'Bonding Program'!$O$16,0)-IF(AND('Bonding Program'!$R$16&lt;&gt;"",AN$3='Bonding Program'!$R$16),'Bonding Program'!$Q$16,0),0)</f>
        <v>0</v>
      </c>
      <c r="AO157" s="19" t="n">
        <f aca="false">IF(AND('Bonding Program'!$S$16=1,AO$3='Bonding Program'!$H$16),'Bonding Program'!$AA$16,0)-IF(AO$3&lt;='Bonding Program'!$C$8,IF(AND('Bonding Program'!$K$16&lt;&gt;"",AO$3='Bonding Program'!$K$16),'Bonding Program'!$J$16,0)-IF(AND('Bonding Program'!$M$16&lt;&gt;"",AO$3='Bonding Program'!$M$16),'Bonding Program'!$L$16,0)-IF(AND('Bonding Program'!$P$16&lt;&gt;"",AO$3='Bonding Program'!$P$16),'Bonding Program'!$O$16,0)-IF(AND('Bonding Program'!$R$16&lt;&gt;"",AO$3='Bonding Program'!$R$16),'Bonding Program'!$Q$16,0),0)</f>
        <v>0</v>
      </c>
      <c r="AP157" s="19" t="n">
        <f aca="false">IF(AND('Bonding Program'!$S$16=1,AP$3='Bonding Program'!$H$16),'Bonding Program'!$AA$16,0)-IF(AP$3&lt;='Bonding Program'!$C$8,IF(AND('Bonding Program'!$K$16&lt;&gt;"",AP$3='Bonding Program'!$K$16),'Bonding Program'!$J$16,0)-IF(AND('Bonding Program'!$M$16&lt;&gt;"",AP$3='Bonding Program'!$M$16),'Bonding Program'!$L$16,0)-IF(AND('Bonding Program'!$P$16&lt;&gt;"",AP$3='Bonding Program'!$P$16),'Bonding Program'!$O$16,0)-IF(AND('Bonding Program'!$R$16&lt;&gt;"",AP$3='Bonding Program'!$R$16),'Bonding Program'!$Q$16,0),0)</f>
        <v>0</v>
      </c>
      <c r="AQ157" s="19" t="n">
        <f aca="false">IF(AND('Bonding Program'!$S$16=1,AQ$3='Bonding Program'!$H$16),'Bonding Program'!$AA$16,0)-IF(AQ$3&lt;='Bonding Program'!$C$8,IF(AND('Bonding Program'!$K$16&lt;&gt;"",AQ$3='Bonding Program'!$K$16),'Bonding Program'!$J$16,0)-IF(AND('Bonding Program'!$M$16&lt;&gt;"",AQ$3='Bonding Program'!$M$16),'Bonding Program'!$L$16,0)-IF(AND('Bonding Program'!$P$16&lt;&gt;"",AQ$3='Bonding Program'!$P$16),'Bonding Program'!$O$16,0)-IF(AND('Bonding Program'!$R$16&lt;&gt;"",AQ$3='Bonding Program'!$R$16),'Bonding Program'!$Q$16,0),0)</f>
        <v>0</v>
      </c>
      <c r="AR157" s="19" t="n">
        <f aca="false">IF(AND('Bonding Program'!$S$16=1,AR$3='Bonding Program'!$H$16),'Bonding Program'!$AA$16,0)-IF(AR$3&lt;='Bonding Program'!$C$8,IF(AND('Bonding Program'!$K$16&lt;&gt;"",AR$3='Bonding Program'!$K$16),'Bonding Program'!$J$16,0)-IF(AND('Bonding Program'!$M$16&lt;&gt;"",AR$3='Bonding Program'!$M$16),'Bonding Program'!$L$16,0)-IF(AND('Bonding Program'!$P$16&lt;&gt;"",AR$3='Bonding Program'!$P$16),'Bonding Program'!$O$16,0)-IF(AND('Bonding Program'!$R$16&lt;&gt;"",AR$3='Bonding Program'!$R$16),'Bonding Program'!$Q$16,0),0)</f>
        <v>0</v>
      </c>
      <c r="AS157" s="19" t="n">
        <f aca="false">IF(AND('Bonding Program'!$S$16=1,AS$3='Bonding Program'!$H$16),'Bonding Program'!$AA$16,0)-IF(AS$3&lt;='Bonding Program'!$C$8,IF(AND('Bonding Program'!$K$16&lt;&gt;"",AS$3='Bonding Program'!$K$16),'Bonding Program'!$J$16,0)-IF(AND('Bonding Program'!$M$16&lt;&gt;"",AS$3='Bonding Program'!$M$16),'Bonding Program'!$L$16,0)-IF(AND('Bonding Program'!$P$16&lt;&gt;"",AS$3='Bonding Program'!$P$16),'Bonding Program'!$O$16,0)-IF(AND('Bonding Program'!$R$16&lt;&gt;"",AS$3='Bonding Program'!$R$16),'Bonding Program'!$Q$16,0),0)</f>
        <v>0</v>
      </c>
      <c r="AT157" s="19" t="n">
        <f aca="false">IF(AND('Bonding Program'!$S$16=1,AT$3='Bonding Program'!$H$16),'Bonding Program'!$AA$16,0)-IF(AT$3&lt;='Bonding Program'!$C$8,IF(AND('Bonding Program'!$K$16&lt;&gt;"",AT$3='Bonding Program'!$K$16),'Bonding Program'!$J$16,0)-IF(AND('Bonding Program'!$M$16&lt;&gt;"",AT$3='Bonding Program'!$M$16),'Bonding Program'!$L$16,0)-IF(AND('Bonding Program'!$P$16&lt;&gt;"",AT$3='Bonding Program'!$P$16),'Bonding Program'!$O$16,0)-IF(AND('Bonding Program'!$R$16&lt;&gt;"",AT$3='Bonding Program'!$R$16),'Bonding Program'!$Q$16,0),0)</f>
        <v>0</v>
      </c>
      <c r="AU157" s="19" t="n">
        <f aca="false">IF(AND('Bonding Program'!$S$16=1,AU$3='Bonding Program'!$H$16),'Bonding Program'!$AA$16,0)-IF(AU$3&lt;='Bonding Program'!$C$8,IF(AND('Bonding Program'!$K$16&lt;&gt;"",AU$3='Bonding Program'!$K$16),'Bonding Program'!$J$16,0)-IF(AND('Bonding Program'!$M$16&lt;&gt;"",AU$3='Bonding Program'!$M$16),'Bonding Program'!$L$16,0)-IF(AND('Bonding Program'!$P$16&lt;&gt;"",AU$3='Bonding Program'!$P$16),'Bonding Program'!$O$16,0)-IF(AND('Bonding Program'!$R$16&lt;&gt;"",AU$3='Bonding Program'!$R$16),'Bonding Program'!$Q$16,0),0)</f>
        <v>0</v>
      </c>
      <c r="AV157" s="19" t="n">
        <f aca="false">IF(AND('Bonding Program'!$S$16=1,AV$3='Bonding Program'!$H$16),'Bonding Program'!$AA$16,0)-IF(AV$3&lt;='Bonding Program'!$C$8,IF(AND('Bonding Program'!$K$16&lt;&gt;"",AV$3='Bonding Program'!$K$16),'Bonding Program'!$J$16,0)-IF(AND('Bonding Program'!$M$16&lt;&gt;"",AV$3='Bonding Program'!$M$16),'Bonding Program'!$L$16,0)-IF(AND('Bonding Program'!$P$16&lt;&gt;"",AV$3='Bonding Program'!$P$16),'Bonding Program'!$O$16,0)-IF(AND('Bonding Program'!$R$16&lt;&gt;"",AV$3='Bonding Program'!$R$16),'Bonding Program'!$Q$16,0),0)</f>
        <v>0</v>
      </c>
      <c r="AW157" s="19" t="n">
        <f aca="false">IF(AND('Bonding Program'!$S$16=1,AW$3='Bonding Program'!$H$16),'Bonding Program'!$AA$16,0)-IF(AW$3&lt;='Bonding Program'!$C$8,IF(AND('Bonding Program'!$K$16&lt;&gt;"",AW$3='Bonding Program'!$K$16),'Bonding Program'!$J$16,0)-IF(AND('Bonding Program'!$M$16&lt;&gt;"",AW$3='Bonding Program'!$M$16),'Bonding Program'!$L$16,0)-IF(AND('Bonding Program'!$P$16&lt;&gt;"",AW$3='Bonding Program'!$P$16),'Bonding Program'!$O$16,0)-IF(AND('Bonding Program'!$R$16&lt;&gt;"",AW$3='Bonding Program'!$R$16),'Bonding Program'!$Q$16,0),0)</f>
        <v>0</v>
      </c>
      <c r="AX157" s="19" t="n">
        <f aca="false">IF(AND('Bonding Program'!$S$16=1,AX$3='Bonding Program'!$H$16),'Bonding Program'!$AA$16,0)-IF(AX$3&lt;='Bonding Program'!$C$8,IF(AND('Bonding Program'!$K$16&lt;&gt;"",AX$3='Bonding Program'!$K$16),'Bonding Program'!$J$16,0)-IF(AND('Bonding Program'!$M$16&lt;&gt;"",AX$3='Bonding Program'!$M$16),'Bonding Program'!$L$16,0)-IF(AND('Bonding Program'!$P$16&lt;&gt;"",AX$3='Bonding Program'!$P$16),'Bonding Program'!$O$16,0)-IF(AND('Bonding Program'!$R$16&lt;&gt;"",AX$3='Bonding Program'!$R$16),'Bonding Program'!$Q$16,0),0)</f>
        <v>0</v>
      </c>
      <c r="AY157" s="19" t="n">
        <f aca="false">IF(AND('Bonding Program'!$S$16=1,AY$3='Bonding Program'!$H$16),'Bonding Program'!$AA$16,0)-IF(AY$3&lt;='Bonding Program'!$C$8,IF(AND('Bonding Program'!$K$16&lt;&gt;"",AY$3='Bonding Program'!$K$16),'Bonding Program'!$J$16,0)-IF(AND('Bonding Program'!$M$16&lt;&gt;"",AY$3='Bonding Program'!$M$16),'Bonding Program'!$L$16,0)-IF(AND('Bonding Program'!$P$16&lt;&gt;"",AY$3='Bonding Program'!$P$16),'Bonding Program'!$O$16,0)-IF(AND('Bonding Program'!$R$16&lt;&gt;"",AY$3='Bonding Program'!$R$16),'Bonding Program'!$Q$16,0),0)</f>
        <v>0</v>
      </c>
      <c r="AZ157" s="19" t="n">
        <f aca="false">IF(AND('Bonding Program'!$S$16=1,AZ$3='Bonding Program'!$H$16),'Bonding Program'!$AA$16,0)-IF(AZ$3&lt;='Bonding Program'!$C$8,IF(AND('Bonding Program'!$K$16&lt;&gt;"",AZ$3='Bonding Program'!$K$16),'Bonding Program'!$J$16,0)-IF(AND('Bonding Program'!$M$16&lt;&gt;"",AZ$3='Bonding Program'!$M$16),'Bonding Program'!$L$16,0)-IF(AND('Bonding Program'!$P$16&lt;&gt;"",AZ$3='Bonding Program'!$P$16),'Bonding Program'!$O$16,0)-IF(AND('Bonding Program'!$R$16&lt;&gt;"",AZ$3='Bonding Program'!$R$16),'Bonding Program'!$Q$16,0),0)</f>
        <v>0</v>
      </c>
      <c r="BA157" s="19" t="n">
        <f aca="false">IF(AND('Bonding Program'!$S$16=1,BA$3='Bonding Program'!$H$16),'Bonding Program'!$AA$16,0)-IF(BA$3&lt;='Bonding Program'!$C$8,IF(AND('Bonding Program'!$K$16&lt;&gt;"",BA$3='Bonding Program'!$K$16),'Bonding Program'!$J$16,0)-IF(AND('Bonding Program'!$M$16&lt;&gt;"",BA$3='Bonding Program'!$M$16),'Bonding Program'!$L$16,0)-IF(AND('Bonding Program'!$P$16&lt;&gt;"",BA$3='Bonding Program'!$P$16),'Bonding Program'!$O$16,0)-IF(AND('Bonding Program'!$R$16&lt;&gt;"",BA$3='Bonding Program'!$R$16),'Bonding Program'!$Q$16,0),0)</f>
        <v>0</v>
      </c>
      <c r="BB157" s="19" t="n">
        <f aca="false">IF(AND('Bonding Program'!$S$16=1,BB$3='Bonding Program'!$H$16),'Bonding Program'!$AA$16,0)-IF(BB$3&lt;='Bonding Program'!$C$8,IF(AND('Bonding Program'!$K$16&lt;&gt;"",BB$3='Bonding Program'!$K$16),'Bonding Program'!$J$16,0)-IF(AND('Bonding Program'!$M$16&lt;&gt;"",BB$3='Bonding Program'!$M$16),'Bonding Program'!$L$16,0)-IF(AND('Bonding Program'!$P$16&lt;&gt;"",BB$3='Bonding Program'!$P$16),'Bonding Program'!$O$16,0)-IF(AND('Bonding Program'!$R$16&lt;&gt;"",BB$3='Bonding Program'!$R$16),'Bonding Program'!$Q$16,0),0)</f>
        <v>0</v>
      </c>
      <c r="BC157" s="19" t="n">
        <f aca="false">IF(AND('Bonding Program'!$S$16=1,BC$3='Bonding Program'!$H$16),'Bonding Program'!$AA$16,0)-IF(BC$3&lt;='Bonding Program'!$C$8,IF(AND('Bonding Program'!$K$16&lt;&gt;"",BC$3='Bonding Program'!$K$16),'Bonding Program'!$J$16,0)-IF(AND('Bonding Program'!$M$16&lt;&gt;"",BC$3='Bonding Program'!$M$16),'Bonding Program'!$L$16,0)-IF(AND('Bonding Program'!$P$16&lt;&gt;"",BC$3='Bonding Program'!$P$16),'Bonding Program'!$O$16,0)-IF(AND('Bonding Program'!$R$16&lt;&gt;"",BC$3='Bonding Program'!$R$16),'Bonding Program'!$Q$16,0),0)</f>
        <v>0</v>
      </c>
      <c r="BD157" s="19" t="n">
        <f aca="false">IF(AND('Bonding Program'!$S$16=1,BD$3='Bonding Program'!$H$16),'Bonding Program'!$AA$16,0)-IF(BD$3&lt;='Bonding Program'!$C$8,IF(AND('Bonding Program'!$K$16&lt;&gt;"",BD$3='Bonding Program'!$K$16),'Bonding Program'!$J$16,0)-IF(AND('Bonding Program'!$M$16&lt;&gt;"",BD$3='Bonding Program'!$M$16),'Bonding Program'!$L$16,0)-IF(AND('Bonding Program'!$P$16&lt;&gt;"",BD$3='Bonding Program'!$P$16),'Bonding Program'!$O$16,0)-IF(AND('Bonding Program'!$R$16&lt;&gt;"",BD$3='Bonding Program'!$R$16),'Bonding Program'!$Q$16,0),0)</f>
        <v>0</v>
      </c>
      <c r="BE157" s="19" t="n">
        <f aca="false">IF(AND('Bonding Program'!$S$16=1,BE$3='Bonding Program'!$H$16),'Bonding Program'!$AA$16,0)-IF(BE$3&lt;='Bonding Program'!$C$8,IF(AND('Bonding Program'!$K$16&lt;&gt;"",BE$3='Bonding Program'!$K$16),'Bonding Program'!$J$16,0)-IF(AND('Bonding Program'!$M$16&lt;&gt;"",BE$3='Bonding Program'!$M$16),'Bonding Program'!$L$16,0)-IF(AND('Bonding Program'!$P$16&lt;&gt;"",BE$3='Bonding Program'!$P$16),'Bonding Program'!$O$16,0)-IF(AND('Bonding Program'!$R$16&lt;&gt;"",BE$3='Bonding Program'!$R$16),'Bonding Program'!$Q$16,0),0)</f>
        <v>0</v>
      </c>
      <c r="BF157" s="19" t="n">
        <f aca="false">IF(AND('Bonding Program'!$S$16=1,BF$3='Bonding Program'!$H$16),'Bonding Program'!$AA$16,0)-IF(BF$3&lt;='Bonding Program'!$C$8,IF(AND('Bonding Program'!$K$16&lt;&gt;"",BF$3='Bonding Program'!$K$16),'Bonding Program'!$J$16,0)-IF(AND('Bonding Program'!$M$16&lt;&gt;"",BF$3='Bonding Program'!$M$16),'Bonding Program'!$L$16,0)-IF(AND('Bonding Program'!$P$16&lt;&gt;"",BF$3='Bonding Program'!$P$16),'Bonding Program'!$O$16,0)-IF(AND('Bonding Program'!$R$16&lt;&gt;"",BF$3='Bonding Program'!$R$16),'Bonding Program'!$Q$16,0),0)</f>
        <v>0</v>
      </c>
      <c r="BG157" s="19" t="n">
        <f aca="false">IF(AND('Bonding Program'!$S$16=1,BG$3='Bonding Program'!$H$16),'Bonding Program'!$AA$16,0)-IF(BG$3&lt;='Bonding Program'!$C$8,IF(AND('Bonding Program'!$K$16&lt;&gt;"",BG$3='Bonding Program'!$K$16),'Bonding Program'!$J$16,0)-IF(AND('Bonding Program'!$M$16&lt;&gt;"",BG$3='Bonding Program'!$M$16),'Bonding Program'!$L$16,0)-IF(AND('Bonding Program'!$P$16&lt;&gt;"",BG$3='Bonding Program'!$P$16),'Bonding Program'!$O$16,0)-IF(AND('Bonding Program'!$R$16&lt;&gt;"",BG$3='Bonding Program'!$R$16),'Bonding Program'!$Q$16,0),0)</f>
        <v>0</v>
      </c>
      <c r="BH157" s="19" t="n">
        <f aca="false">IF(AND('Bonding Program'!$S$16=1,BH$3='Bonding Program'!$H$16),'Bonding Program'!$AA$16,0)-IF(BH$3&lt;='Bonding Program'!$C$8,IF(AND('Bonding Program'!$K$16&lt;&gt;"",BH$3='Bonding Program'!$K$16),'Bonding Program'!$J$16,0)-IF(AND('Bonding Program'!$M$16&lt;&gt;"",BH$3='Bonding Program'!$M$16),'Bonding Program'!$L$16,0)-IF(AND('Bonding Program'!$P$16&lt;&gt;"",BH$3='Bonding Program'!$P$16),'Bonding Program'!$O$16,0)-IF(AND('Bonding Program'!$R$16&lt;&gt;"",BH$3='Bonding Program'!$R$16),'Bonding Program'!$Q$16,0),0)</f>
        <v>0</v>
      </c>
      <c r="BI157" s="19" t="n">
        <f aca="false">IF(AND('Bonding Program'!$S$16=1,BI$3='Bonding Program'!$H$16),'Bonding Program'!$AA$16,0)-IF(BI$3&lt;='Bonding Program'!$C$8,IF(AND('Bonding Program'!$K$16&lt;&gt;"",BI$3='Bonding Program'!$K$16),'Bonding Program'!$J$16,0)-IF(AND('Bonding Program'!$M$16&lt;&gt;"",BI$3='Bonding Program'!$M$16),'Bonding Program'!$L$16,0)-IF(AND('Bonding Program'!$P$16&lt;&gt;"",BI$3='Bonding Program'!$P$16),'Bonding Program'!$O$16,0)-IF(AND('Bonding Program'!$R$16&lt;&gt;"",BI$3='Bonding Program'!$R$16),'Bonding Program'!$Q$16,0),0)</f>
        <v>0</v>
      </c>
      <c r="BJ157" s="19" t="n">
        <f aca="false">IF(AND('Bonding Program'!$S$16=1,BJ$3='Bonding Program'!$H$16),'Bonding Program'!$AA$16,0)-IF(BJ$3&lt;='Bonding Program'!$C$8,IF(AND('Bonding Program'!$K$16&lt;&gt;"",BJ$3='Bonding Program'!$K$16),'Bonding Program'!$J$16,0)-IF(AND('Bonding Program'!$M$16&lt;&gt;"",BJ$3='Bonding Program'!$M$16),'Bonding Program'!$L$16,0)-IF(AND('Bonding Program'!$P$16&lt;&gt;"",BJ$3='Bonding Program'!$P$16),'Bonding Program'!$O$16,0)-IF(AND('Bonding Program'!$R$16&lt;&gt;"",BJ$3='Bonding Program'!$R$16),'Bonding Program'!$Q$16,0),0)</f>
        <v>0</v>
      </c>
      <c r="BK157" s="19" t="n">
        <f aca="false">IF(AND('Bonding Program'!$S$16=1,BK$3='Bonding Program'!$H$16),'Bonding Program'!$AA$16,0)-IF(BK$3&lt;='Bonding Program'!$C$8,IF(AND('Bonding Program'!$K$16&lt;&gt;"",BK$3='Bonding Program'!$K$16),'Bonding Program'!$J$16,0)-IF(AND('Bonding Program'!$M$16&lt;&gt;"",BK$3='Bonding Program'!$M$16),'Bonding Program'!$L$16,0)-IF(AND('Bonding Program'!$P$16&lt;&gt;"",BK$3='Bonding Program'!$P$16),'Bonding Program'!$O$16,0)-IF(AND('Bonding Program'!$R$16&lt;&gt;"",BK$3='Bonding Program'!$R$16),'Bonding Program'!$Q$16,0),0)</f>
        <v>0</v>
      </c>
      <c r="BL157" s="19" t="n">
        <f aca="false">IF(AND('Bonding Program'!$S$16=1,BL$3='Bonding Program'!$H$16),'Bonding Program'!$AA$16,0)-IF(BL$3&lt;='Bonding Program'!$C$8,IF(AND('Bonding Program'!$K$16&lt;&gt;"",BL$3='Bonding Program'!$K$16),'Bonding Program'!$J$16,0)-IF(AND('Bonding Program'!$M$16&lt;&gt;"",BL$3='Bonding Program'!$M$16),'Bonding Program'!$L$16,0)-IF(AND('Bonding Program'!$P$16&lt;&gt;"",BL$3='Bonding Program'!$P$16),'Bonding Program'!$O$16,0)-IF(AND('Bonding Program'!$R$16&lt;&gt;"",BL$3='Bonding Program'!$R$16),'Bonding Program'!$Q$16,0),0)</f>
        <v>0</v>
      </c>
      <c r="BM157" s="19" t="n">
        <f aca="false">IF(AND('Bonding Program'!$S$16=1,BM$3='Bonding Program'!$H$16),'Bonding Program'!$AA$16,0)-IF(BM$3&lt;='Bonding Program'!$C$8,IF(AND('Bonding Program'!$K$16&lt;&gt;"",BM$3='Bonding Program'!$K$16),'Bonding Program'!$J$16,0)-IF(AND('Bonding Program'!$M$16&lt;&gt;"",BM$3='Bonding Program'!$M$16),'Bonding Program'!$L$16,0)-IF(AND('Bonding Program'!$P$16&lt;&gt;"",BM$3='Bonding Program'!$P$16),'Bonding Program'!$O$16,0)-IF(AND('Bonding Program'!$R$16&lt;&gt;"",BM$3='Bonding Program'!$R$16),'Bonding Program'!$Q$16,0),0)</f>
        <v>0</v>
      </c>
      <c r="BN157" s="19" t="n">
        <f aca="false">IF(AND('Bonding Program'!$S$16=1,BN$3='Bonding Program'!$H$16),'Bonding Program'!$AA$16,0)-IF(BN$3&lt;='Bonding Program'!$C$8,IF(AND('Bonding Program'!$K$16&lt;&gt;"",BN$3='Bonding Program'!$K$16),'Bonding Program'!$J$16,0)-IF(AND('Bonding Program'!$M$16&lt;&gt;"",BN$3='Bonding Program'!$M$16),'Bonding Program'!$L$16,0)-IF(AND('Bonding Program'!$P$16&lt;&gt;"",BN$3='Bonding Program'!$P$16),'Bonding Program'!$O$16,0)-IF(AND('Bonding Program'!$R$16&lt;&gt;"",BN$3='Bonding Program'!$R$16),'Bonding Program'!$Q$16,0),0)</f>
        <v>0</v>
      </c>
      <c r="BO157" s="19" t="n">
        <f aca="false">IF(AND('Bonding Program'!$S$16=1,BO$3='Bonding Program'!$H$16),'Bonding Program'!$AA$16,0)-IF(BO$3&lt;='Bonding Program'!$C$8,IF(AND('Bonding Program'!$K$16&lt;&gt;"",BO$3='Bonding Program'!$K$16),'Bonding Program'!$J$16,0)-IF(AND('Bonding Program'!$M$16&lt;&gt;"",BO$3='Bonding Program'!$M$16),'Bonding Program'!$L$16,0)-IF(AND('Bonding Program'!$P$16&lt;&gt;"",BO$3='Bonding Program'!$P$16),'Bonding Program'!$O$16,0)-IF(AND('Bonding Program'!$R$16&lt;&gt;"",BO$3='Bonding Program'!$R$16),'Bonding Program'!$Q$16,0),0)</f>
        <v>0</v>
      </c>
      <c r="BP157" s="19" t="n">
        <f aca="false">IF(AND('Bonding Program'!$S$16=1,BP$3='Bonding Program'!$H$16),'Bonding Program'!$AA$16,0)-IF(BP$3&lt;='Bonding Program'!$C$8,IF(AND('Bonding Program'!$K$16&lt;&gt;"",BP$3='Bonding Program'!$K$16),'Bonding Program'!$J$16,0)-IF(AND('Bonding Program'!$M$16&lt;&gt;"",BP$3='Bonding Program'!$M$16),'Bonding Program'!$L$16,0)-IF(AND('Bonding Program'!$P$16&lt;&gt;"",BP$3='Bonding Program'!$P$16),'Bonding Program'!$O$16,0)-IF(AND('Bonding Program'!$R$16&lt;&gt;"",BP$3='Bonding Program'!$R$16),'Bonding Program'!$Q$16,0),0)</f>
        <v>0</v>
      </c>
      <c r="BQ157" s="19" t="n">
        <f aca="false">IF(AND('Bonding Program'!$S$16=1,BQ$3='Bonding Program'!$H$16),'Bonding Program'!$AA$16,0)-IF(BQ$3&lt;='Bonding Program'!$C$8,IF(AND('Bonding Program'!$K$16&lt;&gt;"",BQ$3='Bonding Program'!$K$16),'Bonding Program'!$J$16,0)-IF(AND('Bonding Program'!$M$16&lt;&gt;"",BQ$3='Bonding Program'!$M$16),'Bonding Program'!$L$16,0)-IF(AND('Bonding Program'!$P$16&lt;&gt;"",BQ$3='Bonding Program'!$P$16),'Bonding Program'!$O$16,0)-IF(AND('Bonding Program'!$R$16&lt;&gt;"",BQ$3='Bonding Program'!$R$16),'Bonding Program'!$Q$16,0),0)</f>
        <v>0</v>
      </c>
      <c r="BR157" s="19" t="n">
        <f aca="false">IF(AND('Bonding Program'!$S$16=1,BR$3='Bonding Program'!$H$16),'Bonding Program'!$AA$16,0)-IF(BR$3&lt;='Bonding Program'!$C$8,IF(AND('Bonding Program'!$K$16&lt;&gt;"",BR$3='Bonding Program'!$K$16),'Bonding Program'!$J$16,0)-IF(AND('Bonding Program'!$M$16&lt;&gt;"",BR$3='Bonding Program'!$M$16),'Bonding Program'!$L$16,0)-IF(AND('Bonding Program'!$P$16&lt;&gt;"",BR$3='Bonding Program'!$P$16),'Bonding Program'!$O$16,0)-IF(AND('Bonding Program'!$R$16&lt;&gt;"",BR$3='Bonding Program'!$R$16),'Bonding Program'!$Q$16,0),0)</f>
        <v>0</v>
      </c>
      <c r="BS157" s="19" t="n">
        <f aca="false">IF(AND('Bonding Program'!$S$16=1,BS$3='Bonding Program'!$H$16),'Bonding Program'!$AA$16,0)-IF(BS$3&lt;='Bonding Program'!$C$8,IF(AND('Bonding Program'!$K$16&lt;&gt;"",BS$3='Bonding Program'!$K$16),'Bonding Program'!$J$16,0)-IF(AND('Bonding Program'!$M$16&lt;&gt;"",BS$3='Bonding Program'!$M$16),'Bonding Program'!$L$16,0)-IF(AND('Bonding Program'!$P$16&lt;&gt;"",BS$3='Bonding Program'!$P$16),'Bonding Program'!$O$16,0)-IF(AND('Bonding Program'!$R$16&lt;&gt;"",BS$3='Bonding Program'!$R$16),'Bonding Program'!$Q$16,0),0)</f>
        <v>0</v>
      </c>
      <c r="BT157" s="19" t="n">
        <f aca="false">IF(AND('Bonding Program'!$S$16=1,BT$3='Bonding Program'!$H$16),'Bonding Program'!$AA$16,0)-IF(BT$3&lt;='Bonding Program'!$C$8,IF(AND('Bonding Program'!$K$16&lt;&gt;"",BT$3='Bonding Program'!$K$16),'Bonding Program'!$J$16,0)-IF(AND('Bonding Program'!$M$16&lt;&gt;"",BT$3='Bonding Program'!$M$16),'Bonding Program'!$L$16,0)-IF(AND('Bonding Program'!$P$16&lt;&gt;"",BT$3='Bonding Program'!$P$16),'Bonding Program'!$O$16,0)-IF(AND('Bonding Program'!$R$16&lt;&gt;"",BT$3='Bonding Program'!$R$16),'Bonding Program'!$Q$16,0),0)</f>
        <v>0</v>
      </c>
      <c r="BU157" s="19" t="n">
        <f aca="false">IF(AND('Bonding Program'!$S$16=1,BU$3='Bonding Program'!$H$16),'Bonding Program'!$AA$16,0)-IF(BU$3&lt;='Bonding Program'!$C$8,IF(AND('Bonding Program'!$K$16&lt;&gt;"",BU$3='Bonding Program'!$K$16),'Bonding Program'!$J$16,0)-IF(AND('Bonding Program'!$M$16&lt;&gt;"",BU$3='Bonding Program'!$M$16),'Bonding Program'!$L$16,0)-IF(AND('Bonding Program'!$P$16&lt;&gt;"",BU$3='Bonding Program'!$P$16),'Bonding Program'!$O$16,0)-IF(AND('Bonding Program'!$R$16&lt;&gt;"",BU$3='Bonding Program'!$R$16),'Bonding Program'!$Q$16,0),0)</f>
        <v>0</v>
      </c>
      <c r="BV157" s="19" t="n">
        <f aca="false">IF(AND('Bonding Program'!$S$16=1,BV$3='Bonding Program'!$H$16),'Bonding Program'!$AA$16,0)-IF(BV$3&lt;='Bonding Program'!$C$8,IF(AND('Bonding Program'!$K$16&lt;&gt;"",BV$3='Bonding Program'!$K$16),'Bonding Program'!$J$16,0)-IF(AND('Bonding Program'!$M$16&lt;&gt;"",BV$3='Bonding Program'!$M$16),'Bonding Program'!$L$16,0)-IF(AND('Bonding Program'!$P$16&lt;&gt;"",BV$3='Bonding Program'!$P$16),'Bonding Program'!$O$16,0)-IF(AND('Bonding Program'!$R$16&lt;&gt;"",BV$3='Bonding Program'!$R$16),'Bonding Program'!$Q$16,0),0)</f>
        <v>0</v>
      </c>
      <c r="BW157" s="19" t="n">
        <f aca="false">IF(AND('Bonding Program'!$S$16=1,BW$3='Bonding Program'!$H$16),'Bonding Program'!$AA$16,0)-IF(BW$3&lt;='Bonding Program'!$C$8,IF(AND('Bonding Program'!$K$16&lt;&gt;"",BW$3='Bonding Program'!$K$16),'Bonding Program'!$J$16,0)-IF(AND('Bonding Program'!$M$16&lt;&gt;"",BW$3='Bonding Program'!$M$16),'Bonding Program'!$L$16,0)-IF(AND('Bonding Program'!$P$16&lt;&gt;"",BW$3='Bonding Program'!$P$16),'Bonding Program'!$O$16,0)-IF(AND('Bonding Program'!$R$16&lt;&gt;"",BW$3='Bonding Program'!$R$16),'Bonding Program'!$Q$16,0),0)</f>
        <v>0</v>
      </c>
      <c r="BX157" s="19" t="n">
        <f aca="false">IF(AND('Bonding Program'!$S$16=1,BX$3='Bonding Program'!$H$16),'Bonding Program'!$AA$16,0)-IF(BX$3&lt;='Bonding Program'!$C$8,IF(AND('Bonding Program'!$K$16&lt;&gt;"",BX$3='Bonding Program'!$K$16),'Bonding Program'!$J$16,0)-IF(AND('Bonding Program'!$M$16&lt;&gt;"",BX$3='Bonding Program'!$M$16),'Bonding Program'!$L$16,0)-IF(AND('Bonding Program'!$P$16&lt;&gt;"",BX$3='Bonding Program'!$P$16),'Bonding Program'!$O$16,0)-IF(AND('Bonding Program'!$R$16&lt;&gt;"",BX$3='Bonding Program'!$R$16),'Bonding Program'!$Q$16,0),0)</f>
        <v>0</v>
      </c>
      <c r="BY157" s="19" t="n">
        <f aca="false">IF(AND('Bonding Program'!$S$16=1,BY$3='Bonding Program'!$H$16),'Bonding Program'!$AA$16,0)-IF(BY$3&lt;='Bonding Program'!$C$8,IF(AND('Bonding Program'!$K$16&lt;&gt;"",BY$3='Bonding Program'!$K$16),'Bonding Program'!$J$16,0)-IF(AND('Bonding Program'!$M$16&lt;&gt;"",BY$3='Bonding Program'!$M$16),'Bonding Program'!$L$16,0)-IF(AND('Bonding Program'!$P$16&lt;&gt;"",BY$3='Bonding Program'!$P$16),'Bonding Program'!$O$16,0)-IF(AND('Bonding Program'!$R$16&lt;&gt;"",BY$3='Bonding Program'!$R$16),'Bonding Program'!$Q$16,0),0)</f>
        <v>0</v>
      </c>
      <c r="BZ157" s="19" t="n">
        <f aca="false">IF(AND('Bonding Program'!$S$16=1,BZ$3='Bonding Program'!$H$16),'Bonding Program'!$AA$16,0)-IF(BZ$3&lt;='Bonding Program'!$C$8,IF(AND('Bonding Program'!$K$16&lt;&gt;"",BZ$3='Bonding Program'!$K$16),'Bonding Program'!$J$16,0)-IF(AND('Bonding Program'!$M$16&lt;&gt;"",BZ$3='Bonding Program'!$M$16),'Bonding Program'!$L$16,0)-IF(AND('Bonding Program'!$P$16&lt;&gt;"",BZ$3='Bonding Program'!$P$16),'Bonding Program'!$O$16,0)-IF(AND('Bonding Program'!$R$16&lt;&gt;"",BZ$3='Bonding Program'!$R$16),'Bonding Program'!$Q$16,0),0)</f>
        <v>0</v>
      </c>
      <c r="CA157" s="19" t="n">
        <f aca="false">IF(AND('Bonding Program'!$S$16=1,CA$3='Bonding Program'!$H$16),'Bonding Program'!$AA$16,0)-IF(CA$3&lt;='Bonding Program'!$C$8,IF(AND('Bonding Program'!$K$16&lt;&gt;"",CA$3='Bonding Program'!$K$16),'Bonding Program'!$J$16,0)-IF(AND('Bonding Program'!$M$16&lt;&gt;"",CA$3='Bonding Program'!$M$16),'Bonding Program'!$L$16,0)-IF(AND('Bonding Program'!$P$16&lt;&gt;"",CA$3='Bonding Program'!$P$16),'Bonding Program'!$O$16,0)-IF(AND('Bonding Program'!$R$16&lt;&gt;"",CA$3='Bonding Program'!$R$16),'Bonding Program'!$Q$16,0),0)</f>
        <v>0</v>
      </c>
      <c r="CB157" s="19" t="n">
        <f aca="false">IF(AND('Bonding Program'!$S$16=1,CB$3='Bonding Program'!$H$16),'Bonding Program'!$AA$16,0)-IF(CB$3&lt;='Bonding Program'!$C$8,IF(AND('Bonding Program'!$K$16&lt;&gt;"",CB$3='Bonding Program'!$K$16),'Bonding Program'!$J$16,0)-IF(AND('Bonding Program'!$M$16&lt;&gt;"",CB$3='Bonding Program'!$M$16),'Bonding Program'!$L$16,0)-IF(AND('Bonding Program'!$P$16&lt;&gt;"",CB$3='Bonding Program'!$P$16),'Bonding Program'!$O$16,0)-IF(AND('Bonding Program'!$R$16&lt;&gt;"",CB$3='Bonding Program'!$R$16),'Bonding Program'!$Q$16,0),0)</f>
        <v>0</v>
      </c>
      <c r="CC157" s="19" t="n">
        <f aca="false">IF(AND('Bonding Program'!$S$16=1,CC$3='Bonding Program'!$H$16),'Bonding Program'!$AA$16,0)-IF(CC$3&lt;='Bonding Program'!$C$8,IF(AND('Bonding Program'!$K$16&lt;&gt;"",CC$3='Bonding Program'!$K$16),'Bonding Program'!$J$16,0)-IF(AND('Bonding Program'!$M$16&lt;&gt;"",CC$3='Bonding Program'!$M$16),'Bonding Program'!$L$16,0)-IF(AND('Bonding Program'!$P$16&lt;&gt;"",CC$3='Bonding Program'!$P$16),'Bonding Program'!$O$16,0)-IF(AND('Bonding Program'!$R$16&lt;&gt;"",CC$3='Bonding Program'!$R$16),'Bonding Program'!$Q$16,0),0)</f>
        <v>0</v>
      </c>
      <c r="CD157" s="19" t="n">
        <f aca="false">IF(AND('Bonding Program'!$S$16=1,CD$3='Bonding Program'!$H$16),'Bonding Program'!$AA$16,0)-IF(CD$3&lt;='Bonding Program'!$C$8,IF(AND('Bonding Program'!$K$16&lt;&gt;"",CD$3='Bonding Program'!$K$16),'Bonding Program'!$J$16,0)-IF(AND('Bonding Program'!$M$16&lt;&gt;"",CD$3='Bonding Program'!$M$16),'Bonding Program'!$L$16,0)-IF(AND('Bonding Program'!$P$16&lt;&gt;"",CD$3='Bonding Program'!$P$16),'Bonding Program'!$O$16,0)-IF(AND('Bonding Program'!$R$16&lt;&gt;"",CD$3='Bonding Program'!$R$16),'Bonding Program'!$Q$16,0),0)</f>
        <v>0</v>
      </c>
      <c r="CE157" s="19" t="n">
        <f aca="false">IF(AND('Bonding Program'!$S$16=1,CE$3='Bonding Program'!$H$16),'Bonding Program'!$AA$16,0)-IF(CE$3&lt;='Bonding Program'!$C$8,IF(AND('Bonding Program'!$K$16&lt;&gt;"",CE$3='Bonding Program'!$K$16),'Bonding Program'!$J$16,0)-IF(AND('Bonding Program'!$M$16&lt;&gt;"",CE$3='Bonding Program'!$M$16),'Bonding Program'!$L$16,0)-IF(AND('Bonding Program'!$P$16&lt;&gt;"",CE$3='Bonding Program'!$P$16),'Bonding Program'!$O$16,0)-IF(AND('Bonding Program'!$R$16&lt;&gt;"",CE$3='Bonding Program'!$R$16),'Bonding Program'!$Q$16,0),0)</f>
        <v>0</v>
      </c>
      <c r="CF157" s="19" t="n">
        <f aca="false">IF(AND('Bonding Program'!$S$16=1,CF$3='Bonding Program'!$H$16),'Bonding Program'!$AA$16,0)-IF(CF$3&lt;='Bonding Program'!$C$8,IF(AND('Bonding Program'!$K$16&lt;&gt;"",CF$3='Bonding Program'!$K$16),'Bonding Program'!$J$16,0)-IF(AND('Bonding Program'!$M$16&lt;&gt;"",CF$3='Bonding Program'!$M$16),'Bonding Program'!$L$16,0)-IF(AND('Bonding Program'!$P$16&lt;&gt;"",CF$3='Bonding Program'!$P$16),'Bonding Program'!$O$16,0)-IF(AND('Bonding Program'!$R$16&lt;&gt;"",CF$3='Bonding Program'!$R$16),'Bonding Program'!$Q$16,0),0)</f>
        <v>0</v>
      </c>
      <c r="CG157" s="19" t="n">
        <f aca="false">IF(AND('Bonding Program'!$S$16=1,CG$3='Bonding Program'!$H$16),'Bonding Program'!$AA$16,0)-IF(CG$3&lt;='Bonding Program'!$C$8,IF(AND('Bonding Program'!$K$16&lt;&gt;"",CG$3='Bonding Program'!$K$16),'Bonding Program'!$J$16,0)-IF(AND('Bonding Program'!$M$16&lt;&gt;"",CG$3='Bonding Program'!$M$16),'Bonding Program'!$L$16,0)-IF(AND('Bonding Program'!$P$16&lt;&gt;"",CG$3='Bonding Program'!$P$16),'Bonding Program'!$O$16,0)-IF(AND('Bonding Program'!$R$16&lt;&gt;"",CG$3='Bonding Program'!$R$16),'Bonding Program'!$Q$16,0),0)</f>
        <v>0</v>
      </c>
      <c r="CH157" s="19" t="n">
        <f aca="false">IF(AND('Bonding Program'!$S$16=1,CH$3='Bonding Program'!$H$16),'Bonding Program'!$AA$16,0)-IF(CH$3&lt;='Bonding Program'!$C$8,IF(AND('Bonding Program'!$K$16&lt;&gt;"",CH$3='Bonding Program'!$K$16),'Bonding Program'!$J$16,0)-IF(AND('Bonding Program'!$M$16&lt;&gt;"",CH$3='Bonding Program'!$M$16),'Bonding Program'!$L$16,0)-IF(AND('Bonding Program'!$P$16&lt;&gt;"",CH$3='Bonding Program'!$P$16),'Bonding Program'!$O$16,0)-IF(AND('Bonding Program'!$R$16&lt;&gt;"",CH$3='Bonding Program'!$R$16),'Bonding Program'!$Q$16,0),0)</f>
        <v>0</v>
      </c>
      <c r="CI157" s="19" t="n">
        <f aca="false">IF(AND('Bonding Program'!$S$16=1,CI$3='Bonding Program'!$H$16),'Bonding Program'!$AA$16,0)-IF(CI$3&lt;='Bonding Program'!$C$8,IF(AND('Bonding Program'!$K$16&lt;&gt;"",CI$3='Bonding Program'!$K$16),'Bonding Program'!$J$16,0)-IF(AND('Bonding Program'!$M$16&lt;&gt;"",CI$3='Bonding Program'!$M$16),'Bonding Program'!$L$16,0)-IF(AND('Bonding Program'!$P$16&lt;&gt;"",CI$3='Bonding Program'!$P$16),'Bonding Program'!$O$16,0)-IF(AND('Bonding Program'!$R$16&lt;&gt;"",CI$3='Bonding Program'!$R$16),'Bonding Program'!$Q$16,0),0)</f>
        <v>0</v>
      </c>
      <c r="CJ157" s="19" t="n">
        <f aca="false">IF(AND('Bonding Program'!$S$16=1,CJ$3='Bonding Program'!$H$16),'Bonding Program'!$AA$16,0)-IF(CJ$3&lt;='Bonding Program'!$C$8,IF(AND('Bonding Program'!$K$16&lt;&gt;"",CJ$3='Bonding Program'!$K$16),'Bonding Program'!$J$16,0)-IF(AND('Bonding Program'!$M$16&lt;&gt;"",CJ$3='Bonding Program'!$M$16),'Bonding Program'!$L$16,0)-IF(AND('Bonding Program'!$P$16&lt;&gt;"",CJ$3='Bonding Program'!$P$16),'Bonding Program'!$O$16,0)-IF(AND('Bonding Program'!$R$16&lt;&gt;"",CJ$3='Bonding Program'!$R$16),'Bonding Program'!$Q$16,0),0)</f>
        <v>0</v>
      </c>
      <c r="CK157" s="19" t="n">
        <f aca="false">IF(AND('Bonding Program'!$S$16=1,CK$3='Bonding Program'!$H$16),'Bonding Program'!$AA$16,0)-IF(CK$3&lt;='Bonding Program'!$C$8,IF(AND('Bonding Program'!$K$16&lt;&gt;"",CK$3='Bonding Program'!$K$16),'Bonding Program'!$J$16,0)-IF(AND('Bonding Program'!$M$16&lt;&gt;"",CK$3='Bonding Program'!$M$16),'Bonding Program'!$L$16,0)-IF(AND('Bonding Program'!$P$16&lt;&gt;"",CK$3='Bonding Program'!$P$16),'Bonding Program'!$O$16,0)-IF(AND('Bonding Program'!$R$16&lt;&gt;"",CK$3='Bonding Program'!$R$16),'Bonding Program'!$Q$16,0),0)</f>
        <v>0</v>
      </c>
      <c r="CL157" s="19" t="n">
        <f aca="false">IF(AND('Bonding Program'!$S$16=1,CL$3='Bonding Program'!$H$16),'Bonding Program'!$AA$16,0)-IF(CL$3&lt;='Bonding Program'!$C$8,IF(AND('Bonding Program'!$K$16&lt;&gt;"",CL$3='Bonding Program'!$K$16),'Bonding Program'!$J$16,0)-IF(AND('Bonding Program'!$M$16&lt;&gt;"",CL$3='Bonding Program'!$M$16),'Bonding Program'!$L$16,0)-IF(AND('Bonding Program'!$P$16&lt;&gt;"",CL$3='Bonding Program'!$P$16),'Bonding Program'!$O$16,0)-IF(AND('Bonding Program'!$R$16&lt;&gt;"",CL$3='Bonding Program'!$R$16),'Bonding Program'!$Q$16,0),0)</f>
        <v>0</v>
      </c>
      <c r="CM157" s="19" t="n">
        <f aca="false">IF(AND('Bonding Program'!$S$16=1,CM$3='Bonding Program'!$H$16),'Bonding Program'!$AA$16,0)-IF(CM$3&lt;='Bonding Program'!$C$8,IF(AND('Bonding Program'!$K$16&lt;&gt;"",CM$3='Bonding Program'!$K$16),'Bonding Program'!$J$16,0)-IF(AND('Bonding Program'!$M$16&lt;&gt;"",CM$3='Bonding Program'!$M$16),'Bonding Program'!$L$16,0)-IF(AND('Bonding Program'!$P$16&lt;&gt;"",CM$3='Bonding Program'!$P$16),'Bonding Program'!$O$16,0)-IF(AND('Bonding Program'!$R$16&lt;&gt;"",CM$3='Bonding Program'!$R$16),'Bonding Program'!$Q$16,0),0)</f>
        <v>0</v>
      </c>
      <c r="CN157" s="19" t="n">
        <f aca="false">IF(AND('Bonding Program'!$S$16=1,CN$3='Bonding Program'!$H$16),'Bonding Program'!$AA$16,0)-IF(CN$3&lt;='Bonding Program'!$C$8,IF(AND('Bonding Program'!$K$16&lt;&gt;"",CN$3='Bonding Program'!$K$16),'Bonding Program'!$J$16,0)-IF(AND('Bonding Program'!$M$16&lt;&gt;"",CN$3='Bonding Program'!$M$16),'Bonding Program'!$L$16,0)-IF(AND('Bonding Program'!$P$16&lt;&gt;"",CN$3='Bonding Program'!$P$16),'Bonding Program'!$O$16,0)-IF(AND('Bonding Program'!$R$16&lt;&gt;"",CN$3='Bonding Program'!$R$16),'Bonding Program'!$Q$16,0),0)</f>
        <v>0</v>
      </c>
      <c r="CO157" s="19" t="n">
        <f aca="false">IF(AND('Bonding Program'!$S$16=1,CO$3='Bonding Program'!$H$16),'Bonding Program'!$AA$16,0)-IF(CO$3&lt;='Bonding Program'!$C$8,IF(AND('Bonding Program'!$K$16&lt;&gt;"",CO$3='Bonding Program'!$K$16),'Bonding Program'!$J$16,0)-IF(AND('Bonding Program'!$M$16&lt;&gt;"",CO$3='Bonding Program'!$M$16),'Bonding Program'!$L$16,0)-IF(AND('Bonding Program'!$P$16&lt;&gt;"",CO$3='Bonding Program'!$P$16),'Bonding Program'!$O$16,0)-IF(AND('Bonding Program'!$R$16&lt;&gt;"",CO$3='Bonding Program'!$R$16),'Bonding Program'!$Q$16,0),0)</f>
        <v>0</v>
      </c>
      <c r="CP157" s="19" t="n">
        <f aca="false">IF(AND('Bonding Program'!$S$16=1,CP$3='Bonding Program'!$H$16),'Bonding Program'!$AA$16,0)-IF(CP$3&lt;='Bonding Program'!$C$8,IF(AND('Bonding Program'!$K$16&lt;&gt;"",CP$3='Bonding Program'!$K$16),'Bonding Program'!$J$16,0)-IF(AND('Bonding Program'!$M$16&lt;&gt;"",CP$3='Bonding Program'!$M$16),'Bonding Program'!$L$16,0)-IF(AND('Bonding Program'!$P$16&lt;&gt;"",CP$3='Bonding Program'!$P$16),'Bonding Program'!$O$16,0)-IF(AND('Bonding Program'!$R$16&lt;&gt;"",CP$3='Bonding Program'!$R$16),'Bonding Program'!$Q$16,0),0)</f>
        <v>0</v>
      </c>
      <c r="CQ157" s="19" t="n">
        <f aca="false">IF(AND('Bonding Program'!$S$16=1,CQ$3='Bonding Program'!$H$16),'Bonding Program'!$AA$16,0)-IF(CQ$3&lt;='Bonding Program'!$C$8,IF(AND('Bonding Program'!$K$16&lt;&gt;"",CQ$3='Bonding Program'!$K$16),'Bonding Program'!$J$16,0)-IF(AND('Bonding Program'!$M$16&lt;&gt;"",CQ$3='Bonding Program'!$M$16),'Bonding Program'!$L$16,0)-IF(AND('Bonding Program'!$P$16&lt;&gt;"",CQ$3='Bonding Program'!$P$16),'Bonding Program'!$O$16,0)-IF(AND('Bonding Program'!$R$16&lt;&gt;"",CQ$3='Bonding Program'!$R$16),'Bonding Program'!$Q$16,0),0)</f>
        <v>0</v>
      </c>
      <c r="CR157" s="19" t="n">
        <f aca="false">IF(AND('Bonding Program'!$S$16=1,CR$3='Bonding Program'!$H$16),'Bonding Program'!$AA$16,0)-IF(CR$3&lt;='Bonding Program'!$C$8,IF(AND('Bonding Program'!$K$16&lt;&gt;"",CR$3='Bonding Program'!$K$16),'Bonding Program'!$J$16,0)-IF(AND('Bonding Program'!$M$16&lt;&gt;"",CR$3='Bonding Program'!$M$16),'Bonding Program'!$L$16,0)-IF(AND('Bonding Program'!$P$16&lt;&gt;"",CR$3='Bonding Program'!$P$16),'Bonding Program'!$O$16,0)-IF(AND('Bonding Program'!$R$16&lt;&gt;"",CR$3='Bonding Program'!$R$16),'Bonding Program'!$Q$16,0),0)</f>
        <v>0</v>
      </c>
      <c r="CS157" s="19" t="n">
        <f aca="false">IF(AND('Bonding Program'!$S$16=1,CS$3='Bonding Program'!$H$16),'Bonding Program'!$AA$16,0)-IF(CS$3&lt;='Bonding Program'!$C$8,IF(AND('Bonding Program'!$K$16&lt;&gt;"",CS$3='Bonding Program'!$K$16),'Bonding Program'!$J$16,0)-IF(AND('Bonding Program'!$M$16&lt;&gt;"",CS$3='Bonding Program'!$M$16),'Bonding Program'!$L$16,0)-IF(AND('Bonding Program'!$P$16&lt;&gt;"",CS$3='Bonding Program'!$P$16),'Bonding Program'!$O$16,0)-IF(AND('Bonding Program'!$R$16&lt;&gt;"",CS$3='Bonding Program'!$R$16),'Bonding Program'!$Q$16,0),0)</f>
        <v>0</v>
      </c>
      <c r="CT157" s="19" t="n">
        <f aca="false">IF(AND('Bonding Program'!$S$16=1,CT$3='Bonding Program'!$H$16),'Bonding Program'!$AA$16,0)-IF(CT$3&lt;='Bonding Program'!$C$8,IF(AND('Bonding Program'!$K$16&lt;&gt;"",CT$3='Bonding Program'!$K$16),'Bonding Program'!$J$16,0)-IF(AND('Bonding Program'!$M$16&lt;&gt;"",CT$3='Bonding Program'!$M$16),'Bonding Program'!$L$16,0)-IF(AND('Bonding Program'!$P$16&lt;&gt;"",CT$3='Bonding Program'!$P$16),'Bonding Program'!$O$16,0)-IF(AND('Bonding Program'!$R$16&lt;&gt;"",CT$3='Bonding Program'!$R$16),'Bonding Program'!$Q$16,0),0)</f>
        <v>0</v>
      </c>
      <c r="CU157" s="19" t="n">
        <f aca="false">IF(AND('Bonding Program'!$S$16=1,CU$3='Bonding Program'!$H$16),'Bonding Program'!$AA$16,0)-IF(CU$3&lt;='Bonding Program'!$C$8,IF(AND('Bonding Program'!$K$16&lt;&gt;"",CU$3='Bonding Program'!$K$16),'Bonding Program'!$J$16,0)-IF(AND('Bonding Program'!$M$16&lt;&gt;"",CU$3='Bonding Program'!$M$16),'Bonding Program'!$L$16,0)-IF(AND('Bonding Program'!$P$16&lt;&gt;"",CU$3='Bonding Program'!$P$16),'Bonding Program'!$O$16,0)-IF(AND('Bonding Program'!$R$16&lt;&gt;"",CU$3='Bonding Program'!$R$16),'Bonding Program'!$Q$16,0),0)</f>
        <v>0</v>
      </c>
      <c r="CV157" s="19" t="n">
        <f aca="false">IF(AND('Bonding Program'!$S$16=1,CV$3='Bonding Program'!$H$16),'Bonding Program'!$AA$16,0)-IF(CV$3&lt;='Bonding Program'!$C$8,IF(AND('Bonding Program'!$K$16&lt;&gt;"",CV$3='Bonding Program'!$K$16),'Bonding Program'!$J$16,0)-IF(AND('Bonding Program'!$M$16&lt;&gt;"",CV$3='Bonding Program'!$M$16),'Bonding Program'!$L$16,0)-IF(AND('Bonding Program'!$P$16&lt;&gt;"",CV$3='Bonding Program'!$P$16),'Bonding Program'!$O$16,0)-IF(AND('Bonding Program'!$R$16&lt;&gt;"",CV$3='Bonding Program'!$R$16),'Bonding Program'!$Q$16,0),0)</f>
        <v>0</v>
      </c>
      <c r="CW157" s="19" t="n">
        <f aca="false">IF(AND('Bonding Program'!$S$16=1,CW$3='Bonding Program'!$H$16),'Bonding Program'!$AA$16,0)-IF(CW$3&lt;='Bonding Program'!$C$8,IF(AND('Bonding Program'!$K$16&lt;&gt;"",CW$3='Bonding Program'!$K$16),'Bonding Program'!$J$16,0)-IF(AND('Bonding Program'!$M$16&lt;&gt;"",CW$3='Bonding Program'!$M$16),'Bonding Program'!$L$16,0)-IF(AND('Bonding Program'!$P$16&lt;&gt;"",CW$3='Bonding Program'!$P$16),'Bonding Program'!$O$16,0)-IF(AND('Bonding Program'!$R$16&lt;&gt;"",CW$3='Bonding Program'!$R$16),'Bonding Program'!$Q$16,0),0)</f>
        <v>0</v>
      </c>
      <c r="CX157" s="19" t="n">
        <f aca="false">IF(AND('Bonding Program'!$S$16=1,CX$3='Bonding Program'!$H$16),'Bonding Program'!$AA$16,0)-IF(CX$3&lt;='Bonding Program'!$C$8,IF(AND('Bonding Program'!$K$16&lt;&gt;"",CX$3='Bonding Program'!$K$16),'Bonding Program'!$J$16,0)-IF(AND('Bonding Program'!$M$16&lt;&gt;"",CX$3='Bonding Program'!$M$16),'Bonding Program'!$L$16,0)-IF(AND('Bonding Program'!$P$16&lt;&gt;"",CX$3='Bonding Program'!$P$16),'Bonding Program'!$O$16,0)-IF(AND('Bonding Program'!$R$16&lt;&gt;"",CX$3='Bonding Program'!$R$16),'Bonding Program'!$Q$16,0),0)</f>
        <v>0</v>
      </c>
      <c r="CY157" s="19" t="n">
        <f aca="false">IF(AND('Bonding Program'!$S$16=1,CY$3='Bonding Program'!$H$16),'Bonding Program'!$AA$16,0)-IF(CY$3&lt;='Bonding Program'!$C$8,IF(AND('Bonding Program'!$K$16&lt;&gt;"",CY$3='Bonding Program'!$K$16),'Bonding Program'!$J$16,0)-IF(AND('Bonding Program'!$M$16&lt;&gt;"",CY$3='Bonding Program'!$M$16),'Bonding Program'!$L$16,0)-IF(AND('Bonding Program'!$P$16&lt;&gt;"",CY$3='Bonding Program'!$P$16),'Bonding Program'!$O$16,0)-IF(AND('Bonding Program'!$R$16&lt;&gt;"",CY$3='Bonding Program'!$R$16),'Bonding Program'!$Q$16,0),0)</f>
        <v>0</v>
      </c>
      <c r="CZ157" s="19" t="n">
        <f aca="false">IF(AND('Bonding Program'!$S$16=1,CZ$3='Bonding Program'!$H$16),'Bonding Program'!$AA$16,0)-IF(CZ$3&lt;='Bonding Program'!$C$8,IF(AND('Bonding Program'!$K$16&lt;&gt;"",CZ$3='Bonding Program'!$K$16),'Bonding Program'!$J$16,0)-IF(AND('Bonding Program'!$M$16&lt;&gt;"",CZ$3='Bonding Program'!$M$16),'Bonding Program'!$L$16,0)-IF(AND('Bonding Program'!$P$16&lt;&gt;"",CZ$3='Bonding Program'!$P$16),'Bonding Program'!$O$16,0)-IF(AND('Bonding Program'!$R$16&lt;&gt;"",CZ$3='Bonding Program'!$R$16),'Bonding Program'!$Q$16,0),0)</f>
        <v>0</v>
      </c>
      <c r="DA157" s="19" t="n">
        <f aca="false">IF(AND('Bonding Program'!$S$16=1,DA$3='Bonding Program'!$H$16),'Bonding Program'!$AA$16,0)-IF(DA$3&lt;='Bonding Program'!$C$8,IF(AND('Bonding Program'!$K$16&lt;&gt;"",DA$3='Bonding Program'!$K$16),'Bonding Program'!$J$16,0)-IF(AND('Bonding Program'!$M$16&lt;&gt;"",DA$3='Bonding Program'!$M$16),'Bonding Program'!$L$16,0)-IF(AND('Bonding Program'!$P$16&lt;&gt;"",DA$3='Bonding Program'!$P$16),'Bonding Program'!$O$16,0)-IF(AND('Bonding Program'!$R$16&lt;&gt;"",DA$3='Bonding Program'!$R$16),'Bonding Program'!$Q$16,0),0)</f>
        <v>0</v>
      </c>
      <c r="DB157" s="19" t="n">
        <f aca="false">IF(AND('Bonding Program'!$S$16=1,DB$3='Bonding Program'!$H$16),'Bonding Program'!$AA$16,0)-IF(DB$3&lt;='Bonding Program'!$C$8,IF(AND('Bonding Program'!$K$16&lt;&gt;"",DB$3='Bonding Program'!$K$16),'Bonding Program'!$J$16,0)-IF(AND('Bonding Program'!$M$16&lt;&gt;"",DB$3='Bonding Program'!$M$16),'Bonding Program'!$L$16,0)-IF(AND('Bonding Program'!$P$16&lt;&gt;"",DB$3='Bonding Program'!$P$16),'Bonding Program'!$O$16,0)-IF(AND('Bonding Program'!$R$16&lt;&gt;"",DB$3='Bonding Program'!$R$16),'Bonding Program'!$Q$16,0),0)</f>
        <v>0</v>
      </c>
      <c r="DC157" s="19" t="n">
        <f aca="false">IF(AND('Bonding Program'!$S$16=1,DC$3='Bonding Program'!$H$16),'Bonding Program'!$AA$16,0)-IF(DC$3&lt;='Bonding Program'!$C$8,IF(AND('Bonding Program'!$K$16&lt;&gt;"",DC$3='Bonding Program'!$K$16),'Bonding Program'!$J$16,0)-IF(AND('Bonding Program'!$M$16&lt;&gt;"",DC$3='Bonding Program'!$M$16),'Bonding Program'!$L$16,0)-IF(AND('Bonding Program'!$P$16&lt;&gt;"",DC$3='Bonding Program'!$P$16),'Bonding Program'!$O$16,0)-IF(AND('Bonding Program'!$R$16&lt;&gt;"",DC$3='Bonding Program'!$R$16),'Bonding Program'!$Q$16,0),0)</f>
        <v>0</v>
      </c>
      <c r="DD157" s="19" t="n">
        <f aca="false">IF(AND('Bonding Program'!$S$16=1,DD$3='Bonding Program'!$H$16),'Bonding Program'!$AA$16,0)-IF(DD$3&lt;='Bonding Program'!$C$8,IF(AND('Bonding Program'!$K$16&lt;&gt;"",DD$3='Bonding Program'!$K$16),'Bonding Program'!$J$16,0)-IF(AND('Bonding Program'!$M$16&lt;&gt;"",DD$3='Bonding Program'!$M$16),'Bonding Program'!$L$16,0)-IF(AND('Bonding Program'!$P$16&lt;&gt;"",DD$3='Bonding Program'!$P$16),'Bonding Program'!$O$16,0)-IF(AND('Bonding Program'!$R$16&lt;&gt;"",DD$3='Bonding Program'!$R$16),'Bonding Program'!$Q$16,0),0)</f>
        <v>0</v>
      </c>
      <c r="DE157" s="19" t="n">
        <f aca="false">IF(AND('Bonding Program'!$S$16=1,DE$3='Bonding Program'!$H$16),'Bonding Program'!$AA$16,0)-IF(DE$3&lt;='Bonding Program'!$C$8,IF(AND('Bonding Program'!$K$16&lt;&gt;"",DE$3='Bonding Program'!$K$16),'Bonding Program'!$J$16,0)-IF(AND('Bonding Program'!$M$16&lt;&gt;"",DE$3='Bonding Program'!$M$16),'Bonding Program'!$L$16,0)-IF(AND('Bonding Program'!$P$16&lt;&gt;"",DE$3='Bonding Program'!$P$16),'Bonding Program'!$O$16,0)-IF(AND('Bonding Program'!$R$16&lt;&gt;"",DE$3='Bonding Program'!$R$16),'Bonding Program'!$Q$16,0),0)</f>
        <v>0</v>
      </c>
    </row>
    <row r="158" customFormat="false" ht="15" hidden="false" customHeight="true" outlineLevel="1" collapsed="false">
      <c r="A158" s="28" t="s">
        <v>13</v>
      </c>
      <c r="B158" s="19" t="n">
        <f aca="false">IF(AND('Bonding Program'!$S$17=1,B$3='Bonding Program'!$H$17),'Bonding Program'!$AA$17,0)-IF(B$3&lt;='Bonding Program'!$C$8,IF(AND('Bonding Program'!$K$17&lt;&gt;"",B$3='Bonding Program'!$K$17),'Bonding Program'!$J$17,0)-IF(AND('Bonding Program'!$M$17&lt;&gt;"",B$3='Bonding Program'!$M$17),'Bonding Program'!$L$17,0)-IF(AND('Bonding Program'!$P$17&lt;&gt;"",B$3='Bonding Program'!$P$17),'Bonding Program'!$O$17,0)-IF(AND('Bonding Program'!$R$17&lt;&gt;"",B$3='Bonding Program'!$R$17),'Bonding Program'!$Q$17,0),0)</f>
        <v>0</v>
      </c>
      <c r="C158" s="19" t="n">
        <f aca="false">IF(AND('Bonding Program'!$S$17=1,C$3='Bonding Program'!$H$17),'Bonding Program'!$AA$17,0)-IF(C$3&lt;='Bonding Program'!$C$8,IF(AND('Bonding Program'!$K$17&lt;&gt;"",C$3='Bonding Program'!$K$17),'Bonding Program'!$J$17,0)-IF(AND('Bonding Program'!$M$17&lt;&gt;"",C$3='Bonding Program'!$M$17),'Bonding Program'!$L$17,0)-IF(AND('Bonding Program'!$P$17&lt;&gt;"",C$3='Bonding Program'!$P$17),'Bonding Program'!$O$17,0)-IF(AND('Bonding Program'!$R$17&lt;&gt;"",C$3='Bonding Program'!$R$17),'Bonding Program'!$Q$17,0),0)</f>
        <v>0</v>
      </c>
      <c r="D158" s="19" t="n">
        <f aca="false">IF(AND('Bonding Program'!$S$17=1,D$3='Bonding Program'!$H$17),'Bonding Program'!$AA$17,0)-IF(D$3&lt;='Bonding Program'!$C$8,IF(AND('Bonding Program'!$K$17&lt;&gt;"",D$3='Bonding Program'!$K$17),'Bonding Program'!$J$17,0)-IF(AND('Bonding Program'!$M$17&lt;&gt;"",D$3='Bonding Program'!$M$17),'Bonding Program'!$L$17,0)-IF(AND('Bonding Program'!$P$17&lt;&gt;"",D$3='Bonding Program'!$P$17),'Bonding Program'!$O$17,0)-IF(AND('Bonding Program'!$R$17&lt;&gt;"",D$3='Bonding Program'!$R$17),'Bonding Program'!$Q$17,0),0)</f>
        <v>0</v>
      </c>
      <c r="E158" s="19" t="n">
        <f aca="false">IF(AND('Bonding Program'!$S$17=1,E$3='Bonding Program'!$H$17),'Bonding Program'!$AA$17,0)-IF(E$3&lt;='Bonding Program'!$C$8,IF(AND('Bonding Program'!$K$17&lt;&gt;"",E$3='Bonding Program'!$K$17),'Bonding Program'!$J$17,0)-IF(AND('Bonding Program'!$M$17&lt;&gt;"",E$3='Bonding Program'!$M$17),'Bonding Program'!$L$17,0)-IF(AND('Bonding Program'!$P$17&lt;&gt;"",E$3='Bonding Program'!$P$17),'Bonding Program'!$O$17,0)-IF(AND('Bonding Program'!$R$17&lt;&gt;"",E$3='Bonding Program'!$R$17),'Bonding Program'!$Q$17,0),0)</f>
        <v>0</v>
      </c>
      <c r="F158" s="19" t="n">
        <f aca="false">IF(AND('Bonding Program'!$S$17=1,F$3='Bonding Program'!$H$17),'Bonding Program'!$AA$17,0)-IF(F$3&lt;='Bonding Program'!$C$8,IF(AND('Bonding Program'!$K$17&lt;&gt;"",F$3='Bonding Program'!$K$17),'Bonding Program'!$J$17,0)-IF(AND('Bonding Program'!$M$17&lt;&gt;"",F$3='Bonding Program'!$M$17),'Bonding Program'!$L$17,0)-IF(AND('Bonding Program'!$P$17&lt;&gt;"",F$3='Bonding Program'!$P$17),'Bonding Program'!$O$17,0)-IF(AND('Bonding Program'!$R$17&lt;&gt;"",F$3='Bonding Program'!$R$17),'Bonding Program'!$Q$17,0),0)</f>
        <v>0</v>
      </c>
      <c r="G158" s="19" t="n">
        <f aca="false">IF(AND('Bonding Program'!$S$17=1,G$3='Bonding Program'!$H$17),'Bonding Program'!$AA$17,0)-IF(G$3&lt;='Bonding Program'!$C$8,IF(AND('Bonding Program'!$K$17&lt;&gt;"",G$3='Bonding Program'!$K$17),'Bonding Program'!$J$17,0)-IF(AND('Bonding Program'!$M$17&lt;&gt;"",G$3='Bonding Program'!$M$17),'Bonding Program'!$L$17,0)-IF(AND('Bonding Program'!$P$17&lt;&gt;"",G$3='Bonding Program'!$P$17),'Bonding Program'!$O$17,0)-IF(AND('Bonding Program'!$R$17&lt;&gt;"",G$3='Bonding Program'!$R$17),'Bonding Program'!$Q$17,0),0)</f>
        <v>0</v>
      </c>
      <c r="H158" s="19" t="n">
        <f aca="false">IF(AND('Bonding Program'!$S$17=1,H$3='Bonding Program'!$H$17),'Bonding Program'!$AA$17,0)-IF(H$3&lt;='Bonding Program'!$C$8,IF(AND('Bonding Program'!$K$17&lt;&gt;"",H$3='Bonding Program'!$K$17),'Bonding Program'!$J$17,0)-IF(AND('Bonding Program'!$M$17&lt;&gt;"",H$3='Bonding Program'!$M$17),'Bonding Program'!$L$17,0)-IF(AND('Bonding Program'!$P$17&lt;&gt;"",H$3='Bonding Program'!$P$17),'Bonding Program'!$O$17,0)-IF(AND('Bonding Program'!$R$17&lt;&gt;"",H$3='Bonding Program'!$R$17),'Bonding Program'!$Q$17,0),0)</f>
        <v>0</v>
      </c>
      <c r="I158" s="19" t="n">
        <f aca="false">IF(AND('Bonding Program'!$S$17=1,I$3='Bonding Program'!$H$17),'Bonding Program'!$AA$17,0)-IF(I$3&lt;='Bonding Program'!$C$8,IF(AND('Bonding Program'!$K$17&lt;&gt;"",I$3='Bonding Program'!$K$17),'Bonding Program'!$J$17,0)-IF(AND('Bonding Program'!$M$17&lt;&gt;"",I$3='Bonding Program'!$M$17),'Bonding Program'!$L$17,0)-IF(AND('Bonding Program'!$P$17&lt;&gt;"",I$3='Bonding Program'!$P$17),'Bonding Program'!$O$17,0)-IF(AND('Bonding Program'!$R$17&lt;&gt;"",I$3='Bonding Program'!$R$17),'Bonding Program'!$Q$17,0),0)</f>
        <v>-327263.721625</v>
      </c>
      <c r="J158" s="19" t="n">
        <f aca="false">IF(AND('Bonding Program'!$S$17=1,J$3='Bonding Program'!$H$17),'Bonding Program'!$AA$17,0)-IF(J$3&lt;='Bonding Program'!$C$8,IF(AND('Bonding Program'!$K$17&lt;&gt;"",J$3='Bonding Program'!$K$17),'Bonding Program'!$J$17,0)-IF(AND('Bonding Program'!$M$17&lt;&gt;"",J$3='Bonding Program'!$M$17),'Bonding Program'!$L$17,0)-IF(AND('Bonding Program'!$P$17&lt;&gt;"",J$3='Bonding Program'!$P$17),'Bonding Program'!$O$17,0)-IF(AND('Bonding Program'!$R$17&lt;&gt;"",J$3='Bonding Program'!$R$17),'Bonding Program'!$Q$17,0),0)</f>
        <v>0</v>
      </c>
      <c r="K158" s="19" t="n">
        <f aca="false">IF(AND('Bonding Program'!$S$17=1,K$3='Bonding Program'!$H$17),'Bonding Program'!$AA$17,0)-IF(K$3&lt;='Bonding Program'!$C$8,IF(AND('Bonding Program'!$K$17&lt;&gt;"",K$3='Bonding Program'!$K$17),'Bonding Program'!$J$17,0)-IF(AND('Bonding Program'!$M$17&lt;&gt;"",K$3='Bonding Program'!$M$17),'Bonding Program'!$L$17,0)-IF(AND('Bonding Program'!$P$17&lt;&gt;"",K$3='Bonding Program'!$P$17),'Bonding Program'!$O$17,0)-IF(AND('Bonding Program'!$R$17&lt;&gt;"",K$3='Bonding Program'!$R$17),'Bonding Program'!$Q$17,0),0)</f>
        <v>0</v>
      </c>
      <c r="L158" s="19" t="n">
        <f aca="false">IF(AND('Bonding Program'!$S$17=1,L$3='Bonding Program'!$H$17),'Bonding Program'!$AA$17,0)-IF(L$3&lt;='Bonding Program'!$C$8,IF(AND('Bonding Program'!$K$17&lt;&gt;"",L$3='Bonding Program'!$K$17),'Bonding Program'!$J$17,0)-IF(AND('Bonding Program'!$M$17&lt;&gt;"",L$3='Bonding Program'!$M$17),'Bonding Program'!$L$17,0)-IF(AND('Bonding Program'!$P$17&lt;&gt;"",L$3='Bonding Program'!$P$17),'Bonding Program'!$O$17,0)-IF(AND('Bonding Program'!$R$17&lt;&gt;"",L$3='Bonding Program'!$R$17),'Bonding Program'!$Q$17,0),0)</f>
        <v>0</v>
      </c>
      <c r="M158" s="19" t="n">
        <f aca="false">IF(AND('Bonding Program'!$S$17=1,M$3='Bonding Program'!$H$17),'Bonding Program'!$AA$17,0)-IF(M$3&lt;='Bonding Program'!$C$8,IF(AND('Bonding Program'!$K$17&lt;&gt;"",M$3='Bonding Program'!$K$17),'Bonding Program'!$J$17,0)-IF(AND('Bonding Program'!$M$17&lt;&gt;"",M$3='Bonding Program'!$M$17),'Bonding Program'!$L$17,0)-IF(AND('Bonding Program'!$P$17&lt;&gt;"",M$3='Bonding Program'!$P$17),'Bonding Program'!$O$17,0)-IF(AND('Bonding Program'!$R$17&lt;&gt;"",M$3='Bonding Program'!$R$17),'Bonding Program'!$Q$17,0),0)</f>
        <v>0</v>
      </c>
      <c r="N158" s="19" t="n">
        <f aca="false">IF(AND('Bonding Program'!$S$17=1,N$3='Bonding Program'!$H$17),'Bonding Program'!$AA$17,0)-IF(N$3&lt;='Bonding Program'!$C$8,IF(AND('Bonding Program'!$K$17&lt;&gt;"",N$3='Bonding Program'!$K$17),'Bonding Program'!$J$17,0)-IF(AND('Bonding Program'!$M$17&lt;&gt;"",N$3='Bonding Program'!$M$17),'Bonding Program'!$L$17,0)-IF(AND('Bonding Program'!$P$17&lt;&gt;"",N$3='Bonding Program'!$P$17),'Bonding Program'!$O$17,0)-IF(AND('Bonding Program'!$R$17&lt;&gt;"",N$3='Bonding Program'!$R$17),'Bonding Program'!$Q$17,0),0)</f>
        <v>0</v>
      </c>
      <c r="O158" s="19" t="n">
        <f aca="false">IF(AND('Bonding Program'!$S$17=1,O$3='Bonding Program'!$H$17),'Bonding Program'!$AA$17,0)-IF(O$3&lt;='Bonding Program'!$C$8,IF(AND('Bonding Program'!$K$17&lt;&gt;"",O$3='Bonding Program'!$K$17),'Bonding Program'!$J$17,0)-IF(AND('Bonding Program'!$M$17&lt;&gt;"",O$3='Bonding Program'!$M$17),'Bonding Program'!$L$17,0)-IF(AND('Bonding Program'!$P$17&lt;&gt;"",O$3='Bonding Program'!$P$17),'Bonding Program'!$O$17,0)-IF(AND('Bonding Program'!$R$17&lt;&gt;"",O$3='Bonding Program'!$R$17),'Bonding Program'!$Q$17,0),0)</f>
        <v>0</v>
      </c>
      <c r="P158" s="19" t="n">
        <f aca="false">IF(AND('Bonding Program'!$S$17=1,P$3='Bonding Program'!$H$17),'Bonding Program'!$AA$17,0)-IF(P$3&lt;='Bonding Program'!$C$8,IF(AND('Bonding Program'!$K$17&lt;&gt;"",P$3='Bonding Program'!$K$17),'Bonding Program'!$J$17,0)-IF(AND('Bonding Program'!$M$17&lt;&gt;"",P$3='Bonding Program'!$M$17),'Bonding Program'!$L$17,0)-IF(AND('Bonding Program'!$P$17&lt;&gt;"",P$3='Bonding Program'!$P$17),'Bonding Program'!$O$17,0)-IF(AND('Bonding Program'!$R$17&lt;&gt;"",P$3='Bonding Program'!$R$17),'Bonding Program'!$Q$17,0),0)</f>
        <v>0</v>
      </c>
      <c r="Q158" s="19" t="n">
        <f aca="false">IF(AND('Bonding Program'!$S$17=1,Q$3='Bonding Program'!$H$17),'Bonding Program'!$AA$17,0)-IF(Q$3&lt;='Bonding Program'!$C$8,IF(AND('Bonding Program'!$K$17&lt;&gt;"",Q$3='Bonding Program'!$K$17),'Bonding Program'!$J$17,0)-IF(AND('Bonding Program'!$M$17&lt;&gt;"",Q$3='Bonding Program'!$M$17),'Bonding Program'!$L$17,0)-IF(AND('Bonding Program'!$P$17&lt;&gt;"",Q$3='Bonding Program'!$P$17),'Bonding Program'!$O$17,0)-IF(AND('Bonding Program'!$R$17&lt;&gt;"",Q$3='Bonding Program'!$R$17),'Bonding Program'!$Q$17,0),0)</f>
        <v>0</v>
      </c>
      <c r="R158" s="19" t="n">
        <f aca="false">IF(AND('Bonding Program'!$S$17=1,R$3='Bonding Program'!$H$17),'Bonding Program'!$AA$17,0)-IF(R$3&lt;='Bonding Program'!$C$8,IF(AND('Bonding Program'!$K$17&lt;&gt;"",R$3='Bonding Program'!$K$17),'Bonding Program'!$J$17,0)-IF(AND('Bonding Program'!$M$17&lt;&gt;"",R$3='Bonding Program'!$M$17),'Bonding Program'!$L$17,0)-IF(AND('Bonding Program'!$P$17&lt;&gt;"",R$3='Bonding Program'!$P$17),'Bonding Program'!$O$17,0)-IF(AND('Bonding Program'!$R$17&lt;&gt;"",R$3='Bonding Program'!$R$17),'Bonding Program'!$Q$17,0),0)</f>
        <v>0</v>
      </c>
      <c r="S158" s="19" t="n">
        <f aca="false">IF(AND('Bonding Program'!$S$17=1,S$3='Bonding Program'!$H$17),'Bonding Program'!$AA$17,0)-IF(S$3&lt;='Bonding Program'!$C$8,IF(AND('Bonding Program'!$K$17&lt;&gt;"",S$3='Bonding Program'!$K$17),'Bonding Program'!$J$17,0)-IF(AND('Bonding Program'!$M$17&lt;&gt;"",S$3='Bonding Program'!$M$17),'Bonding Program'!$L$17,0)-IF(AND('Bonding Program'!$P$17&lt;&gt;"",S$3='Bonding Program'!$P$17),'Bonding Program'!$O$17,0)-IF(AND('Bonding Program'!$R$17&lt;&gt;"",S$3='Bonding Program'!$R$17),'Bonding Program'!$Q$17,0),0)</f>
        <v>0</v>
      </c>
      <c r="T158" s="19" t="n">
        <f aca="false">IF(AND('Bonding Program'!$S$17=1,T$3='Bonding Program'!$H$17),'Bonding Program'!$AA$17,0)-IF(T$3&lt;='Bonding Program'!$C$8,IF(AND('Bonding Program'!$K$17&lt;&gt;"",T$3='Bonding Program'!$K$17),'Bonding Program'!$J$17,0)-IF(AND('Bonding Program'!$M$17&lt;&gt;"",T$3='Bonding Program'!$M$17),'Bonding Program'!$L$17,0)-IF(AND('Bonding Program'!$P$17&lt;&gt;"",T$3='Bonding Program'!$P$17),'Bonding Program'!$O$17,0)-IF(AND('Bonding Program'!$R$17&lt;&gt;"",T$3='Bonding Program'!$R$17),'Bonding Program'!$Q$17,0),0)</f>
        <v>0</v>
      </c>
      <c r="U158" s="19" t="n">
        <f aca="false">IF(AND('Bonding Program'!$S$17=1,U$3='Bonding Program'!$H$17),'Bonding Program'!$AA$17,0)-IF(U$3&lt;='Bonding Program'!$C$8,IF(AND('Bonding Program'!$K$17&lt;&gt;"",U$3='Bonding Program'!$K$17),'Bonding Program'!$J$17,0)-IF(AND('Bonding Program'!$M$17&lt;&gt;"",U$3='Bonding Program'!$M$17),'Bonding Program'!$L$17,0)-IF(AND('Bonding Program'!$P$17&lt;&gt;"",U$3='Bonding Program'!$P$17),'Bonding Program'!$O$17,0)-IF(AND('Bonding Program'!$R$17&lt;&gt;"",U$3='Bonding Program'!$R$17),'Bonding Program'!$Q$17,0),0)</f>
        <v>0</v>
      </c>
      <c r="V158" s="19" t="n">
        <f aca="false">IF(AND('Bonding Program'!$S$17=1,V$3='Bonding Program'!$H$17),'Bonding Program'!$AA$17,0)-IF(V$3&lt;='Bonding Program'!$C$8,IF(AND('Bonding Program'!$K$17&lt;&gt;"",V$3='Bonding Program'!$K$17),'Bonding Program'!$J$17,0)-IF(AND('Bonding Program'!$M$17&lt;&gt;"",V$3='Bonding Program'!$M$17),'Bonding Program'!$L$17,0)-IF(AND('Bonding Program'!$P$17&lt;&gt;"",V$3='Bonding Program'!$P$17),'Bonding Program'!$O$17,0)-IF(AND('Bonding Program'!$R$17&lt;&gt;"",V$3='Bonding Program'!$R$17),'Bonding Program'!$Q$17,0),0)</f>
        <v>0</v>
      </c>
      <c r="W158" s="19" t="n">
        <f aca="false">IF(AND('Bonding Program'!$S$17=1,W$3='Bonding Program'!$H$17),'Bonding Program'!$AA$17,0)-IF(W$3&lt;='Bonding Program'!$C$8,IF(AND('Bonding Program'!$K$17&lt;&gt;"",W$3='Bonding Program'!$K$17),'Bonding Program'!$J$17,0)-IF(AND('Bonding Program'!$M$17&lt;&gt;"",W$3='Bonding Program'!$M$17),'Bonding Program'!$L$17,0)-IF(AND('Bonding Program'!$P$17&lt;&gt;"",W$3='Bonding Program'!$P$17),'Bonding Program'!$O$17,0)-IF(AND('Bonding Program'!$R$17&lt;&gt;"",W$3='Bonding Program'!$R$17),'Bonding Program'!$Q$17,0),0)</f>
        <v>0</v>
      </c>
      <c r="X158" s="19" t="n">
        <f aca="false">IF(AND('Bonding Program'!$S$17=1,X$3='Bonding Program'!$H$17),'Bonding Program'!$AA$17,0)-IF(X$3&lt;='Bonding Program'!$C$8,IF(AND('Bonding Program'!$K$17&lt;&gt;"",X$3='Bonding Program'!$K$17),'Bonding Program'!$J$17,0)-IF(AND('Bonding Program'!$M$17&lt;&gt;"",X$3='Bonding Program'!$M$17),'Bonding Program'!$L$17,0)-IF(AND('Bonding Program'!$P$17&lt;&gt;"",X$3='Bonding Program'!$P$17),'Bonding Program'!$O$17,0)-IF(AND('Bonding Program'!$R$17&lt;&gt;"",X$3='Bonding Program'!$R$17),'Bonding Program'!$Q$17,0),0)</f>
        <v>0</v>
      </c>
      <c r="Y158" s="19" t="n">
        <f aca="false">IF(AND('Bonding Program'!$S$17=1,Y$3='Bonding Program'!$H$17),'Bonding Program'!$AA$17,0)-IF(Y$3&lt;='Bonding Program'!$C$8,IF(AND('Bonding Program'!$K$17&lt;&gt;"",Y$3='Bonding Program'!$K$17),'Bonding Program'!$J$17,0)-IF(AND('Bonding Program'!$M$17&lt;&gt;"",Y$3='Bonding Program'!$M$17),'Bonding Program'!$L$17,0)-IF(AND('Bonding Program'!$P$17&lt;&gt;"",Y$3='Bonding Program'!$P$17),'Bonding Program'!$O$17,0)-IF(AND('Bonding Program'!$R$17&lt;&gt;"",Y$3='Bonding Program'!$R$17),'Bonding Program'!$Q$17,0),0)</f>
        <v>0</v>
      </c>
      <c r="Z158" s="19" t="n">
        <f aca="false">IF(AND('Bonding Program'!$S$17=1,Z$3='Bonding Program'!$H$17),'Bonding Program'!$AA$17,0)-IF(Z$3&lt;='Bonding Program'!$C$8,IF(AND('Bonding Program'!$K$17&lt;&gt;"",Z$3='Bonding Program'!$K$17),'Bonding Program'!$J$17,0)-IF(AND('Bonding Program'!$M$17&lt;&gt;"",Z$3='Bonding Program'!$M$17),'Bonding Program'!$L$17,0)-IF(AND('Bonding Program'!$P$17&lt;&gt;"",Z$3='Bonding Program'!$P$17),'Bonding Program'!$O$17,0)-IF(AND('Bonding Program'!$R$17&lt;&gt;"",Z$3='Bonding Program'!$R$17),'Bonding Program'!$Q$17,0),0)</f>
        <v>0</v>
      </c>
      <c r="AA158" s="19" t="n">
        <f aca="false">IF(AND('Bonding Program'!$S$17=1,AA$3='Bonding Program'!$H$17),'Bonding Program'!$AA$17,0)-IF(AA$3&lt;='Bonding Program'!$C$8,IF(AND('Bonding Program'!$K$17&lt;&gt;"",AA$3='Bonding Program'!$K$17),'Bonding Program'!$J$17,0)-IF(AND('Bonding Program'!$M$17&lt;&gt;"",AA$3='Bonding Program'!$M$17),'Bonding Program'!$L$17,0)-IF(AND('Bonding Program'!$P$17&lt;&gt;"",AA$3='Bonding Program'!$P$17),'Bonding Program'!$O$17,0)-IF(AND('Bonding Program'!$R$17&lt;&gt;"",AA$3='Bonding Program'!$R$17),'Bonding Program'!$Q$17,0),0)</f>
        <v>0</v>
      </c>
      <c r="AB158" s="19" t="n">
        <f aca="false">IF(AND('Bonding Program'!$S$17=1,AB$3='Bonding Program'!$H$17),'Bonding Program'!$AA$17,0)-IF(AB$3&lt;='Bonding Program'!$C$8,IF(AND('Bonding Program'!$K$17&lt;&gt;"",AB$3='Bonding Program'!$K$17),'Bonding Program'!$J$17,0)-IF(AND('Bonding Program'!$M$17&lt;&gt;"",AB$3='Bonding Program'!$M$17),'Bonding Program'!$L$17,0)-IF(AND('Bonding Program'!$P$17&lt;&gt;"",AB$3='Bonding Program'!$P$17),'Bonding Program'!$O$17,0)-IF(AND('Bonding Program'!$R$17&lt;&gt;"",AB$3='Bonding Program'!$R$17),'Bonding Program'!$Q$17,0),0)</f>
        <v>0</v>
      </c>
      <c r="AC158" s="19" t="n">
        <f aca="false">IF(AND('Bonding Program'!$S$17=1,AC$3='Bonding Program'!$H$17),'Bonding Program'!$AA$17,0)-IF(AC$3&lt;='Bonding Program'!$C$8,IF(AND('Bonding Program'!$K$17&lt;&gt;"",AC$3='Bonding Program'!$K$17),'Bonding Program'!$J$17,0)-IF(AND('Bonding Program'!$M$17&lt;&gt;"",AC$3='Bonding Program'!$M$17),'Bonding Program'!$L$17,0)-IF(AND('Bonding Program'!$P$17&lt;&gt;"",AC$3='Bonding Program'!$P$17),'Bonding Program'!$O$17,0)-IF(AND('Bonding Program'!$R$17&lt;&gt;"",AC$3='Bonding Program'!$R$17),'Bonding Program'!$Q$17,0),0)</f>
        <v>0</v>
      </c>
      <c r="AD158" s="19" t="n">
        <f aca="false">IF(AND('Bonding Program'!$S$17=1,AD$3='Bonding Program'!$H$17),'Bonding Program'!$AA$17,0)-IF(AD$3&lt;='Bonding Program'!$C$8,IF(AND('Bonding Program'!$K$17&lt;&gt;"",AD$3='Bonding Program'!$K$17),'Bonding Program'!$J$17,0)-IF(AND('Bonding Program'!$M$17&lt;&gt;"",AD$3='Bonding Program'!$M$17),'Bonding Program'!$L$17,0)-IF(AND('Bonding Program'!$P$17&lt;&gt;"",AD$3='Bonding Program'!$P$17),'Bonding Program'!$O$17,0)-IF(AND('Bonding Program'!$R$17&lt;&gt;"",AD$3='Bonding Program'!$R$17),'Bonding Program'!$Q$17,0),0)</f>
        <v>0</v>
      </c>
      <c r="AE158" s="19" t="n">
        <f aca="false">IF(AND('Bonding Program'!$S$17=1,AE$3='Bonding Program'!$H$17),'Bonding Program'!$AA$17,0)-IF(AE$3&lt;='Bonding Program'!$C$8,IF(AND('Bonding Program'!$K$17&lt;&gt;"",AE$3='Bonding Program'!$K$17),'Bonding Program'!$J$17,0)-IF(AND('Bonding Program'!$M$17&lt;&gt;"",AE$3='Bonding Program'!$M$17),'Bonding Program'!$L$17,0)-IF(AND('Bonding Program'!$P$17&lt;&gt;"",AE$3='Bonding Program'!$P$17),'Bonding Program'!$O$17,0)-IF(AND('Bonding Program'!$R$17&lt;&gt;"",AE$3='Bonding Program'!$R$17),'Bonding Program'!$Q$17,0),0)</f>
        <v>0</v>
      </c>
      <c r="AF158" s="19" t="n">
        <f aca="false">IF(AND('Bonding Program'!$S$17=1,AF$3='Bonding Program'!$H$17),'Bonding Program'!$AA$17,0)-IF(AF$3&lt;='Bonding Program'!$C$8,IF(AND('Bonding Program'!$K$17&lt;&gt;"",AF$3='Bonding Program'!$K$17),'Bonding Program'!$J$17,0)-IF(AND('Bonding Program'!$M$17&lt;&gt;"",AF$3='Bonding Program'!$M$17),'Bonding Program'!$L$17,0)-IF(AND('Bonding Program'!$P$17&lt;&gt;"",AF$3='Bonding Program'!$P$17),'Bonding Program'!$O$17,0)-IF(AND('Bonding Program'!$R$17&lt;&gt;"",AF$3='Bonding Program'!$R$17),'Bonding Program'!$Q$17,0),0)</f>
        <v>0</v>
      </c>
      <c r="AG158" s="19" t="n">
        <f aca="false">IF(AND('Bonding Program'!$S$17=1,AG$3='Bonding Program'!$H$17),'Bonding Program'!$AA$17,0)-IF(AG$3&lt;='Bonding Program'!$C$8,IF(AND('Bonding Program'!$K$17&lt;&gt;"",AG$3='Bonding Program'!$K$17),'Bonding Program'!$J$17,0)-IF(AND('Bonding Program'!$M$17&lt;&gt;"",AG$3='Bonding Program'!$M$17),'Bonding Program'!$L$17,0)-IF(AND('Bonding Program'!$P$17&lt;&gt;"",AG$3='Bonding Program'!$P$17),'Bonding Program'!$O$17,0)-IF(AND('Bonding Program'!$R$17&lt;&gt;"",AG$3='Bonding Program'!$R$17),'Bonding Program'!$Q$17,0),0)</f>
        <v>0</v>
      </c>
      <c r="AH158" s="19" t="n">
        <f aca="false">IF(AND('Bonding Program'!$S$17=1,AH$3='Bonding Program'!$H$17),'Bonding Program'!$AA$17,0)-IF(AH$3&lt;='Bonding Program'!$C$8,IF(AND('Bonding Program'!$K$17&lt;&gt;"",AH$3='Bonding Program'!$K$17),'Bonding Program'!$J$17,0)-IF(AND('Bonding Program'!$M$17&lt;&gt;"",AH$3='Bonding Program'!$M$17),'Bonding Program'!$L$17,0)-IF(AND('Bonding Program'!$P$17&lt;&gt;"",AH$3='Bonding Program'!$P$17),'Bonding Program'!$O$17,0)-IF(AND('Bonding Program'!$R$17&lt;&gt;"",AH$3='Bonding Program'!$R$17),'Bonding Program'!$Q$17,0),0)</f>
        <v>0</v>
      </c>
      <c r="AI158" s="19" t="n">
        <f aca="false">IF(AND('Bonding Program'!$S$17=1,AI$3='Bonding Program'!$H$17),'Bonding Program'!$AA$17,0)-IF(AI$3&lt;='Bonding Program'!$C$8,IF(AND('Bonding Program'!$K$17&lt;&gt;"",AI$3='Bonding Program'!$K$17),'Bonding Program'!$J$17,0)-IF(AND('Bonding Program'!$M$17&lt;&gt;"",AI$3='Bonding Program'!$M$17),'Bonding Program'!$L$17,0)-IF(AND('Bonding Program'!$P$17&lt;&gt;"",AI$3='Bonding Program'!$P$17),'Bonding Program'!$O$17,0)-IF(AND('Bonding Program'!$R$17&lt;&gt;"",AI$3='Bonding Program'!$R$17),'Bonding Program'!$Q$17,0),0)</f>
        <v>0</v>
      </c>
      <c r="AJ158" s="19" t="n">
        <f aca="false">IF(AND('Bonding Program'!$S$17=1,AJ$3='Bonding Program'!$H$17),'Bonding Program'!$AA$17,0)-IF(AJ$3&lt;='Bonding Program'!$C$8,IF(AND('Bonding Program'!$K$17&lt;&gt;"",AJ$3='Bonding Program'!$K$17),'Bonding Program'!$J$17,0)-IF(AND('Bonding Program'!$M$17&lt;&gt;"",AJ$3='Bonding Program'!$M$17),'Bonding Program'!$L$17,0)-IF(AND('Bonding Program'!$P$17&lt;&gt;"",AJ$3='Bonding Program'!$P$17),'Bonding Program'!$O$17,0)-IF(AND('Bonding Program'!$R$17&lt;&gt;"",AJ$3='Bonding Program'!$R$17),'Bonding Program'!$Q$17,0),0)</f>
        <v>0</v>
      </c>
      <c r="AK158" s="19" t="n">
        <f aca="false">IF(AND('Bonding Program'!$S$17=1,AK$3='Bonding Program'!$H$17),'Bonding Program'!$AA$17,0)-IF(AK$3&lt;='Bonding Program'!$C$8,IF(AND('Bonding Program'!$K$17&lt;&gt;"",AK$3='Bonding Program'!$K$17),'Bonding Program'!$J$17,0)-IF(AND('Bonding Program'!$M$17&lt;&gt;"",AK$3='Bonding Program'!$M$17),'Bonding Program'!$L$17,0)-IF(AND('Bonding Program'!$P$17&lt;&gt;"",AK$3='Bonding Program'!$P$17),'Bonding Program'!$O$17,0)-IF(AND('Bonding Program'!$R$17&lt;&gt;"",AK$3='Bonding Program'!$R$17),'Bonding Program'!$Q$17,0),0)</f>
        <v>0</v>
      </c>
      <c r="AL158" s="19" t="n">
        <f aca="false">IF(AND('Bonding Program'!$S$17=1,AL$3='Bonding Program'!$H$17),'Bonding Program'!$AA$17,0)-IF(AL$3&lt;='Bonding Program'!$C$8,IF(AND('Bonding Program'!$K$17&lt;&gt;"",AL$3='Bonding Program'!$K$17),'Bonding Program'!$J$17,0)-IF(AND('Bonding Program'!$M$17&lt;&gt;"",AL$3='Bonding Program'!$M$17),'Bonding Program'!$L$17,0)-IF(AND('Bonding Program'!$P$17&lt;&gt;"",AL$3='Bonding Program'!$P$17),'Bonding Program'!$O$17,0)-IF(AND('Bonding Program'!$R$17&lt;&gt;"",AL$3='Bonding Program'!$R$17),'Bonding Program'!$Q$17,0),0)</f>
        <v>0</v>
      </c>
      <c r="AM158" s="19" t="n">
        <f aca="false">IF(AND('Bonding Program'!$S$17=1,AM$3='Bonding Program'!$H$17),'Bonding Program'!$AA$17,0)-IF(AM$3&lt;='Bonding Program'!$C$8,IF(AND('Bonding Program'!$K$17&lt;&gt;"",AM$3='Bonding Program'!$K$17),'Bonding Program'!$J$17,0)-IF(AND('Bonding Program'!$M$17&lt;&gt;"",AM$3='Bonding Program'!$M$17),'Bonding Program'!$L$17,0)-IF(AND('Bonding Program'!$P$17&lt;&gt;"",AM$3='Bonding Program'!$P$17),'Bonding Program'!$O$17,0)-IF(AND('Bonding Program'!$R$17&lt;&gt;"",AM$3='Bonding Program'!$R$17),'Bonding Program'!$Q$17,0),0)</f>
        <v>0</v>
      </c>
      <c r="AN158" s="19" t="n">
        <f aca="false">IF(AND('Bonding Program'!$S$17=1,AN$3='Bonding Program'!$H$17),'Bonding Program'!$AA$17,0)-IF(AN$3&lt;='Bonding Program'!$C$8,IF(AND('Bonding Program'!$K$17&lt;&gt;"",AN$3='Bonding Program'!$K$17),'Bonding Program'!$J$17,0)-IF(AND('Bonding Program'!$M$17&lt;&gt;"",AN$3='Bonding Program'!$M$17),'Bonding Program'!$L$17,0)-IF(AND('Bonding Program'!$P$17&lt;&gt;"",AN$3='Bonding Program'!$P$17),'Bonding Program'!$O$17,0)-IF(AND('Bonding Program'!$R$17&lt;&gt;"",AN$3='Bonding Program'!$R$17),'Bonding Program'!$Q$17,0),0)</f>
        <v>0</v>
      </c>
      <c r="AO158" s="19" t="n">
        <f aca="false">IF(AND('Bonding Program'!$S$17=1,AO$3='Bonding Program'!$H$17),'Bonding Program'!$AA$17,0)-IF(AO$3&lt;='Bonding Program'!$C$8,IF(AND('Bonding Program'!$K$17&lt;&gt;"",AO$3='Bonding Program'!$K$17),'Bonding Program'!$J$17,0)-IF(AND('Bonding Program'!$M$17&lt;&gt;"",AO$3='Bonding Program'!$M$17),'Bonding Program'!$L$17,0)-IF(AND('Bonding Program'!$P$17&lt;&gt;"",AO$3='Bonding Program'!$P$17),'Bonding Program'!$O$17,0)-IF(AND('Bonding Program'!$R$17&lt;&gt;"",AO$3='Bonding Program'!$R$17),'Bonding Program'!$Q$17,0),0)</f>
        <v>0</v>
      </c>
      <c r="AP158" s="19" t="n">
        <f aca="false">IF(AND('Bonding Program'!$S$17=1,AP$3='Bonding Program'!$H$17),'Bonding Program'!$AA$17,0)-IF(AP$3&lt;='Bonding Program'!$C$8,IF(AND('Bonding Program'!$K$17&lt;&gt;"",AP$3='Bonding Program'!$K$17),'Bonding Program'!$J$17,0)-IF(AND('Bonding Program'!$M$17&lt;&gt;"",AP$3='Bonding Program'!$M$17),'Bonding Program'!$L$17,0)-IF(AND('Bonding Program'!$P$17&lt;&gt;"",AP$3='Bonding Program'!$P$17),'Bonding Program'!$O$17,0)-IF(AND('Bonding Program'!$R$17&lt;&gt;"",AP$3='Bonding Program'!$R$17),'Bonding Program'!$Q$17,0),0)</f>
        <v>0</v>
      </c>
      <c r="AQ158" s="19" t="n">
        <f aca="false">IF(AND('Bonding Program'!$S$17=1,AQ$3='Bonding Program'!$H$17),'Bonding Program'!$AA$17,0)-IF(AQ$3&lt;='Bonding Program'!$C$8,IF(AND('Bonding Program'!$K$17&lt;&gt;"",AQ$3='Bonding Program'!$K$17),'Bonding Program'!$J$17,0)-IF(AND('Bonding Program'!$M$17&lt;&gt;"",AQ$3='Bonding Program'!$M$17),'Bonding Program'!$L$17,0)-IF(AND('Bonding Program'!$P$17&lt;&gt;"",AQ$3='Bonding Program'!$P$17),'Bonding Program'!$O$17,0)-IF(AND('Bonding Program'!$R$17&lt;&gt;"",AQ$3='Bonding Program'!$R$17),'Bonding Program'!$Q$17,0),0)</f>
        <v>0</v>
      </c>
      <c r="AR158" s="19" t="n">
        <f aca="false">IF(AND('Bonding Program'!$S$17=1,AR$3='Bonding Program'!$H$17),'Bonding Program'!$AA$17,0)-IF(AR$3&lt;='Bonding Program'!$C$8,IF(AND('Bonding Program'!$K$17&lt;&gt;"",AR$3='Bonding Program'!$K$17),'Bonding Program'!$J$17,0)-IF(AND('Bonding Program'!$M$17&lt;&gt;"",AR$3='Bonding Program'!$M$17),'Bonding Program'!$L$17,0)-IF(AND('Bonding Program'!$P$17&lt;&gt;"",AR$3='Bonding Program'!$P$17),'Bonding Program'!$O$17,0)-IF(AND('Bonding Program'!$R$17&lt;&gt;"",AR$3='Bonding Program'!$R$17),'Bonding Program'!$Q$17,0),0)</f>
        <v>0</v>
      </c>
      <c r="AS158" s="19" t="n">
        <f aca="false">IF(AND('Bonding Program'!$S$17=1,AS$3='Bonding Program'!$H$17),'Bonding Program'!$AA$17,0)-IF(AS$3&lt;='Bonding Program'!$C$8,IF(AND('Bonding Program'!$K$17&lt;&gt;"",AS$3='Bonding Program'!$K$17),'Bonding Program'!$J$17,0)-IF(AND('Bonding Program'!$M$17&lt;&gt;"",AS$3='Bonding Program'!$M$17),'Bonding Program'!$L$17,0)-IF(AND('Bonding Program'!$P$17&lt;&gt;"",AS$3='Bonding Program'!$P$17),'Bonding Program'!$O$17,0)-IF(AND('Bonding Program'!$R$17&lt;&gt;"",AS$3='Bonding Program'!$R$17),'Bonding Program'!$Q$17,0),0)</f>
        <v>0</v>
      </c>
      <c r="AT158" s="19" t="n">
        <f aca="false">IF(AND('Bonding Program'!$S$17=1,AT$3='Bonding Program'!$H$17),'Bonding Program'!$AA$17,0)-IF(AT$3&lt;='Bonding Program'!$C$8,IF(AND('Bonding Program'!$K$17&lt;&gt;"",AT$3='Bonding Program'!$K$17),'Bonding Program'!$J$17,0)-IF(AND('Bonding Program'!$M$17&lt;&gt;"",AT$3='Bonding Program'!$M$17),'Bonding Program'!$L$17,0)-IF(AND('Bonding Program'!$P$17&lt;&gt;"",AT$3='Bonding Program'!$P$17),'Bonding Program'!$O$17,0)-IF(AND('Bonding Program'!$R$17&lt;&gt;"",AT$3='Bonding Program'!$R$17),'Bonding Program'!$Q$17,0),0)</f>
        <v>0</v>
      </c>
      <c r="AU158" s="19" t="n">
        <f aca="false">IF(AND('Bonding Program'!$S$17=1,AU$3='Bonding Program'!$H$17),'Bonding Program'!$AA$17,0)-IF(AU$3&lt;='Bonding Program'!$C$8,IF(AND('Bonding Program'!$K$17&lt;&gt;"",AU$3='Bonding Program'!$K$17),'Bonding Program'!$J$17,0)-IF(AND('Bonding Program'!$M$17&lt;&gt;"",AU$3='Bonding Program'!$M$17),'Bonding Program'!$L$17,0)-IF(AND('Bonding Program'!$P$17&lt;&gt;"",AU$3='Bonding Program'!$P$17),'Bonding Program'!$O$17,0)-IF(AND('Bonding Program'!$R$17&lt;&gt;"",AU$3='Bonding Program'!$R$17),'Bonding Program'!$Q$17,0),0)</f>
        <v>0</v>
      </c>
      <c r="AV158" s="19" t="n">
        <f aca="false">IF(AND('Bonding Program'!$S$17=1,AV$3='Bonding Program'!$H$17),'Bonding Program'!$AA$17,0)-IF(AV$3&lt;='Bonding Program'!$C$8,IF(AND('Bonding Program'!$K$17&lt;&gt;"",AV$3='Bonding Program'!$K$17),'Bonding Program'!$J$17,0)-IF(AND('Bonding Program'!$M$17&lt;&gt;"",AV$3='Bonding Program'!$M$17),'Bonding Program'!$L$17,0)-IF(AND('Bonding Program'!$P$17&lt;&gt;"",AV$3='Bonding Program'!$P$17),'Bonding Program'!$O$17,0)-IF(AND('Bonding Program'!$R$17&lt;&gt;"",AV$3='Bonding Program'!$R$17),'Bonding Program'!$Q$17,0),0)</f>
        <v>0</v>
      </c>
      <c r="AW158" s="19" t="n">
        <f aca="false">IF(AND('Bonding Program'!$S$17=1,AW$3='Bonding Program'!$H$17),'Bonding Program'!$AA$17,0)-IF(AW$3&lt;='Bonding Program'!$C$8,IF(AND('Bonding Program'!$K$17&lt;&gt;"",AW$3='Bonding Program'!$K$17),'Bonding Program'!$J$17,0)-IF(AND('Bonding Program'!$M$17&lt;&gt;"",AW$3='Bonding Program'!$M$17),'Bonding Program'!$L$17,0)-IF(AND('Bonding Program'!$P$17&lt;&gt;"",AW$3='Bonding Program'!$P$17),'Bonding Program'!$O$17,0)-IF(AND('Bonding Program'!$R$17&lt;&gt;"",AW$3='Bonding Program'!$R$17),'Bonding Program'!$Q$17,0),0)</f>
        <v>0</v>
      </c>
      <c r="AX158" s="19" t="n">
        <f aca="false">IF(AND('Bonding Program'!$S$17=1,AX$3='Bonding Program'!$H$17),'Bonding Program'!$AA$17,0)-IF(AX$3&lt;='Bonding Program'!$C$8,IF(AND('Bonding Program'!$K$17&lt;&gt;"",AX$3='Bonding Program'!$K$17),'Bonding Program'!$J$17,0)-IF(AND('Bonding Program'!$M$17&lt;&gt;"",AX$3='Bonding Program'!$M$17),'Bonding Program'!$L$17,0)-IF(AND('Bonding Program'!$P$17&lt;&gt;"",AX$3='Bonding Program'!$P$17),'Bonding Program'!$O$17,0)-IF(AND('Bonding Program'!$R$17&lt;&gt;"",AX$3='Bonding Program'!$R$17),'Bonding Program'!$Q$17,0),0)</f>
        <v>0</v>
      </c>
      <c r="AY158" s="19" t="n">
        <f aca="false">IF(AND('Bonding Program'!$S$17=1,AY$3='Bonding Program'!$H$17),'Bonding Program'!$AA$17,0)-IF(AY$3&lt;='Bonding Program'!$C$8,IF(AND('Bonding Program'!$K$17&lt;&gt;"",AY$3='Bonding Program'!$K$17),'Bonding Program'!$J$17,0)-IF(AND('Bonding Program'!$M$17&lt;&gt;"",AY$3='Bonding Program'!$M$17),'Bonding Program'!$L$17,0)-IF(AND('Bonding Program'!$P$17&lt;&gt;"",AY$3='Bonding Program'!$P$17),'Bonding Program'!$O$17,0)-IF(AND('Bonding Program'!$R$17&lt;&gt;"",AY$3='Bonding Program'!$R$17),'Bonding Program'!$Q$17,0),0)</f>
        <v>0</v>
      </c>
      <c r="AZ158" s="19" t="n">
        <f aca="false">IF(AND('Bonding Program'!$S$17=1,AZ$3='Bonding Program'!$H$17),'Bonding Program'!$AA$17,0)-IF(AZ$3&lt;='Bonding Program'!$C$8,IF(AND('Bonding Program'!$K$17&lt;&gt;"",AZ$3='Bonding Program'!$K$17),'Bonding Program'!$J$17,0)-IF(AND('Bonding Program'!$M$17&lt;&gt;"",AZ$3='Bonding Program'!$M$17),'Bonding Program'!$L$17,0)-IF(AND('Bonding Program'!$P$17&lt;&gt;"",AZ$3='Bonding Program'!$P$17),'Bonding Program'!$O$17,0)-IF(AND('Bonding Program'!$R$17&lt;&gt;"",AZ$3='Bonding Program'!$R$17),'Bonding Program'!$Q$17,0),0)</f>
        <v>0</v>
      </c>
      <c r="BA158" s="19" t="n">
        <f aca="false">IF(AND('Bonding Program'!$S$17=1,BA$3='Bonding Program'!$H$17),'Bonding Program'!$AA$17,0)-IF(BA$3&lt;='Bonding Program'!$C$8,IF(AND('Bonding Program'!$K$17&lt;&gt;"",BA$3='Bonding Program'!$K$17),'Bonding Program'!$J$17,0)-IF(AND('Bonding Program'!$M$17&lt;&gt;"",BA$3='Bonding Program'!$M$17),'Bonding Program'!$L$17,0)-IF(AND('Bonding Program'!$P$17&lt;&gt;"",BA$3='Bonding Program'!$P$17),'Bonding Program'!$O$17,0)-IF(AND('Bonding Program'!$R$17&lt;&gt;"",BA$3='Bonding Program'!$R$17),'Bonding Program'!$Q$17,0),0)</f>
        <v>0</v>
      </c>
      <c r="BB158" s="19" t="n">
        <f aca="false">IF(AND('Bonding Program'!$S$17=1,BB$3='Bonding Program'!$H$17),'Bonding Program'!$AA$17,0)-IF(BB$3&lt;='Bonding Program'!$C$8,IF(AND('Bonding Program'!$K$17&lt;&gt;"",BB$3='Bonding Program'!$K$17),'Bonding Program'!$J$17,0)-IF(AND('Bonding Program'!$M$17&lt;&gt;"",BB$3='Bonding Program'!$M$17),'Bonding Program'!$L$17,0)-IF(AND('Bonding Program'!$P$17&lt;&gt;"",BB$3='Bonding Program'!$P$17),'Bonding Program'!$O$17,0)-IF(AND('Bonding Program'!$R$17&lt;&gt;"",BB$3='Bonding Program'!$R$17),'Bonding Program'!$Q$17,0),0)</f>
        <v>0</v>
      </c>
      <c r="BC158" s="19" t="n">
        <f aca="false">IF(AND('Bonding Program'!$S$17=1,BC$3='Bonding Program'!$H$17),'Bonding Program'!$AA$17,0)-IF(BC$3&lt;='Bonding Program'!$C$8,IF(AND('Bonding Program'!$K$17&lt;&gt;"",BC$3='Bonding Program'!$K$17),'Bonding Program'!$J$17,0)-IF(AND('Bonding Program'!$M$17&lt;&gt;"",BC$3='Bonding Program'!$M$17),'Bonding Program'!$L$17,0)-IF(AND('Bonding Program'!$P$17&lt;&gt;"",BC$3='Bonding Program'!$P$17),'Bonding Program'!$O$17,0)-IF(AND('Bonding Program'!$R$17&lt;&gt;"",BC$3='Bonding Program'!$R$17),'Bonding Program'!$Q$17,0),0)</f>
        <v>0</v>
      </c>
      <c r="BD158" s="19" t="n">
        <f aca="false">IF(AND('Bonding Program'!$S$17=1,BD$3='Bonding Program'!$H$17),'Bonding Program'!$AA$17,0)-IF(BD$3&lt;='Bonding Program'!$C$8,IF(AND('Bonding Program'!$K$17&lt;&gt;"",BD$3='Bonding Program'!$K$17),'Bonding Program'!$J$17,0)-IF(AND('Bonding Program'!$M$17&lt;&gt;"",BD$3='Bonding Program'!$M$17),'Bonding Program'!$L$17,0)-IF(AND('Bonding Program'!$P$17&lt;&gt;"",BD$3='Bonding Program'!$P$17),'Bonding Program'!$O$17,0)-IF(AND('Bonding Program'!$R$17&lt;&gt;"",BD$3='Bonding Program'!$R$17),'Bonding Program'!$Q$17,0),0)</f>
        <v>0</v>
      </c>
      <c r="BE158" s="19" t="n">
        <f aca="false">IF(AND('Bonding Program'!$S$17=1,BE$3='Bonding Program'!$H$17),'Bonding Program'!$AA$17,0)-IF(BE$3&lt;='Bonding Program'!$C$8,IF(AND('Bonding Program'!$K$17&lt;&gt;"",BE$3='Bonding Program'!$K$17),'Bonding Program'!$J$17,0)-IF(AND('Bonding Program'!$M$17&lt;&gt;"",BE$3='Bonding Program'!$M$17),'Bonding Program'!$L$17,0)-IF(AND('Bonding Program'!$P$17&lt;&gt;"",BE$3='Bonding Program'!$P$17),'Bonding Program'!$O$17,0)-IF(AND('Bonding Program'!$R$17&lt;&gt;"",BE$3='Bonding Program'!$R$17),'Bonding Program'!$Q$17,0),0)</f>
        <v>0</v>
      </c>
      <c r="BF158" s="19" t="n">
        <f aca="false">IF(AND('Bonding Program'!$S$17=1,BF$3='Bonding Program'!$H$17),'Bonding Program'!$AA$17,0)-IF(BF$3&lt;='Bonding Program'!$C$8,IF(AND('Bonding Program'!$K$17&lt;&gt;"",BF$3='Bonding Program'!$K$17),'Bonding Program'!$J$17,0)-IF(AND('Bonding Program'!$M$17&lt;&gt;"",BF$3='Bonding Program'!$M$17),'Bonding Program'!$L$17,0)-IF(AND('Bonding Program'!$P$17&lt;&gt;"",BF$3='Bonding Program'!$P$17),'Bonding Program'!$O$17,0)-IF(AND('Bonding Program'!$R$17&lt;&gt;"",BF$3='Bonding Program'!$R$17),'Bonding Program'!$Q$17,0),0)</f>
        <v>0</v>
      </c>
      <c r="BG158" s="19" t="n">
        <f aca="false">IF(AND('Bonding Program'!$S$17=1,BG$3='Bonding Program'!$H$17),'Bonding Program'!$AA$17,0)-IF(BG$3&lt;='Bonding Program'!$C$8,IF(AND('Bonding Program'!$K$17&lt;&gt;"",BG$3='Bonding Program'!$K$17),'Bonding Program'!$J$17,0)-IF(AND('Bonding Program'!$M$17&lt;&gt;"",BG$3='Bonding Program'!$M$17),'Bonding Program'!$L$17,0)-IF(AND('Bonding Program'!$P$17&lt;&gt;"",BG$3='Bonding Program'!$P$17),'Bonding Program'!$O$17,0)-IF(AND('Bonding Program'!$R$17&lt;&gt;"",BG$3='Bonding Program'!$R$17),'Bonding Program'!$Q$17,0),0)</f>
        <v>0</v>
      </c>
      <c r="BH158" s="19" t="n">
        <f aca="false">IF(AND('Bonding Program'!$S$17=1,BH$3='Bonding Program'!$H$17),'Bonding Program'!$AA$17,0)-IF(BH$3&lt;='Bonding Program'!$C$8,IF(AND('Bonding Program'!$K$17&lt;&gt;"",BH$3='Bonding Program'!$K$17),'Bonding Program'!$J$17,0)-IF(AND('Bonding Program'!$M$17&lt;&gt;"",BH$3='Bonding Program'!$M$17),'Bonding Program'!$L$17,0)-IF(AND('Bonding Program'!$P$17&lt;&gt;"",BH$3='Bonding Program'!$P$17),'Bonding Program'!$O$17,0)-IF(AND('Bonding Program'!$R$17&lt;&gt;"",BH$3='Bonding Program'!$R$17),'Bonding Program'!$Q$17,0),0)</f>
        <v>0</v>
      </c>
      <c r="BI158" s="19" t="n">
        <f aca="false">IF(AND('Bonding Program'!$S$17=1,BI$3='Bonding Program'!$H$17),'Bonding Program'!$AA$17,0)-IF(BI$3&lt;='Bonding Program'!$C$8,IF(AND('Bonding Program'!$K$17&lt;&gt;"",BI$3='Bonding Program'!$K$17),'Bonding Program'!$J$17,0)-IF(AND('Bonding Program'!$M$17&lt;&gt;"",BI$3='Bonding Program'!$M$17),'Bonding Program'!$L$17,0)-IF(AND('Bonding Program'!$P$17&lt;&gt;"",BI$3='Bonding Program'!$P$17),'Bonding Program'!$O$17,0)-IF(AND('Bonding Program'!$R$17&lt;&gt;"",BI$3='Bonding Program'!$R$17),'Bonding Program'!$Q$17,0),0)</f>
        <v>0</v>
      </c>
      <c r="BJ158" s="19" t="n">
        <f aca="false">IF(AND('Bonding Program'!$S$17=1,BJ$3='Bonding Program'!$H$17),'Bonding Program'!$AA$17,0)-IF(BJ$3&lt;='Bonding Program'!$C$8,IF(AND('Bonding Program'!$K$17&lt;&gt;"",BJ$3='Bonding Program'!$K$17),'Bonding Program'!$J$17,0)-IF(AND('Bonding Program'!$M$17&lt;&gt;"",BJ$3='Bonding Program'!$M$17),'Bonding Program'!$L$17,0)-IF(AND('Bonding Program'!$P$17&lt;&gt;"",BJ$3='Bonding Program'!$P$17),'Bonding Program'!$O$17,0)-IF(AND('Bonding Program'!$R$17&lt;&gt;"",BJ$3='Bonding Program'!$R$17),'Bonding Program'!$Q$17,0),0)</f>
        <v>0</v>
      </c>
      <c r="BK158" s="19" t="n">
        <f aca="false">IF(AND('Bonding Program'!$S$17=1,BK$3='Bonding Program'!$H$17),'Bonding Program'!$AA$17,0)-IF(BK$3&lt;='Bonding Program'!$C$8,IF(AND('Bonding Program'!$K$17&lt;&gt;"",BK$3='Bonding Program'!$K$17),'Bonding Program'!$J$17,0)-IF(AND('Bonding Program'!$M$17&lt;&gt;"",BK$3='Bonding Program'!$M$17),'Bonding Program'!$L$17,0)-IF(AND('Bonding Program'!$P$17&lt;&gt;"",BK$3='Bonding Program'!$P$17),'Bonding Program'!$O$17,0)-IF(AND('Bonding Program'!$R$17&lt;&gt;"",BK$3='Bonding Program'!$R$17),'Bonding Program'!$Q$17,0),0)</f>
        <v>0</v>
      </c>
      <c r="BL158" s="19" t="n">
        <f aca="false">IF(AND('Bonding Program'!$S$17=1,BL$3='Bonding Program'!$H$17),'Bonding Program'!$AA$17,0)-IF(BL$3&lt;='Bonding Program'!$C$8,IF(AND('Bonding Program'!$K$17&lt;&gt;"",BL$3='Bonding Program'!$K$17),'Bonding Program'!$J$17,0)-IF(AND('Bonding Program'!$M$17&lt;&gt;"",BL$3='Bonding Program'!$M$17),'Bonding Program'!$L$17,0)-IF(AND('Bonding Program'!$P$17&lt;&gt;"",BL$3='Bonding Program'!$P$17),'Bonding Program'!$O$17,0)-IF(AND('Bonding Program'!$R$17&lt;&gt;"",BL$3='Bonding Program'!$R$17),'Bonding Program'!$Q$17,0),0)</f>
        <v>0</v>
      </c>
      <c r="BM158" s="19" t="n">
        <f aca="false">IF(AND('Bonding Program'!$S$17=1,BM$3='Bonding Program'!$H$17),'Bonding Program'!$AA$17,0)-IF(BM$3&lt;='Bonding Program'!$C$8,IF(AND('Bonding Program'!$K$17&lt;&gt;"",BM$3='Bonding Program'!$K$17),'Bonding Program'!$J$17,0)-IF(AND('Bonding Program'!$M$17&lt;&gt;"",BM$3='Bonding Program'!$M$17),'Bonding Program'!$L$17,0)-IF(AND('Bonding Program'!$P$17&lt;&gt;"",BM$3='Bonding Program'!$P$17),'Bonding Program'!$O$17,0)-IF(AND('Bonding Program'!$R$17&lt;&gt;"",BM$3='Bonding Program'!$R$17),'Bonding Program'!$Q$17,0),0)</f>
        <v>0</v>
      </c>
      <c r="BN158" s="19" t="n">
        <f aca="false">IF(AND('Bonding Program'!$S$17=1,BN$3='Bonding Program'!$H$17),'Bonding Program'!$AA$17,0)-IF(BN$3&lt;='Bonding Program'!$C$8,IF(AND('Bonding Program'!$K$17&lt;&gt;"",BN$3='Bonding Program'!$K$17),'Bonding Program'!$J$17,0)-IF(AND('Bonding Program'!$M$17&lt;&gt;"",BN$3='Bonding Program'!$M$17),'Bonding Program'!$L$17,0)-IF(AND('Bonding Program'!$P$17&lt;&gt;"",BN$3='Bonding Program'!$P$17),'Bonding Program'!$O$17,0)-IF(AND('Bonding Program'!$R$17&lt;&gt;"",BN$3='Bonding Program'!$R$17),'Bonding Program'!$Q$17,0),0)</f>
        <v>0</v>
      </c>
      <c r="BO158" s="19" t="n">
        <f aca="false">IF(AND('Bonding Program'!$S$17=1,BO$3='Bonding Program'!$H$17),'Bonding Program'!$AA$17,0)-IF(BO$3&lt;='Bonding Program'!$C$8,IF(AND('Bonding Program'!$K$17&lt;&gt;"",BO$3='Bonding Program'!$K$17),'Bonding Program'!$J$17,0)-IF(AND('Bonding Program'!$M$17&lt;&gt;"",BO$3='Bonding Program'!$M$17),'Bonding Program'!$L$17,0)-IF(AND('Bonding Program'!$P$17&lt;&gt;"",BO$3='Bonding Program'!$P$17),'Bonding Program'!$O$17,0)-IF(AND('Bonding Program'!$R$17&lt;&gt;"",BO$3='Bonding Program'!$R$17),'Bonding Program'!$Q$17,0),0)</f>
        <v>0</v>
      </c>
      <c r="BP158" s="19" t="n">
        <f aca="false">IF(AND('Bonding Program'!$S$17=1,BP$3='Bonding Program'!$H$17),'Bonding Program'!$AA$17,0)-IF(BP$3&lt;='Bonding Program'!$C$8,IF(AND('Bonding Program'!$K$17&lt;&gt;"",BP$3='Bonding Program'!$K$17),'Bonding Program'!$J$17,0)-IF(AND('Bonding Program'!$M$17&lt;&gt;"",BP$3='Bonding Program'!$M$17),'Bonding Program'!$L$17,0)-IF(AND('Bonding Program'!$P$17&lt;&gt;"",BP$3='Bonding Program'!$P$17),'Bonding Program'!$O$17,0)-IF(AND('Bonding Program'!$R$17&lt;&gt;"",BP$3='Bonding Program'!$R$17),'Bonding Program'!$Q$17,0),0)</f>
        <v>0</v>
      </c>
      <c r="BQ158" s="19" t="n">
        <f aca="false">IF(AND('Bonding Program'!$S$17=1,BQ$3='Bonding Program'!$H$17),'Bonding Program'!$AA$17,0)-IF(BQ$3&lt;='Bonding Program'!$C$8,IF(AND('Bonding Program'!$K$17&lt;&gt;"",BQ$3='Bonding Program'!$K$17),'Bonding Program'!$J$17,0)-IF(AND('Bonding Program'!$M$17&lt;&gt;"",BQ$3='Bonding Program'!$M$17),'Bonding Program'!$L$17,0)-IF(AND('Bonding Program'!$P$17&lt;&gt;"",BQ$3='Bonding Program'!$P$17),'Bonding Program'!$O$17,0)-IF(AND('Bonding Program'!$R$17&lt;&gt;"",BQ$3='Bonding Program'!$R$17),'Bonding Program'!$Q$17,0),0)</f>
        <v>0</v>
      </c>
      <c r="BR158" s="19" t="n">
        <f aca="false">IF(AND('Bonding Program'!$S$17=1,BR$3='Bonding Program'!$H$17),'Bonding Program'!$AA$17,0)-IF(BR$3&lt;='Bonding Program'!$C$8,IF(AND('Bonding Program'!$K$17&lt;&gt;"",BR$3='Bonding Program'!$K$17),'Bonding Program'!$J$17,0)-IF(AND('Bonding Program'!$M$17&lt;&gt;"",BR$3='Bonding Program'!$M$17),'Bonding Program'!$L$17,0)-IF(AND('Bonding Program'!$P$17&lt;&gt;"",BR$3='Bonding Program'!$P$17),'Bonding Program'!$O$17,0)-IF(AND('Bonding Program'!$R$17&lt;&gt;"",BR$3='Bonding Program'!$R$17),'Bonding Program'!$Q$17,0),0)</f>
        <v>0</v>
      </c>
      <c r="BS158" s="19" t="n">
        <f aca="false">IF(AND('Bonding Program'!$S$17=1,BS$3='Bonding Program'!$H$17),'Bonding Program'!$AA$17,0)-IF(BS$3&lt;='Bonding Program'!$C$8,IF(AND('Bonding Program'!$K$17&lt;&gt;"",BS$3='Bonding Program'!$K$17),'Bonding Program'!$J$17,0)-IF(AND('Bonding Program'!$M$17&lt;&gt;"",BS$3='Bonding Program'!$M$17),'Bonding Program'!$L$17,0)-IF(AND('Bonding Program'!$P$17&lt;&gt;"",BS$3='Bonding Program'!$P$17),'Bonding Program'!$O$17,0)-IF(AND('Bonding Program'!$R$17&lt;&gt;"",BS$3='Bonding Program'!$R$17),'Bonding Program'!$Q$17,0),0)</f>
        <v>0</v>
      </c>
      <c r="BT158" s="19" t="n">
        <f aca="false">IF(AND('Bonding Program'!$S$17=1,BT$3='Bonding Program'!$H$17),'Bonding Program'!$AA$17,0)-IF(BT$3&lt;='Bonding Program'!$C$8,IF(AND('Bonding Program'!$K$17&lt;&gt;"",BT$3='Bonding Program'!$K$17),'Bonding Program'!$J$17,0)-IF(AND('Bonding Program'!$M$17&lt;&gt;"",BT$3='Bonding Program'!$M$17),'Bonding Program'!$L$17,0)-IF(AND('Bonding Program'!$P$17&lt;&gt;"",BT$3='Bonding Program'!$P$17),'Bonding Program'!$O$17,0)-IF(AND('Bonding Program'!$R$17&lt;&gt;"",BT$3='Bonding Program'!$R$17),'Bonding Program'!$Q$17,0),0)</f>
        <v>0</v>
      </c>
      <c r="BU158" s="19" t="n">
        <f aca="false">IF(AND('Bonding Program'!$S$17=1,BU$3='Bonding Program'!$H$17),'Bonding Program'!$AA$17,0)-IF(BU$3&lt;='Bonding Program'!$C$8,IF(AND('Bonding Program'!$K$17&lt;&gt;"",BU$3='Bonding Program'!$K$17),'Bonding Program'!$J$17,0)-IF(AND('Bonding Program'!$M$17&lt;&gt;"",BU$3='Bonding Program'!$M$17),'Bonding Program'!$L$17,0)-IF(AND('Bonding Program'!$P$17&lt;&gt;"",BU$3='Bonding Program'!$P$17),'Bonding Program'!$O$17,0)-IF(AND('Bonding Program'!$R$17&lt;&gt;"",BU$3='Bonding Program'!$R$17),'Bonding Program'!$Q$17,0),0)</f>
        <v>0</v>
      </c>
      <c r="BV158" s="19" t="n">
        <f aca="false">IF(AND('Bonding Program'!$S$17=1,BV$3='Bonding Program'!$H$17),'Bonding Program'!$AA$17,0)-IF(BV$3&lt;='Bonding Program'!$C$8,IF(AND('Bonding Program'!$K$17&lt;&gt;"",BV$3='Bonding Program'!$K$17),'Bonding Program'!$J$17,0)-IF(AND('Bonding Program'!$M$17&lt;&gt;"",BV$3='Bonding Program'!$M$17),'Bonding Program'!$L$17,0)-IF(AND('Bonding Program'!$P$17&lt;&gt;"",BV$3='Bonding Program'!$P$17),'Bonding Program'!$O$17,0)-IF(AND('Bonding Program'!$R$17&lt;&gt;"",BV$3='Bonding Program'!$R$17),'Bonding Program'!$Q$17,0),0)</f>
        <v>0</v>
      </c>
      <c r="BW158" s="19" t="n">
        <f aca="false">IF(AND('Bonding Program'!$S$17=1,BW$3='Bonding Program'!$H$17),'Bonding Program'!$AA$17,0)-IF(BW$3&lt;='Bonding Program'!$C$8,IF(AND('Bonding Program'!$K$17&lt;&gt;"",BW$3='Bonding Program'!$K$17),'Bonding Program'!$J$17,0)-IF(AND('Bonding Program'!$M$17&lt;&gt;"",BW$3='Bonding Program'!$M$17),'Bonding Program'!$L$17,0)-IF(AND('Bonding Program'!$P$17&lt;&gt;"",BW$3='Bonding Program'!$P$17),'Bonding Program'!$O$17,0)-IF(AND('Bonding Program'!$R$17&lt;&gt;"",BW$3='Bonding Program'!$R$17),'Bonding Program'!$Q$17,0),0)</f>
        <v>0</v>
      </c>
      <c r="BX158" s="19" t="n">
        <f aca="false">IF(AND('Bonding Program'!$S$17=1,BX$3='Bonding Program'!$H$17),'Bonding Program'!$AA$17,0)-IF(BX$3&lt;='Bonding Program'!$C$8,IF(AND('Bonding Program'!$K$17&lt;&gt;"",BX$3='Bonding Program'!$K$17),'Bonding Program'!$J$17,0)-IF(AND('Bonding Program'!$M$17&lt;&gt;"",BX$3='Bonding Program'!$M$17),'Bonding Program'!$L$17,0)-IF(AND('Bonding Program'!$P$17&lt;&gt;"",BX$3='Bonding Program'!$P$17),'Bonding Program'!$O$17,0)-IF(AND('Bonding Program'!$R$17&lt;&gt;"",BX$3='Bonding Program'!$R$17),'Bonding Program'!$Q$17,0),0)</f>
        <v>0</v>
      </c>
      <c r="BY158" s="19" t="n">
        <f aca="false">IF(AND('Bonding Program'!$S$17=1,BY$3='Bonding Program'!$H$17),'Bonding Program'!$AA$17,0)-IF(BY$3&lt;='Bonding Program'!$C$8,IF(AND('Bonding Program'!$K$17&lt;&gt;"",BY$3='Bonding Program'!$K$17),'Bonding Program'!$J$17,0)-IF(AND('Bonding Program'!$M$17&lt;&gt;"",BY$3='Bonding Program'!$M$17),'Bonding Program'!$L$17,0)-IF(AND('Bonding Program'!$P$17&lt;&gt;"",BY$3='Bonding Program'!$P$17),'Bonding Program'!$O$17,0)-IF(AND('Bonding Program'!$R$17&lt;&gt;"",BY$3='Bonding Program'!$R$17),'Bonding Program'!$Q$17,0),0)</f>
        <v>0</v>
      </c>
      <c r="BZ158" s="19" t="n">
        <f aca="false">IF(AND('Bonding Program'!$S$17=1,BZ$3='Bonding Program'!$H$17),'Bonding Program'!$AA$17,0)-IF(BZ$3&lt;='Bonding Program'!$C$8,IF(AND('Bonding Program'!$K$17&lt;&gt;"",BZ$3='Bonding Program'!$K$17),'Bonding Program'!$J$17,0)-IF(AND('Bonding Program'!$M$17&lt;&gt;"",BZ$3='Bonding Program'!$M$17),'Bonding Program'!$L$17,0)-IF(AND('Bonding Program'!$P$17&lt;&gt;"",BZ$3='Bonding Program'!$P$17),'Bonding Program'!$O$17,0)-IF(AND('Bonding Program'!$R$17&lt;&gt;"",BZ$3='Bonding Program'!$R$17),'Bonding Program'!$Q$17,0),0)</f>
        <v>0</v>
      </c>
      <c r="CA158" s="19" t="n">
        <f aca="false">IF(AND('Bonding Program'!$S$17=1,CA$3='Bonding Program'!$H$17),'Bonding Program'!$AA$17,0)-IF(CA$3&lt;='Bonding Program'!$C$8,IF(AND('Bonding Program'!$K$17&lt;&gt;"",CA$3='Bonding Program'!$K$17),'Bonding Program'!$J$17,0)-IF(AND('Bonding Program'!$M$17&lt;&gt;"",CA$3='Bonding Program'!$M$17),'Bonding Program'!$L$17,0)-IF(AND('Bonding Program'!$P$17&lt;&gt;"",CA$3='Bonding Program'!$P$17),'Bonding Program'!$O$17,0)-IF(AND('Bonding Program'!$R$17&lt;&gt;"",CA$3='Bonding Program'!$R$17),'Bonding Program'!$Q$17,0),0)</f>
        <v>0</v>
      </c>
      <c r="CB158" s="19" t="n">
        <f aca="false">IF(AND('Bonding Program'!$S$17=1,CB$3='Bonding Program'!$H$17),'Bonding Program'!$AA$17,0)-IF(CB$3&lt;='Bonding Program'!$C$8,IF(AND('Bonding Program'!$K$17&lt;&gt;"",CB$3='Bonding Program'!$K$17),'Bonding Program'!$J$17,0)-IF(AND('Bonding Program'!$M$17&lt;&gt;"",CB$3='Bonding Program'!$M$17),'Bonding Program'!$L$17,0)-IF(AND('Bonding Program'!$P$17&lt;&gt;"",CB$3='Bonding Program'!$P$17),'Bonding Program'!$O$17,0)-IF(AND('Bonding Program'!$R$17&lt;&gt;"",CB$3='Bonding Program'!$R$17),'Bonding Program'!$Q$17,0),0)</f>
        <v>0</v>
      </c>
      <c r="CC158" s="19" t="n">
        <f aca="false">IF(AND('Bonding Program'!$S$17=1,CC$3='Bonding Program'!$H$17),'Bonding Program'!$AA$17,0)-IF(CC$3&lt;='Bonding Program'!$C$8,IF(AND('Bonding Program'!$K$17&lt;&gt;"",CC$3='Bonding Program'!$K$17),'Bonding Program'!$J$17,0)-IF(AND('Bonding Program'!$M$17&lt;&gt;"",CC$3='Bonding Program'!$M$17),'Bonding Program'!$L$17,0)-IF(AND('Bonding Program'!$P$17&lt;&gt;"",CC$3='Bonding Program'!$P$17),'Bonding Program'!$O$17,0)-IF(AND('Bonding Program'!$R$17&lt;&gt;"",CC$3='Bonding Program'!$R$17),'Bonding Program'!$Q$17,0),0)</f>
        <v>0</v>
      </c>
      <c r="CD158" s="19" t="n">
        <f aca="false">IF(AND('Bonding Program'!$S$17=1,CD$3='Bonding Program'!$H$17),'Bonding Program'!$AA$17,0)-IF(CD$3&lt;='Bonding Program'!$C$8,IF(AND('Bonding Program'!$K$17&lt;&gt;"",CD$3='Bonding Program'!$K$17),'Bonding Program'!$J$17,0)-IF(AND('Bonding Program'!$M$17&lt;&gt;"",CD$3='Bonding Program'!$M$17),'Bonding Program'!$L$17,0)-IF(AND('Bonding Program'!$P$17&lt;&gt;"",CD$3='Bonding Program'!$P$17),'Bonding Program'!$O$17,0)-IF(AND('Bonding Program'!$R$17&lt;&gt;"",CD$3='Bonding Program'!$R$17),'Bonding Program'!$Q$17,0),0)</f>
        <v>0</v>
      </c>
      <c r="CE158" s="19" t="n">
        <f aca="false">IF(AND('Bonding Program'!$S$17=1,CE$3='Bonding Program'!$H$17),'Bonding Program'!$AA$17,0)-IF(CE$3&lt;='Bonding Program'!$C$8,IF(AND('Bonding Program'!$K$17&lt;&gt;"",CE$3='Bonding Program'!$K$17),'Bonding Program'!$J$17,0)-IF(AND('Bonding Program'!$M$17&lt;&gt;"",CE$3='Bonding Program'!$M$17),'Bonding Program'!$L$17,0)-IF(AND('Bonding Program'!$P$17&lt;&gt;"",CE$3='Bonding Program'!$P$17),'Bonding Program'!$O$17,0)-IF(AND('Bonding Program'!$R$17&lt;&gt;"",CE$3='Bonding Program'!$R$17),'Bonding Program'!$Q$17,0),0)</f>
        <v>0</v>
      </c>
      <c r="CF158" s="19" t="n">
        <f aca="false">IF(AND('Bonding Program'!$S$17=1,CF$3='Bonding Program'!$H$17),'Bonding Program'!$AA$17,0)-IF(CF$3&lt;='Bonding Program'!$C$8,IF(AND('Bonding Program'!$K$17&lt;&gt;"",CF$3='Bonding Program'!$K$17),'Bonding Program'!$J$17,0)-IF(AND('Bonding Program'!$M$17&lt;&gt;"",CF$3='Bonding Program'!$M$17),'Bonding Program'!$L$17,0)-IF(AND('Bonding Program'!$P$17&lt;&gt;"",CF$3='Bonding Program'!$P$17),'Bonding Program'!$O$17,0)-IF(AND('Bonding Program'!$R$17&lt;&gt;"",CF$3='Bonding Program'!$R$17),'Bonding Program'!$Q$17,0),0)</f>
        <v>0</v>
      </c>
      <c r="CG158" s="19" t="n">
        <f aca="false">IF(AND('Bonding Program'!$S$17=1,CG$3='Bonding Program'!$H$17),'Bonding Program'!$AA$17,0)-IF(CG$3&lt;='Bonding Program'!$C$8,IF(AND('Bonding Program'!$K$17&lt;&gt;"",CG$3='Bonding Program'!$K$17),'Bonding Program'!$J$17,0)-IF(AND('Bonding Program'!$M$17&lt;&gt;"",CG$3='Bonding Program'!$M$17),'Bonding Program'!$L$17,0)-IF(AND('Bonding Program'!$P$17&lt;&gt;"",CG$3='Bonding Program'!$P$17),'Bonding Program'!$O$17,0)-IF(AND('Bonding Program'!$R$17&lt;&gt;"",CG$3='Bonding Program'!$R$17),'Bonding Program'!$Q$17,0),0)</f>
        <v>0</v>
      </c>
      <c r="CH158" s="19" t="n">
        <f aca="false">IF(AND('Bonding Program'!$S$17=1,CH$3='Bonding Program'!$H$17),'Bonding Program'!$AA$17,0)-IF(CH$3&lt;='Bonding Program'!$C$8,IF(AND('Bonding Program'!$K$17&lt;&gt;"",CH$3='Bonding Program'!$K$17),'Bonding Program'!$J$17,0)-IF(AND('Bonding Program'!$M$17&lt;&gt;"",CH$3='Bonding Program'!$M$17),'Bonding Program'!$L$17,0)-IF(AND('Bonding Program'!$P$17&lt;&gt;"",CH$3='Bonding Program'!$P$17),'Bonding Program'!$O$17,0)-IF(AND('Bonding Program'!$R$17&lt;&gt;"",CH$3='Bonding Program'!$R$17),'Bonding Program'!$Q$17,0),0)</f>
        <v>0</v>
      </c>
      <c r="CI158" s="19" t="n">
        <f aca="false">IF(AND('Bonding Program'!$S$17=1,CI$3='Bonding Program'!$H$17),'Bonding Program'!$AA$17,0)-IF(CI$3&lt;='Bonding Program'!$C$8,IF(AND('Bonding Program'!$K$17&lt;&gt;"",CI$3='Bonding Program'!$K$17),'Bonding Program'!$J$17,0)-IF(AND('Bonding Program'!$M$17&lt;&gt;"",CI$3='Bonding Program'!$M$17),'Bonding Program'!$L$17,0)-IF(AND('Bonding Program'!$P$17&lt;&gt;"",CI$3='Bonding Program'!$P$17),'Bonding Program'!$O$17,0)-IF(AND('Bonding Program'!$R$17&lt;&gt;"",CI$3='Bonding Program'!$R$17),'Bonding Program'!$Q$17,0),0)</f>
        <v>0</v>
      </c>
      <c r="CJ158" s="19" t="n">
        <f aca="false">IF(AND('Bonding Program'!$S$17=1,CJ$3='Bonding Program'!$H$17),'Bonding Program'!$AA$17,0)-IF(CJ$3&lt;='Bonding Program'!$C$8,IF(AND('Bonding Program'!$K$17&lt;&gt;"",CJ$3='Bonding Program'!$K$17),'Bonding Program'!$J$17,0)-IF(AND('Bonding Program'!$M$17&lt;&gt;"",CJ$3='Bonding Program'!$M$17),'Bonding Program'!$L$17,0)-IF(AND('Bonding Program'!$P$17&lt;&gt;"",CJ$3='Bonding Program'!$P$17),'Bonding Program'!$O$17,0)-IF(AND('Bonding Program'!$R$17&lt;&gt;"",CJ$3='Bonding Program'!$R$17),'Bonding Program'!$Q$17,0),0)</f>
        <v>0</v>
      </c>
      <c r="CK158" s="19" t="n">
        <f aca="false">IF(AND('Bonding Program'!$S$17=1,CK$3='Bonding Program'!$H$17),'Bonding Program'!$AA$17,0)-IF(CK$3&lt;='Bonding Program'!$C$8,IF(AND('Bonding Program'!$K$17&lt;&gt;"",CK$3='Bonding Program'!$K$17),'Bonding Program'!$J$17,0)-IF(AND('Bonding Program'!$M$17&lt;&gt;"",CK$3='Bonding Program'!$M$17),'Bonding Program'!$L$17,0)-IF(AND('Bonding Program'!$P$17&lt;&gt;"",CK$3='Bonding Program'!$P$17),'Bonding Program'!$O$17,0)-IF(AND('Bonding Program'!$R$17&lt;&gt;"",CK$3='Bonding Program'!$R$17),'Bonding Program'!$Q$17,0),0)</f>
        <v>0</v>
      </c>
      <c r="CL158" s="19" t="n">
        <f aca="false">IF(AND('Bonding Program'!$S$17=1,CL$3='Bonding Program'!$H$17),'Bonding Program'!$AA$17,0)-IF(CL$3&lt;='Bonding Program'!$C$8,IF(AND('Bonding Program'!$K$17&lt;&gt;"",CL$3='Bonding Program'!$K$17),'Bonding Program'!$J$17,0)-IF(AND('Bonding Program'!$M$17&lt;&gt;"",CL$3='Bonding Program'!$M$17),'Bonding Program'!$L$17,0)-IF(AND('Bonding Program'!$P$17&lt;&gt;"",CL$3='Bonding Program'!$P$17),'Bonding Program'!$O$17,0)-IF(AND('Bonding Program'!$R$17&lt;&gt;"",CL$3='Bonding Program'!$R$17),'Bonding Program'!$Q$17,0),0)</f>
        <v>0</v>
      </c>
      <c r="CM158" s="19" t="n">
        <f aca="false">IF(AND('Bonding Program'!$S$17=1,CM$3='Bonding Program'!$H$17),'Bonding Program'!$AA$17,0)-IF(CM$3&lt;='Bonding Program'!$C$8,IF(AND('Bonding Program'!$K$17&lt;&gt;"",CM$3='Bonding Program'!$K$17),'Bonding Program'!$J$17,0)-IF(AND('Bonding Program'!$M$17&lt;&gt;"",CM$3='Bonding Program'!$M$17),'Bonding Program'!$L$17,0)-IF(AND('Bonding Program'!$P$17&lt;&gt;"",CM$3='Bonding Program'!$P$17),'Bonding Program'!$O$17,0)-IF(AND('Bonding Program'!$R$17&lt;&gt;"",CM$3='Bonding Program'!$R$17),'Bonding Program'!$Q$17,0),0)</f>
        <v>0</v>
      </c>
      <c r="CN158" s="19" t="n">
        <f aca="false">IF(AND('Bonding Program'!$S$17=1,CN$3='Bonding Program'!$H$17),'Bonding Program'!$AA$17,0)-IF(CN$3&lt;='Bonding Program'!$C$8,IF(AND('Bonding Program'!$K$17&lt;&gt;"",CN$3='Bonding Program'!$K$17),'Bonding Program'!$J$17,0)-IF(AND('Bonding Program'!$M$17&lt;&gt;"",CN$3='Bonding Program'!$M$17),'Bonding Program'!$L$17,0)-IF(AND('Bonding Program'!$P$17&lt;&gt;"",CN$3='Bonding Program'!$P$17),'Bonding Program'!$O$17,0)-IF(AND('Bonding Program'!$R$17&lt;&gt;"",CN$3='Bonding Program'!$R$17),'Bonding Program'!$Q$17,0),0)</f>
        <v>0</v>
      </c>
      <c r="CO158" s="19" t="n">
        <f aca="false">IF(AND('Bonding Program'!$S$17=1,CO$3='Bonding Program'!$H$17),'Bonding Program'!$AA$17,0)-IF(CO$3&lt;='Bonding Program'!$C$8,IF(AND('Bonding Program'!$K$17&lt;&gt;"",CO$3='Bonding Program'!$K$17),'Bonding Program'!$J$17,0)-IF(AND('Bonding Program'!$M$17&lt;&gt;"",CO$3='Bonding Program'!$M$17),'Bonding Program'!$L$17,0)-IF(AND('Bonding Program'!$P$17&lt;&gt;"",CO$3='Bonding Program'!$P$17),'Bonding Program'!$O$17,0)-IF(AND('Bonding Program'!$R$17&lt;&gt;"",CO$3='Bonding Program'!$R$17),'Bonding Program'!$Q$17,0),0)</f>
        <v>0</v>
      </c>
      <c r="CP158" s="19" t="n">
        <f aca="false">IF(AND('Bonding Program'!$S$17=1,CP$3='Bonding Program'!$H$17),'Bonding Program'!$AA$17,0)-IF(CP$3&lt;='Bonding Program'!$C$8,IF(AND('Bonding Program'!$K$17&lt;&gt;"",CP$3='Bonding Program'!$K$17),'Bonding Program'!$J$17,0)-IF(AND('Bonding Program'!$M$17&lt;&gt;"",CP$3='Bonding Program'!$M$17),'Bonding Program'!$L$17,0)-IF(AND('Bonding Program'!$P$17&lt;&gt;"",CP$3='Bonding Program'!$P$17),'Bonding Program'!$O$17,0)-IF(AND('Bonding Program'!$R$17&lt;&gt;"",CP$3='Bonding Program'!$R$17),'Bonding Program'!$Q$17,0),0)</f>
        <v>0</v>
      </c>
      <c r="CQ158" s="19" t="n">
        <f aca="false">IF(AND('Bonding Program'!$S$17=1,CQ$3='Bonding Program'!$H$17),'Bonding Program'!$AA$17,0)-IF(CQ$3&lt;='Bonding Program'!$C$8,IF(AND('Bonding Program'!$K$17&lt;&gt;"",CQ$3='Bonding Program'!$K$17),'Bonding Program'!$J$17,0)-IF(AND('Bonding Program'!$M$17&lt;&gt;"",CQ$3='Bonding Program'!$M$17),'Bonding Program'!$L$17,0)-IF(AND('Bonding Program'!$P$17&lt;&gt;"",CQ$3='Bonding Program'!$P$17),'Bonding Program'!$O$17,0)-IF(AND('Bonding Program'!$R$17&lt;&gt;"",CQ$3='Bonding Program'!$R$17),'Bonding Program'!$Q$17,0),0)</f>
        <v>0</v>
      </c>
      <c r="CR158" s="19" t="n">
        <f aca="false">IF(AND('Bonding Program'!$S$17=1,CR$3='Bonding Program'!$H$17),'Bonding Program'!$AA$17,0)-IF(CR$3&lt;='Bonding Program'!$C$8,IF(AND('Bonding Program'!$K$17&lt;&gt;"",CR$3='Bonding Program'!$K$17),'Bonding Program'!$J$17,0)-IF(AND('Bonding Program'!$M$17&lt;&gt;"",CR$3='Bonding Program'!$M$17),'Bonding Program'!$L$17,0)-IF(AND('Bonding Program'!$P$17&lt;&gt;"",CR$3='Bonding Program'!$P$17),'Bonding Program'!$O$17,0)-IF(AND('Bonding Program'!$R$17&lt;&gt;"",CR$3='Bonding Program'!$R$17),'Bonding Program'!$Q$17,0),0)</f>
        <v>0</v>
      </c>
      <c r="CS158" s="19" t="n">
        <f aca="false">IF(AND('Bonding Program'!$S$17=1,CS$3='Bonding Program'!$H$17),'Bonding Program'!$AA$17,0)-IF(CS$3&lt;='Bonding Program'!$C$8,IF(AND('Bonding Program'!$K$17&lt;&gt;"",CS$3='Bonding Program'!$K$17),'Bonding Program'!$J$17,0)-IF(AND('Bonding Program'!$M$17&lt;&gt;"",CS$3='Bonding Program'!$M$17),'Bonding Program'!$L$17,0)-IF(AND('Bonding Program'!$P$17&lt;&gt;"",CS$3='Bonding Program'!$P$17),'Bonding Program'!$O$17,0)-IF(AND('Bonding Program'!$R$17&lt;&gt;"",CS$3='Bonding Program'!$R$17),'Bonding Program'!$Q$17,0),0)</f>
        <v>0</v>
      </c>
      <c r="CT158" s="19" t="n">
        <f aca="false">IF(AND('Bonding Program'!$S$17=1,CT$3='Bonding Program'!$H$17),'Bonding Program'!$AA$17,0)-IF(CT$3&lt;='Bonding Program'!$C$8,IF(AND('Bonding Program'!$K$17&lt;&gt;"",CT$3='Bonding Program'!$K$17),'Bonding Program'!$J$17,0)-IF(AND('Bonding Program'!$M$17&lt;&gt;"",CT$3='Bonding Program'!$M$17),'Bonding Program'!$L$17,0)-IF(AND('Bonding Program'!$P$17&lt;&gt;"",CT$3='Bonding Program'!$P$17),'Bonding Program'!$O$17,0)-IF(AND('Bonding Program'!$R$17&lt;&gt;"",CT$3='Bonding Program'!$R$17),'Bonding Program'!$Q$17,0),0)</f>
        <v>0</v>
      </c>
      <c r="CU158" s="19" t="n">
        <f aca="false">IF(AND('Bonding Program'!$S$17=1,CU$3='Bonding Program'!$H$17),'Bonding Program'!$AA$17,0)-IF(CU$3&lt;='Bonding Program'!$C$8,IF(AND('Bonding Program'!$K$17&lt;&gt;"",CU$3='Bonding Program'!$K$17),'Bonding Program'!$J$17,0)-IF(AND('Bonding Program'!$M$17&lt;&gt;"",CU$3='Bonding Program'!$M$17),'Bonding Program'!$L$17,0)-IF(AND('Bonding Program'!$P$17&lt;&gt;"",CU$3='Bonding Program'!$P$17),'Bonding Program'!$O$17,0)-IF(AND('Bonding Program'!$R$17&lt;&gt;"",CU$3='Bonding Program'!$R$17),'Bonding Program'!$Q$17,0),0)</f>
        <v>0</v>
      </c>
      <c r="CV158" s="19" t="n">
        <f aca="false">IF(AND('Bonding Program'!$S$17=1,CV$3='Bonding Program'!$H$17),'Bonding Program'!$AA$17,0)-IF(CV$3&lt;='Bonding Program'!$C$8,IF(AND('Bonding Program'!$K$17&lt;&gt;"",CV$3='Bonding Program'!$K$17),'Bonding Program'!$J$17,0)-IF(AND('Bonding Program'!$M$17&lt;&gt;"",CV$3='Bonding Program'!$M$17),'Bonding Program'!$L$17,0)-IF(AND('Bonding Program'!$P$17&lt;&gt;"",CV$3='Bonding Program'!$P$17),'Bonding Program'!$O$17,0)-IF(AND('Bonding Program'!$R$17&lt;&gt;"",CV$3='Bonding Program'!$R$17),'Bonding Program'!$Q$17,0),0)</f>
        <v>0</v>
      </c>
      <c r="CW158" s="19" t="n">
        <f aca="false">IF(AND('Bonding Program'!$S$17=1,CW$3='Bonding Program'!$H$17),'Bonding Program'!$AA$17,0)-IF(CW$3&lt;='Bonding Program'!$C$8,IF(AND('Bonding Program'!$K$17&lt;&gt;"",CW$3='Bonding Program'!$K$17),'Bonding Program'!$J$17,0)-IF(AND('Bonding Program'!$M$17&lt;&gt;"",CW$3='Bonding Program'!$M$17),'Bonding Program'!$L$17,0)-IF(AND('Bonding Program'!$P$17&lt;&gt;"",CW$3='Bonding Program'!$P$17),'Bonding Program'!$O$17,0)-IF(AND('Bonding Program'!$R$17&lt;&gt;"",CW$3='Bonding Program'!$R$17),'Bonding Program'!$Q$17,0),0)</f>
        <v>0</v>
      </c>
      <c r="CX158" s="19" t="n">
        <f aca="false">IF(AND('Bonding Program'!$S$17=1,CX$3='Bonding Program'!$H$17),'Bonding Program'!$AA$17,0)-IF(CX$3&lt;='Bonding Program'!$C$8,IF(AND('Bonding Program'!$K$17&lt;&gt;"",CX$3='Bonding Program'!$K$17),'Bonding Program'!$J$17,0)-IF(AND('Bonding Program'!$M$17&lt;&gt;"",CX$3='Bonding Program'!$M$17),'Bonding Program'!$L$17,0)-IF(AND('Bonding Program'!$P$17&lt;&gt;"",CX$3='Bonding Program'!$P$17),'Bonding Program'!$O$17,0)-IF(AND('Bonding Program'!$R$17&lt;&gt;"",CX$3='Bonding Program'!$R$17),'Bonding Program'!$Q$17,0),0)</f>
        <v>0</v>
      </c>
      <c r="CY158" s="19" t="n">
        <f aca="false">IF(AND('Bonding Program'!$S$17=1,CY$3='Bonding Program'!$H$17),'Bonding Program'!$AA$17,0)-IF(CY$3&lt;='Bonding Program'!$C$8,IF(AND('Bonding Program'!$K$17&lt;&gt;"",CY$3='Bonding Program'!$K$17),'Bonding Program'!$J$17,0)-IF(AND('Bonding Program'!$M$17&lt;&gt;"",CY$3='Bonding Program'!$M$17),'Bonding Program'!$L$17,0)-IF(AND('Bonding Program'!$P$17&lt;&gt;"",CY$3='Bonding Program'!$P$17),'Bonding Program'!$O$17,0)-IF(AND('Bonding Program'!$R$17&lt;&gt;"",CY$3='Bonding Program'!$R$17),'Bonding Program'!$Q$17,0),0)</f>
        <v>0</v>
      </c>
      <c r="CZ158" s="19" t="n">
        <f aca="false">IF(AND('Bonding Program'!$S$17=1,CZ$3='Bonding Program'!$H$17),'Bonding Program'!$AA$17,0)-IF(CZ$3&lt;='Bonding Program'!$C$8,IF(AND('Bonding Program'!$K$17&lt;&gt;"",CZ$3='Bonding Program'!$K$17),'Bonding Program'!$J$17,0)-IF(AND('Bonding Program'!$M$17&lt;&gt;"",CZ$3='Bonding Program'!$M$17),'Bonding Program'!$L$17,0)-IF(AND('Bonding Program'!$P$17&lt;&gt;"",CZ$3='Bonding Program'!$P$17),'Bonding Program'!$O$17,0)-IF(AND('Bonding Program'!$R$17&lt;&gt;"",CZ$3='Bonding Program'!$R$17),'Bonding Program'!$Q$17,0),0)</f>
        <v>0</v>
      </c>
      <c r="DA158" s="19" t="n">
        <f aca="false">IF(AND('Bonding Program'!$S$17=1,DA$3='Bonding Program'!$H$17),'Bonding Program'!$AA$17,0)-IF(DA$3&lt;='Bonding Program'!$C$8,IF(AND('Bonding Program'!$K$17&lt;&gt;"",DA$3='Bonding Program'!$K$17),'Bonding Program'!$J$17,0)-IF(AND('Bonding Program'!$M$17&lt;&gt;"",DA$3='Bonding Program'!$M$17),'Bonding Program'!$L$17,0)-IF(AND('Bonding Program'!$P$17&lt;&gt;"",DA$3='Bonding Program'!$P$17),'Bonding Program'!$O$17,0)-IF(AND('Bonding Program'!$R$17&lt;&gt;"",DA$3='Bonding Program'!$R$17),'Bonding Program'!$Q$17,0),0)</f>
        <v>0</v>
      </c>
      <c r="DB158" s="19" t="n">
        <f aca="false">IF(AND('Bonding Program'!$S$17=1,DB$3='Bonding Program'!$H$17),'Bonding Program'!$AA$17,0)-IF(DB$3&lt;='Bonding Program'!$C$8,IF(AND('Bonding Program'!$K$17&lt;&gt;"",DB$3='Bonding Program'!$K$17),'Bonding Program'!$J$17,0)-IF(AND('Bonding Program'!$M$17&lt;&gt;"",DB$3='Bonding Program'!$M$17),'Bonding Program'!$L$17,0)-IF(AND('Bonding Program'!$P$17&lt;&gt;"",DB$3='Bonding Program'!$P$17),'Bonding Program'!$O$17,0)-IF(AND('Bonding Program'!$R$17&lt;&gt;"",DB$3='Bonding Program'!$R$17),'Bonding Program'!$Q$17,0),0)</f>
        <v>0</v>
      </c>
      <c r="DC158" s="19" t="n">
        <f aca="false">IF(AND('Bonding Program'!$S$17=1,DC$3='Bonding Program'!$H$17),'Bonding Program'!$AA$17,0)-IF(DC$3&lt;='Bonding Program'!$C$8,IF(AND('Bonding Program'!$K$17&lt;&gt;"",DC$3='Bonding Program'!$K$17),'Bonding Program'!$J$17,0)-IF(AND('Bonding Program'!$M$17&lt;&gt;"",DC$3='Bonding Program'!$M$17),'Bonding Program'!$L$17,0)-IF(AND('Bonding Program'!$P$17&lt;&gt;"",DC$3='Bonding Program'!$P$17),'Bonding Program'!$O$17,0)-IF(AND('Bonding Program'!$R$17&lt;&gt;"",DC$3='Bonding Program'!$R$17),'Bonding Program'!$Q$17,0),0)</f>
        <v>0</v>
      </c>
      <c r="DD158" s="19" t="n">
        <f aca="false">IF(AND('Bonding Program'!$S$17=1,DD$3='Bonding Program'!$H$17),'Bonding Program'!$AA$17,0)-IF(DD$3&lt;='Bonding Program'!$C$8,IF(AND('Bonding Program'!$K$17&lt;&gt;"",DD$3='Bonding Program'!$K$17),'Bonding Program'!$J$17,0)-IF(AND('Bonding Program'!$M$17&lt;&gt;"",DD$3='Bonding Program'!$M$17),'Bonding Program'!$L$17,0)-IF(AND('Bonding Program'!$P$17&lt;&gt;"",DD$3='Bonding Program'!$P$17),'Bonding Program'!$O$17,0)-IF(AND('Bonding Program'!$R$17&lt;&gt;"",DD$3='Bonding Program'!$R$17),'Bonding Program'!$Q$17,0),0)</f>
        <v>0</v>
      </c>
      <c r="DE158" s="19" t="n">
        <f aca="false">IF(AND('Bonding Program'!$S$17=1,DE$3='Bonding Program'!$H$17),'Bonding Program'!$AA$17,0)-IF(DE$3&lt;='Bonding Program'!$C$8,IF(AND('Bonding Program'!$K$17&lt;&gt;"",DE$3='Bonding Program'!$K$17),'Bonding Program'!$J$17,0)-IF(AND('Bonding Program'!$M$17&lt;&gt;"",DE$3='Bonding Program'!$M$17),'Bonding Program'!$L$17,0)-IF(AND('Bonding Program'!$P$17&lt;&gt;"",DE$3='Bonding Program'!$P$17),'Bonding Program'!$O$17,0)-IF(AND('Bonding Program'!$R$17&lt;&gt;"",DE$3='Bonding Program'!$R$17),'Bonding Program'!$Q$17,0),0)</f>
        <v>0</v>
      </c>
    </row>
    <row r="159" customFormat="false" ht="15" hidden="false" customHeight="true" outlineLevel="1" collapsed="false">
      <c r="A159" s="28" t="s">
        <v>14</v>
      </c>
      <c r="B159" s="19" t="n">
        <f aca="false">IF(AND('Bonding Program'!$S$18=1,B$3='Bonding Program'!$H$18),'Bonding Program'!$AA$18,0)-IF(B$3&lt;='Bonding Program'!$C$8,IF(AND('Bonding Program'!$K$18&lt;&gt;"",B$3='Bonding Program'!$K$18),'Bonding Program'!$J$18,0)-IF(AND('Bonding Program'!$M$18&lt;&gt;"",B$3='Bonding Program'!$M$18),'Bonding Program'!$L$18,0)-IF(AND('Bonding Program'!$P$18&lt;&gt;"",B$3='Bonding Program'!$P$18),'Bonding Program'!$O$18,0)-IF(AND('Bonding Program'!$R$18&lt;&gt;"",B$3='Bonding Program'!$R$18),'Bonding Program'!$Q$18,0),0)</f>
        <v>0</v>
      </c>
      <c r="C159" s="19" t="n">
        <f aca="false">IF(AND('Bonding Program'!$S$18=1,C$3='Bonding Program'!$H$18),'Bonding Program'!$AA$18,0)-IF(C$3&lt;='Bonding Program'!$C$8,IF(AND('Bonding Program'!$K$18&lt;&gt;"",C$3='Bonding Program'!$K$18),'Bonding Program'!$J$18,0)-IF(AND('Bonding Program'!$M$18&lt;&gt;"",C$3='Bonding Program'!$M$18),'Bonding Program'!$L$18,0)-IF(AND('Bonding Program'!$P$18&lt;&gt;"",C$3='Bonding Program'!$P$18),'Bonding Program'!$O$18,0)-IF(AND('Bonding Program'!$R$18&lt;&gt;"",C$3='Bonding Program'!$R$18),'Bonding Program'!$Q$18,0),0)</f>
        <v>0</v>
      </c>
      <c r="D159" s="19" t="n">
        <f aca="false">IF(AND('Bonding Program'!$S$18=1,D$3='Bonding Program'!$H$18),'Bonding Program'!$AA$18,0)-IF(D$3&lt;='Bonding Program'!$C$8,IF(AND('Bonding Program'!$K$18&lt;&gt;"",D$3='Bonding Program'!$K$18),'Bonding Program'!$J$18,0)-IF(AND('Bonding Program'!$M$18&lt;&gt;"",D$3='Bonding Program'!$M$18),'Bonding Program'!$L$18,0)-IF(AND('Bonding Program'!$P$18&lt;&gt;"",D$3='Bonding Program'!$P$18),'Bonding Program'!$O$18,0)-IF(AND('Bonding Program'!$R$18&lt;&gt;"",D$3='Bonding Program'!$R$18),'Bonding Program'!$Q$18,0),0)</f>
        <v>0</v>
      </c>
      <c r="E159" s="19" t="n">
        <f aca="false">IF(AND('Bonding Program'!$S$18=1,E$3='Bonding Program'!$H$18),'Bonding Program'!$AA$18,0)-IF(E$3&lt;='Bonding Program'!$C$8,IF(AND('Bonding Program'!$K$18&lt;&gt;"",E$3='Bonding Program'!$K$18),'Bonding Program'!$J$18,0)-IF(AND('Bonding Program'!$M$18&lt;&gt;"",E$3='Bonding Program'!$M$18),'Bonding Program'!$L$18,0)-IF(AND('Bonding Program'!$P$18&lt;&gt;"",E$3='Bonding Program'!$P$18),'Bonding Program'!$O$18,0)-IF(AND('Bonding Program'!$R$18&lt;&gt;"",E$3='Bonding Program'!$R$18),'Bonding Program'!$Q$18,0),0)</f>
        <v>0</v>
      </c>
      <c r="F159" s="19" t="n">
        <f aca="false">IF(AND('Bonding Program'!$S$18=1,F$3='Bonding Program'!$H$18),'Bonding Program'!$AA$18,0)-IF(F$3&lt;='Bonding Program'!$C$8,IF(AND('Bonding Program'!$K$18&lt;&gt;"",F$3='Bonding Program'!$K$18),'Bonding Program'!$J$18,0)-IF(AND('Bonding Program'!$M$18&lt;&gt;"",F$3='Bonding Program'!$M$18),'Bonding Program'!$L$18,0)-IF(AND('Bonding Program'!$P$18&lt;&gt;"",F$3='Bonding Program'!$P$18),'Bonding Program'!$O$18,0)-IF(AND('Bonding Program'!$R$18&lt;&gt;"",F$3='Bonding Program'!$R$18),'Bonding Program'!$Q$18,0),0)</f>
        <v>0</v>
      </c>
      <c r="G159" s="19" t="n">
        <f aca="false">IF(AND('Bonding Program'!$S$18=1,G$3='Bonding Program'!$H$18),'Bonding Program'!$AA$18,0)-IF(G$3&lt;='Bonding Program'!$C$8,IF(AND('Bonding Program'!$K$18&lt;&gt;"",G$3='Bonding Program'!$K$18),'Bonding Program'!$J$18,0)-IF(AND('Bonding Program'!$M$18&lt;&gt;"",G$3='Bonding Program'!$M$18),'Bonding Program'!$L$18,0)-IF(AND('Bonding Program'!$P$18&lt;&gt;"",G$3='Bonding Program'!$P$18),'Bonding Program'!$O$18,0)-IF(AND('Bonding Program'!$R$18&lt;&gt;"",G$3='Bonding Program'!$R$18),'Bonding Program'!$Q$18,0),0)</f>
        <v>0</v>
      </c>
      <c r="H159" s="19" t="n">
        <f aca="false">IF(AND('Bonding Program'!$S$18=1,H$3='Bonding Program'!$H$18),'Bonding Program'!$AA$18,0)-IF(H$3&lt;='Bonding Program'!$C$8,IF(AND('Bonding Program'!$K$18&lt;&gt;"",H$3='Bonding Program'!$K$18),'Bonding Program'!$J$18,0)-IF(AND('Bonding Program'!$M$18&lt;&gt;"",H$3='Bonding Program'!$M$18),'Bonding Program'!$L$18,0)-IF(AND('Bonding Program'!$P$18&lt;&gt;"",H$3='Bonding Program'!$P$18),'Bonding Program'!$O$18,0)-IF(AND('Bonding Program'!$R$18&lt;&gt;"",H$3='Bonding Program'!$R$18),'Bonding Program'!$Q$18,0),0)</f>
        <v>-107911</v>
      </c>
      <c r="I159" s="19" t="n">
        <f aca="false">IF(AND('Bonding Program'!$S$18=1,I$3='Bonding Program'!$H$18),'Bonding Program'!$AA$18,0)-IF(I$3&lt;='Bonding Program'!$C$8,IF(AND('Bonding Program'!$K$18&lt;&gt;"",I$3='Bonding Program'!$K$18),'Bonding Program'!$J$18,0)-IF(AND('Bonding Program'!$M$18&lt;&gt;"",I$3='Bonding Program'!$M$18),'Bonding Program'!$L$18,0)-IF(AND('Bonding Program'!$P$18&lt;&gt;"",I$3='Bonding Program'!$P$18),'Bonding Program'!$O$18,0)-IF(AND('Bonding Program'!$R$18&lt;&gt;"",I$3='Bonding Program'!$R$18),'Bonding Program'!$Q$18,0),0)</f>
        <v>0</v>
      </c>
      <c r="J159" s="19" t="n">
        <f aca="false">IF(AND('Bonding Program'!$S$18=1,J$3='Bonding Program'!$H$18),'Bonding Program'!$AA$18,0)-IF(J$3&lt;='Bonding Program'!$C$8,IF(AND('Bonding Program'!$K$18&lt;&gt;"",J$3='Bonding Program'!$K$18),'Bonding Program'!$J$18,0)-IF(AND('Bonding Program'!$M$18&lt;&gt;"",J$3='Bonding Program'!$M$18),'Bonding Program'!$L$18,0)-IF(AND('Bonding Program'!$P$18&lt;&gt;"",J$3='Bonding Program'!$P$18),'Bonding Program'!$O$18,0)-IF(AND('Bonding Program'!$R$18&lt;&gt;"",J$3='Bonding Program'!$R$18),'Bonding Program'!$Q$18,0),0)</f>
        <v>0</v>
      </c>
      <c r="K159" s="19" t="n">
        <f aca="false">IF(AND('Bonding Program'!$S$18=1,K$3='Bonding Program'!$H$18),'Bonding Program'!$AA$18,0)-IF(K$3&lt;='Bonding Program'!$C$8,IF(AND('Bonding Program'!$K$18&lt;&gt;"",K$3='Bonding Program'!$K$18),'Bonding Program'!$J$18,0)-IF(AND('Bonding Program'!$M$18&lt;&gt;"",K$3='Bonding Program'!$M$18),'Bonding Program'!$L$18,0)-IF(AND('Bonding Program'!$P$18&lt;&gt;"",K$3='Bonding Program'!$P$18),'Bonding Program'!$O$18,0)-IF(AND('Bonding Program'!$R$18&lt;&gt;"",K$3='Bonding Program'!$R$18),'Bonding Program'!$Q$18,0),0)</f>
        <v>0</v>
      </c>
      <c r="L159" s="19" t="n">
        <f aca="false">IF(AND('Bonding Program'!$S$18=1,L$3='Bonding Program'!$H$18),'Bonding Program'!$AA$18,0)-IF(L$3&lt;='Bonding Program'!$C$8,IF(AND('Bonding Program'!$K$18&lt;&gt;"",L$3='Bonding Program'!$K$18),'Bonding Program'!$J$18,0)-IF(AND('Bonding Program'!$M$18&lt;&gt;"",L$3='Bonding Program'!$M$18),'Bonding Program'!$L$18,0)-IF(AND('Bonding Program'!$P$18&lt;&gt;"",L$3='Bonding Program'!$P$18),'Bonding Program'!$O$18,0)-IF(AND('Bonding Program'!$R$18&lt;&gt;"",L$3='Bonding Program'!$R$18),'Bonding Program'!$Q$18,0),0)</f>
        <v>0</v>
      </c>
      <c r="M159" s="19" t="n">
        <f aca="false">IF(AND('Bonding Program'!$S$18=1,M$3='Bonding Program'!$H$18),'Bonding Program'!$AA$18,0)-IF(M$3&lt;='Bonding Program'!$C$8,IF(AND('Bonding Program'!$K$18&lt;&gt;"",M$3='Bonding Program'!$K$18),'Bonding Program'!$J$18,0)-IF(AND('Bonding Program'!$M$18&lt;&gt;"",M$3='Bonding Program'!$M$18),'Bonding Program'!$L$18,0)-IF(AND('Bonding Program'!$P$18&lt;&gt;"",M$3='Bonding Program'!$P$18),'Bonding Program'!$O$18,0)-IF(AND('Bonding Program'!$R$18&lt;&gt;"",M$3='Bonding Program'!$R$18),'Bonding Program'!$Q$18,0),0)</f>
        <v>0</v>
      </c>
      <c r="N159" s="19" t="n">
        <f aca="false">IF(AND('Bonding Program'!$S$18=1,N$3='Bonding Program'!$H$18),'Bonding Program'!$AA$18,0)-IF(N$3&lt;='Bonding Program'!$C$8,IF(AND('Bonding Program'!$K$18&lt;&gt;"",N$3='Bonding Program'!$K$18),'Bonding Program'!$J$18,0)-IF(AND('Bonding Program'!$M$18&lt;&gt;"",N$3='Bonding Program'!$M$18),'Bonding Program'!$L$18,0)-IF(AND('Bonding Program'!$P$18&lt;&gt;"",N$3='Bonding Program'!$P$18),'Bonding Program'!$O$18,0)-IF(AND('Bonding Program'!$R$18&lt;&gt;"",N$3='Bonding Program'!$R$18),'Bonding Program'!$Q$18,0),0)</f>
        <v>0</v>
      </c>
      <c r="O159" s="19" t="n">
        <f aca="false">IF(AND('Bonding Program'!$S$18=1,O$3='Bonding Program'!$H$18),'Bonding Program'!$AA$18,0)-IF(O$3&lt;='Bonding Program'!$C$8,IF(AND('Bonding Program'!$K$18&lt;&gt;"",O$3='Bonding Program'!$K$18),'Bonding Program'!$J$18,0)-IF(AND('Bonding Program'!$M$18&lt;&gt;"",O$3='Bonding Program'!$M$18),'Bonding Program'!$L$18,0)-IF(AND('Bonding Program'!$P$18&lt;&gt;"",O$3='Bonding Program'!$P$18),'Bonding Program'!$O$18,0)-IF(AND('Bonding Program'!$R$18&lt;&gt;"",O$3='Bonding Program'!$R$18),'Bonding Program'!$Q$18,0),0)</f>
        <v>0</v>
      </c>
      <c r="P159" s="19" t="n">
        <f aca="false">IF(AND('Bonding Program'!$S$18=1,P$3='Bonding Program'!$H$18),'Bonding Program'!$AA$18,0)-IF(P$3&lt;='Bonding Program'!$C$8,IF(AND('Bonding Program'!$K$18&lt;&gt;"",P$3='Bonding Program'!$K$18),'Bonding Program'!$J$18,0)-IF(AND('Bonding Program'!$M$18&lt;&gt;"",P$3='Bonding Program'!$M$18),'Bonding Program'!$L$18,0)-IF(AND('Bonding Program'!$P$18&lt;&gt;"",P$3='Bonding Program'!$P$18),'Bonding Program'!$O$18,0)-IF(AND('Bonding Program'!$R$18&lt;&gt;"",P$3='Bonding Program'!$R$18),'Bonding Program'!$Q$18,0),0)</f>
        <v>0</v>
      </c>
      <c r="Q159" s="19" t="n">
        <f aca="false">IF(AND('Bonding Program'!$S$18=1,Q$3='Bonding Program'!$H$18),'Bonding Program'!$AA$18,0)-IF(Q$3&lt;='Bonding Program'!$C$8,IF(AND('Bonding Program'!$K$18&lt;&gt;"",Q$3='Bonding Program'!$K$18),'Bonding Program'!$J$18,0)-IF(AND('Bonding Program'!$M$18&lt;&gt;"",Q$3='Bonding Program'!$M$18),'Bonding Program'!$L$18,0)-IF(AND('Bonding Program'!$P$18&lt;&gt;"",Q$3='Bonding Program'!$P$18),'Bonding Program'!$O$18,0)-IF(AND('Bonding Program'!$R$18&lt;&gt;"",Q$3='Bonding Program'!$R$18),'Bonding Program'!$Q$18,0),0)</f>
        <v>0</v>
      </c>
      <c r="R159" s="19" t="n">
        <f aca="false">IF(AND('Bonding Program'!$S$18=1,R$3='Bonding Program'!$H$18),'Bonding Program'!$AA$18,0)-IF(R$3&lt;='Bonding Program'!$C$8,IF(AND('Bonding Program'!$K$18&lt;&gt;"",R$3='Bonding Program'!$K$18),'Bonding Program'!$J$18,0)-IF(AND('Bonding Program'!$M$18&lt;&gt;"",R$3='Bonding Program'!$M$18),'Bonding Program'!$L$18,0)-IF(AND('Bonding Program'!$P$18&lt;&gt;"",R$3='Bonding Program'!$P$18),'Bonding Program'!$O$18,0)-IF(AND('Bonding Program'!$R$18&lt;&gt;"",R$3='Bonding Program'!$R$18),'Bonding Program'!$Q$18,0),0)</f>
        <v>0</v>
      </c>
      <c r="S159" s="19" t="n">
        <f aca="false">IF(AND('Bonding Program'!$S$18=1,S$3='Bonding Program'!$H$18),'Bonding Program'!$AA$18,0)-IF(S$3&lt;='Bonding Program'!$C$8,IF(AND('Bonding Program'!$K$18&lt;&gt;"",S$3='Bonding Program'!$K$18),'Bonding Program'!$J$18,0)-IF(AND('Bonding Program'!$M$18&lt;&gt;"",S$3='Bonding Program'!$M$18),'Bonding Program'!$L$18,0)-IF(AND('Bonding Program'!$P$18&lt;&gt;"",S$3='Bonding Program'!$P$18),'Bonding Program'!$O$18,0)-IF(AND('Bonding Program'!$R$18&lt;&gt;"",S$3='Bonding Program'!$R$18),'Bonding Program'!$Q$18,0),0)</f>
        <v>0</v>
      </c>
      <c r="T159" s="19" t="n">
        <f aca="false">IF(AND('Bonding Program'!$S$18=1,T$3='Bonding Program'!$H$18),'Bonding Program'!$AA$18,0)-IF(T$3&lt;='Bonding Program'!$C$8,IF(AND('Bonding Program'!$K$18&lt;&gt;"",T$3='Bonding Program'!$K$18),'Bonding Program'!$J$18,0)-IF(AND('Bonding Program'!$M$18&lt;&gt;"",T$3='Bonding Program'!$M$18),'Bonding Program'!$L$18,0)-IF(AND('Bonding Program'!$P$18&lt;&gt;"",T$3='Bonding Program'!$P$18),'Bonding Program'!$O$18,0)-IF(AND('Bonding Program'!$R$18&lt;&gt;"",T$3='Bonding Program'!$R$18),'Bonding Program'!$Q$18,0),0)</f>
        <v>0</v>
      </c>
      <c r="U159" s="19" t="n">
        <f aca="false">IF(AND('Bonding Program'!$S$18=1,U$3='Bonding Program'!$H$18),'Bonding Program'!$AA$18,0)-IF(U$3&lt;='Bonding Program'!$C$8,IF(AND('Bonding Program'!$K$18&lt;&gt;"",U$3='Bonding Program'!$K$18),'Bonding Program'!$J$18,0)-IF(AND('Bonding Program'!$M$18&lt;&gt;"",U$3='Bonding Program'!$M$18),'Bonding Program'!$L$18,0)-IF(AND('Bonding Program'!$P$18&lt;&gt;"",U$3='Bonding Program'!$P$18),'Bonding Program'!$O$18,0)-IF(AND('Bonding Program'!$R$18&lt;&gt;"",U$3='Bonding Program'!$R$18),'Bonding Program'!$Q$18,0),0)</f>
        <v>0</v>
      </c>
      <c r="V159" s="19" t="n">
        <f aca="false">IF(AND('Bonding Program'!$S$18=1,V$3='Bonding Program'!$H$18),'Bonding Program'!$AA$18,0)-IF(V$3&lt;='Bonding Program'!$C$8,IF(AND('Bonding Program'!$K$18&lt;&gt;"",V$3='Bonding Program'!$K$18),'Bonding Program'!$J$18,0)-IF(AND('Bonding Program'!$M$18&lt;&gt;"",V$3='Bonding Program'!$M$18),'Bonding Program'!$L$18,0)-IF(AND('Bonding Program'!$P$18&lt;&gt;"",V$3='Bonding Program'!$P$18),'Bonding Program'!$O$18,0)-IF(AND('Bonding Program'!$R$18&lt;&gt;"",V$3='Bonding Program'!$R$18),'Bonding Program'!$Q$18,0),0)</f>
        <v>0</v>
      </c>
      <c r="W159" s="19" t="n">
        <f aca="false">IF(AND('Bonding Program'!$S$18=1,W$3='Bonding Program'!$H$18),'Bonding Program'!$AA$18,0)-IF(W$3&lt;='Bonding Program'!$C$8,IF(AND('Bonding Program'!$K$18&lt;&gt;"",W$3='Bonding Program'!$K$18),'Bonding Program'!$J$18,0)-IF(AND('Bonding Program'!$M$18&lt;&gt;"",W$3='Bonding Program'!$M$18),'Bonding Program'!$L$18,0)-IF(AND('Bonding Program'!$P$18&lt;&gt;"",W$3='Bonding Program'!$P$18),'Bonding Program'!$O$18,0)-IF(AND('Bonding Program'!$R$18&lt;&gt;"",W$3='Bonding Program'!$R$18),'Bonding Program'!$Q$18,0),0)</f>
        <v>0</v>
      </c>
      <c r="X159" s="19" t="n">
        <f aca="false">IF(AND('Bonding Program'!$S$18=1,X$3='Bonding Program'!$H$18),'Bonding Program'!$AA$18,0)-IF(X$3&lt;='Bonding Program'!$C$8,IF(AND('Bonding Program'!$K$18&lt;&gt;"",X$3='Bonding Program'!$K$18),'Bonding Program'!$J$18,0)-IF(AND('Bonding Program'!$M$18&lt;&gt;"",X$3='Bonding Program'!$M$18),'Bonding Program'!$L$18,0)-IF(AND('Bonding Program'!$P$18&lt;&gt;"",X$3='Bonding Program'!$P$18),'Bonding Program'!$O$18,0)-IF(AND('Bonding Program'!$R$18&lt;&gt;"",X$3='Bonding Program'!$R$18),'Bonding Program'!$Q$18,0),0)</f>
        <v>0</v>
      </c>
      <c r="Y159" s="19" t="n">
        <f aca="false">IF(AND('Bonding Program'!$S$18=1,Y$3='Bonding Program'!$H$18),'Bonding Program'!$AA$18,0)-IF(Y$3&lt;='Bonding Program'!$C$8,IF(AND('Bonding Program'!$K$18&lt;&gt;"",Y$3='Bonding Program'!$K$18),'Bonding Program'!$J$18,0)-IF(AND('Bonding Program'!$M$18&lt;&gt;"",Y$3='Bonding Program'!$M$18),'Bonding Program'!$L$18,0)-IF(AND('Bonding Program'!$P$18&lt;&gt;"",Y$3='Bonding Program'!$P$18),'Bonding Program'!$O$18,0)-IF(AND('Bonding Program'!$R$18&lt;&gt;"",Y$3='Bonding Program'!$R$18),'Bonding Program'!$Q$18,0),0)</f>
        <v>0</v>
      </c>
      <c r="Z159" s="19" t="n">
        <f aca="false">IF(AND('Bonding Program'!$S$18=1,Z$3='Bonding Program'!$H$18),'Bonding Program'!$AA$18,0)-IF(Z$3&lt;='Bonding Program'!$C$8,IF(AND('Bonding Program'!$K$18&lt;&gt;"",Z$3='Bonding Program'!$K$18),'Bonding Program'!$J$18,0)-IF(AND('Bonding Program'!$M$18&lt;&gt;"",Z$3='Bonding Program'!$M$18),'Bonding Program'!$L$18,0)-IF(AND('Bonding Program'!$P$18&lt;&gt;"",Z$3='Bonding Program'!$P$18),'Bonding Program'!$O$18,0)-IF(AND('Bonding Program'!$R$18&lt;&gt;"",Z$3='Bonding Program'!$R$18),'Bonding Program'!$Q$18,0),0)</f>
        <v>0</v>
      </c>
      <c r="AA159" s="19" t="n">
        <f aca="false">IF(AND('Bonding Program'!$S$18=1,AA$3='Bonding Program'!$H$18),'Bonding Program'!$AA$18,0)-IF(AA$3&lt;='Bonding Program'!$C$8,IF(AND('Bonding Program'!$K$18&lt;&gt;"",AA$3='Bonding Program'!$K$18),'Bonding Program'!$J$18,0)-IF(AND('Bonding Program'!$M$18&lt;&gt;"",AA$3='Bonding Program'!$M$18),'Bonding Program'!$L$18,0)-IF(AND('Bonding Program'!$P$18&lt;&gt;"",AA$3='Bonding Program'!$P$18),'Bonding Program'!$O$18,0)-IF(AND('Bonding Program'!$R$18&lt;&gt;"",AA$3='Bonding Program'!$R$18),'Bonding Program'!$Q$18,0),0)</f>
        <v>0</v>
      </c>
      <c r="AB159" s="19" t="n">
        <f aca="false">IF(AND('Bonding Program'!$S$18=1,AB$3='Bonding Program'!$H$18),'Bonding Program'!$AA$18,0)-IF(AB$3&lt;='Bonding Program'!$C$8,IF(AND('Bonding Program'!$K$18&lt;&gt;"",AB$3='Bonding Program'!$K$18),'Bonding Program'!$J$18,0)-IF(AND('Bonding Program'!$M$18&lt;&gt;"",AB$3='Bonding Program'!$M$18),'Bonding Program'!$L$18,0)-IF(AND('Bonding Program'!$P$18&lt;&gt;"",AB$3='Bonding Program'!$P$18),'Bonding Program'!$O$18,0)-IF(AND('Bonding Program'!$R$18&lt;&gt;"",AB$3='Bonding Program'!$R$18),'Bonding Program'!$Q$18,0),0)</f>
        <v>0</v>
      </c>
      <c r="AC159" s="19" t="n">
        <f aca="false">IF(AND('Bonding Program'!$S$18=1,AC$3='Bonding Program'!$H$18),'Bonding Program'!$AA$18,0)-IF(AC$3&lt;='Bonding Program'!$C$8,IF(AND('Bonding Program'!$K$18&lt;&gt;"",AC$3='Bonding Program'!$K$18),'Bonding Program'!$J$18,0)-IF(AND('Bonding Program'!$M$18&lt;&gt;"",AC$3='Bonding Program'!$M$18),'Bonding Program'!$L$18,0)-IF(AND('Bonding Program'!$P$18&lt;&gt;"",AC$3='Bonding Program'!$P$18),'Bonding Program'!$O$18,0)-IF(AND('Bonding Program'!$R$18&lt;&gt;"",AC$3='Bonding Program'!$R$18),'Bonding Program'!$Q$18,0),0)</f>
        <v>0</v>
      </c>
      <c r="AD159" s="19" t="n">
        <f aca="false">IF(AND('Bonding Program'!$S$18=1,AD$3='Bonding Program'!$H$18),'Bonding Program'!$AA$18,0)-IF(AD$3&lt;='Bonding Program'!$C$8,IF(AND('Bonding Program'!$K$18&lt;&gt;"",AD$3='Bonding Program'!$K$18),'Bonding Program'!$J$18,0)-IF(AND('Bonding Program'!$M$18&lt;&gt;"",AD$3='Bonding Program'!$M$18),'Bonding Program'!$L$18,0)-IF(AND('Bonding Program'!$P$18&lt;&gt;"",AD$3='Bonding Program'!$P$18),'Bonding Program'!$O$18,0)-IF(AND('Bonding Program'!$R$18&lt;&gt;"",AD$3='Bonding Program'!$R$18),'Bonding Program'!$Q$18,0),0)</f>
        <v>0</v>
      </c>
      <c r="AE159" s="19" t="n">
        <f aca="false">IF(AND('Bonding Program'!$S$18=1,AE$3='Bonding Program'!$H$18),'Bonding Program'!$AA$18,0)-IF(AE$3&lt;='Bonding Program'!$C$8,IF(AND('Bonding Program'!$K$18&lt;&gt;"",AE$3='Bonding Program'!$K$18),'Bonding Program'!$J$18,0)-IF(AND('Bonding Program'!$M$18&lt;&gt;"",AE$3='Bonding Program'!$M$18),'Bonding Program'!$L$18,0)-IF(AND('Bonding Program'!$P$18&lt;&gt;"",AE$3='Bonding Program'!$P$18),'Bonding Program'!$O$18,0)-IF(AND('Bonding Program'!$R$18&lt;&gt;"",AE$3='Bonding Program'!$R$18),'Bonding Program'!$Q$18,0),0)</f>
        <v>0</v>
      </c>
      <c r="AF159" s="19" t="n">
        <f aca="false">IF(AND('Bonding Program'!$S$18=1,AF$3='Bonding Program'!$H$18),'Bonding Program'!$AA$18,0)-IF(AF$3&lt;='Bonding Program'!$C$8,IF(AND('Bonding Program'!$K$18&lt;&gt;"",AF$3='Bonding Program'!$K$18),'Bonding Program'!$J$18,0)-IF(AND('Bonding Program'!$M$18&lt;&gt;"",AF$3='Bonding Program'!$M$18),'Bonding Program'!$L$18,0)-IF(AND('Bonding Program'!$P$18&lt;&gt;"",AF$3='Bonding Program'!$P$18),'Bonding Program'!$O$18,0)-IF(AND('Bonding Program'!$R$18&lt;&gt;"",AF$3='Bonding Program'!$R$18),'Bonding Program'!$Q$18,0),0)</f>
        <v>0</v>
      </c>
      <c r="AG159" s="19" t="n">
        <f aca="false">IF(AND('Bonding Program'!$S$18=1,AG$3='Bonding Program'!$H$18),'Bonding Program'!$AA$18,0)-IF(AG$3&lt;='Bonding Program'!$C$8,IF(AND('Bonding Program'!$K$18&lt;&gt;"",AG$3='Bonding Program'!$K$18),'Bonding Program'!$J$18,0)-IF(AND('Bonding Program'!$M$18&lt;&gt;"",AG$3='Bonding Program'!$M$18),'Bonding Program'!$L$18,0)-IF(AND('Bonding Program'!$P$18&lt;&gt;"",AG$3='Bonding Program'!$P$18),'Bonding Program'!$O$18,0)-IF(AND('Bonding Program'!$R$18&lt;&gt;"",AG$3='Bonding Program'!$R$18),'Bonding Program'!$Q$18,0),0)</f>
        <v>0</v>
      </c>
      <c r="AH159" s="19" t="n">
        <f aca="false">IF(AND('Bonding Program'!$S$18=1,AH$3='Bonding Program'!$H$18),'Bonding Program'!$AA$18,0)-IF(AH$3&lt;='Bonding Program'!$C$8,IF(AND('Bonding Program'!$K$18&lt;&gt;"",AH$3='Bonding Program'!$K$18),'Bonding Program'!$J$18,0)-IF(AND('Bonding Program'!$M$18&lt;&gt;"",AH$3='Bonding Program'!$M$18),'Bonding Program'!$L$18,0)-IF(AND('Bonding Program'!$P$18&lt;&gt;"",AH$3='Bonding Program'!$P$18),'Bonding Program'!$O$18,0)-IF(AND('Bonding Program'!$R$18&lt;&gt;"",AH$3='Bonding Program'!$R$18),'Bonding Program'!$Q$18,0),0)</f>
        <v>0</v>
      </c>
      <c r="AI159" s="19" t="n">
        <f aca="false">IF(AND('Bonding Program'!$S$18=1,AI$3='Bonding Program'!$H$18),'Bonding Program'!$AA$18,0)-IF(AI$3&lt;='Bonding Program'!$C$8,IF(AND('Bonding Program'!$K$18&lt;&gt;"",AI$3='Bonding Program'!$K$18),'Bonding Program'!$J$18,0)-IF(AND('Bonding Program'!$M$18&lt;&gt;"",AI$3='Bonding Program'!$M$18),'Bonding Program'!$L$18,0)-IF(AND('Bonding Program'!$P$18&lt;&gt;"",AI$3='Bonding Program'!$P$18),'Bonding Program'!$O$18,0)-IF(AND('Bonding Program'!$R$18&lt;&gt;"",AI$3='Bonding Program'!$R$18),'Bonding Program'!$Q$18,0),0)</f>
        <v>0</v>
      </c>
      <c r="AJ159" s="19" t="n">
        <f aca="false">IF(AND('Bonding Program'!$S$18=1,AJ$3='Bonding Program'!$H$18),'Bonding Program'!$AA$18,0)-IF(AJ$3&lt;='Bonding Program'!$C$8,IF(AND('Bonding Program'!$K$18&lt;&gt;"",AJ$3='Bonding Program'!$K$18),'Bonding Program'!$J$18,0)-IF(AND('Bonding Program'!$M$18&lt;&gt;"",AJ$3='Bonding Program'!$M$18),'Bonding Program'!$L$18,0)-IF(AND('Bonding Program'!$P$18&lt;&gt;"",AJ$3='Bonding Program'!$P$18),'Bonding Program'!$O$18,0)-IF(AND('Bonding Program'!$R$18&lt;&gt;"",AJ$3='Bonding Program'!$R$18),'Bonding Program'!$Q$18,0),0)</f>
        <v>0</v>
      </c>
      <c r="AK159" s="19" t="n">
        <f aca="false">IF(AND('Bonding Program'!$S$18=1,AK$3='Bonding Program'!$H$18),'Bonding Program'!$AA$18,0)-IF(AK$3&lt;='Bonding Program'!$C$8,IF(AND('Bonding Program'!$K$18&lt;&gt;"",AK$3='Bonding Program'!$K$18),'Bonding Program'!$J$18,0)-IF(AND('Bonding Program'!$M$18&lt;&gt;"",AK$3='Bonding Program'!$M$18),'Bonding Program'!$L$18,0)-IF(AND('Bonding Program'!$P$18&lt;&gt;"",AK$3='Bonding Program'!$P$18),'Bonding Program'!$O$18,0)-IF(AND('Bonding Program'!$R$18&lt;&gt;"",AK$3='Bonding Program'!$R$18),'Bonding Program'!$Q$18,0),0)</f>
        <v>0</v>
      </c>
      <c r="AL159" s="19" t="n">
        <f aca="false">IF(AND('Bonding Program'!$S$18=1,AL$3='Bonding Program'!$H$18),'Bonding Program'!$AA$18,0)-IF(AL$3&lt;='Bonding Program'!$C$8,IF(AND('Bonding Program'!$K$18&lt;&gt;"",AL$3='Bonding Program'!$K$18),'Bonding Program'!$J$18,0)-IF(AND('Bonding Program'!$M$18&lt;&gt;"",AL$3='Bonding Program'!$M$18),'Bonding Program'!$L$18,0)-IF(AND('Bonding Program'!$P$18&lt;&gt;"",AL$3='Bonding Program'!$P$18),'Bonding Program'!$O$18,0)-IF(AND('Bonding Program'!$R$18&lt;&gt;"",AL$3='Bonding Program'!$R$18),'Bonding Program'!$Q$18,0),0)</f>
        <v>0</v>
      </c>
      <c r="AM159" s="19" t="n">
        <f aca="false">IF(AND('Bonding Program'!$S$18=1,AM$3='Bonding Program'!$H$18),'Bonding Program'!$AA$18,0)-IF(AM$3&lt;='Bonding Program'!$C$8,IF(AND('Bonding Program'!$K$18&lt;&gt;"",AM$3='Bonding Program'!$K$18),'Bonding Program'!$J$18,0)-IF(AND('Bonding Program'!$M$18&lt;&gt;"",AM$3='Bonding Program'!$M$18),'Bonding Program'!$L$18,0)-IF(AND('Bonding Program'!$P$18&lt;&gt;"",AM$3='Bonding Program'!$P$18),'Bonding Program'!$O$18,0)-IF(AND('Bonding Program'!$R$18&lt;&gt;"",AM$3='Bonding Program'!$R$18),'Bonding Program'!$Q$18,0),0)</f>
        <v>0</v>
      </c>
      <c r="AN159" s="19" t="n">
        <f aca="false">IF(AND('Bonding Program'!$S$18=1,AN$3='Bonding Program'!$H$18),'Bonding Program'!$AA$18,0)-IF(AN$3&lt;='Bonding Program'!$C$8,IF(AND('Bonding Program'!$K$18&lt;&gt;"",AN$3='Bonding Program'!$K$18),'Bonding Program'!$J$18,0)-IF(AND('Bonding Program'!$M$18&lt;&gt;"",AN$3='Bonding Program'!$M$18),'Bonding Program'!$L$18,0)-IF(AND('Bonding Program'!$P$18&lt;&gt;"",AN$3='Bonding Program'!$P$18),'Bonding Program'!$O$18,0)-IF(AND('Bonding Program'!$R$18&lt;&gt;"",AN$3='Bonding Program'!$R$18),'Bonding Program'!$Q$18,0),0)</f>
        <v>0</v>
      </c>
      <c r="AO159" s="19" t="n">
        <f aca="false">IF(AND('Bonding Program'!$S$18=1,AO$3='Bonding Program'!$H$18),'Bonding Program'!$AA$18,0)-IF(AO$3&lt;='Bonding Program'!$C$8,IF(AND('Bonding Program'!$K$18&lt;&gt;"",AO$3='Bonding Program'!$K$18),'Bonding Program'!$J$18,0)-IF(AND('Bonding Program'!$M$18&lt;&gt;"",AO$3='Bonding Program'!$M$18),'Bonding Program'!$L$18,0)-IF(AND('Bonding Program'!$P$18&lt;&gt;"",AO$3='Bonding Program'!$P$18),'Bonding Program'!$O$18,0)-IF(AND('Bonding Program'!$R$18&lt;&gt;"",AO$3='Bonding Program'!$R$18),'Bonding Program'!$Q$18,0),0)</f>
        <v>0</v>
      </c>
      <c r="AP159" s="19" t="n">
        <f aca="false">IF(AND('Bonding Program'!$S$18=1,AP$3='Bonding Program'!$H$18),'Bonding Program'!$AA$18,0)-IF(AP$3&lt;='Bonding Program'!$C$8,IF(AND('Bonding Program'!$K$18&lt;&gt;"",AP$3='Bonding Program'!$K$18),'Bonding Program'!$J$18,0)-IF(AND('Bonding Program'!$M$18&lt;&gt;"",AP$3='Bonding Program'!$M$18),'Bonding Program'!$L$18,0)-IF(AND('Bonding Program'!$P$18&lt;&gt;"",AP$3='Bonding Program'!$P$18),'Bonding Program'!$O$18,0)-IF(AND('Bonding Program'!$R$18&lt;&gt;"",AP$3='Bonding Program'!$R$18),'Bonding Program'!$Q$18,0),0)</f>
        <v>0</v>
      </c>
      <c r="AQ159" s="19" t="n">
        <f aca="false">IF(AND('Bonding Program'!$S$18=1,AQ$3='Bonding Program'!$H$18),'Bonding Program'!$AA$18,0)-IF(AQ$3&lt;='Bonding Program'!$C$8,IF(AND('Bonding Program'!$K$18&lt;&gt;"",AQ$3='Bonding Program'!$K$18),'Bonding Program'!$J$18,0)-IF(AND('Bonding Program'!$M$18&lt;&gt;"",AQ$3='Bonding Program'!$M$18),'Bonding Program'!$L$18,0)-IF(AND('Bonding Program'!$P$18&lt;&gt;"",AQ$3='Bonding Program'!$P$18),'Bonding Program'!$O$18,0)-IF(AND('Bonding Program'!$R$18&lt;&gt;"",AQ$3='Bonding Program'!$R$18),'Bonding Program'!$Q$18,0),0)</f>
        <v>0</v>
      </c>
      <c r="AR159" s="19" t="n">
        <f aca="false">IF(AND('Bonding Program'!$S$18=1,AR$3='Bonding Program'!$H$18),'Bonding Program'!$AA$18,0)-IF(AR$3&lt;='Bonding Program'!$C$8,IF(AND('Bonding Program'!$K$18&lt;&gt;"",AR$3='Bonding Program'!$K$18),'Bonding Program'!$J$18,0)-IF(AND('Bonding Program'!$M$18&lt;&gt;"",AR$3='Bonding Program'!$M$18),'Bonding Program'!$L$18,0)-IF(AND('Bonding Program'!$P$18&lt;&gt;"",AR$3='Bonding Program'!$P$18),'Bonding Program'!$O$18,0)-IF(AND('Bonding Program'!$R$18&lt;&gt;"",AR$3='Bonding Program'!$R$18),'Bonding Program'!$Q$18,0),0)</f>
        <v>0</v>
      </c>
      <c r="AS159" s="19" t="n">
        <f aca="false">IF(AND('Bonding Program'!$S$18=1,AS$3='Bonding Program'!$H$18),'Bonding Program'!$AA$18,0)-IF(AS$3&lt;='Bonding Program'!$C$8,IF(AND('Bonding Program'!$K$18&lt;&gt;"",AS$3='Bonding Program'!$K$18),'Bonding Program'!$J$18,0)-IF(AND('Bonding Program'!$M$18&lt;&gt;"",AS$3='Bonding Program'!$M$18),'Bonding Program'!$L$18,0)-IF(AND('Bonding Program'!$P$18&lt;&gt;"",AS$3='Bonding Program'!$P$18),'Bonding Program'!$O$18,0)-IF(AND('Bonding Program'!$R$18&lt;&gt;"",AS$3='Bonding Program'!$R$18),'Bonding Program'!$Q$18,0),0)</f>
        <v>0</v>
      </c>
      <c r="AT159" s="19" t="n">
        <f aca="false">IF(AND('Bonding Program'!$S$18=1,AT$3='Bonding Program'!$H$18),'Bonding Program'!$AA$18,0)-IF(AT$3&lt;='Bonding Program'!$C$8,IF(AND('Bonding Program'!$K$18&lt;&gt;"",AT$3='Bonding Program'!$K$18),'Bonding Program'!$J$18,0)-IF(AND('Bonding Program'!$M$18&lt;&gt;"",AT$3='Bonding Program'!$M$18),'Bonding Program'!$L$18,0)-IF(AND('Bonding Program'!$P$18&lt;&gt;"",AT$3='Bonding Program'!$P$18),'Bonding Program'!$O$18,0)-IF(AND('Bonding Program'!$R$18&lt;&gt;"",AT$3='Bonding Program'!$R$18),'Bonding Program'!$Q$18,0),0)</f>
        <v>0</v>
      </c>
      <c r="AU159" s="19" t="n">
        <f aca="false">IF(AND('Bonding Program'!$S$18=1,AU$3='Bonding Program'!$H$18),'Bonding Program'!$AA$18,0)-IF(AU$3&lt;='Bonding Program'!$C$8,IF(AND('Bonding Program'!$K$18&lt;&gt;"",AU$3='Bonding Program'!$K$18),'Bonding Program'!$J$18,0)-IF(AND('Bonding Program'!$M$18&lt;&gt;"",AU$3='Bonding Program'!$M$18),'Bonding Program'!$L$18,0)-IF(AND('Bonding Program'!$P$18&lt;&gt;"",AU$3='Bonding Program'!$P$18),'Bonding Program'!$O$18,0)-IF(AND('Bonding Program'!$R$18&lt;&gt;"",AU$3='Bonding Program'!$R$18),'Bonding Program'!$Q$18,0),0)</f>
        <v>0</v>
      </c>
      <c r="AV159" s="19" t="n">
        <f aca="false">IF(AND('Bonding Program'!$S$18=1,AV$3='Bonding Program'!$H$18),'Bonding Program'!$AA$18,0)-IF(AV$3&lt;='Bonding Program'!$C$8,IF(AND('Bonding Program'!$K$18&lt;&gt;"",AV$3='Bonding Program'!$K$18),'Bonding Program'!$J$18,0)-IF(AND('Bonding Program'!$M$18&lt;&gt;"",AV$3='Bonding Program'!$M$18),'Bonding Program'!$L$18,0)-IF(AND('Bonding Program'!$P$18&lt;&gt;"",AV$3='Bonding Program'!$P$18),'Bonding Program'!$O$18,0)-IF(AND('Bonding Program'!$R$18&lt;&gt;"",AV$3='Bonding Program'!$R$18),'Bonding Program'!$Q$18,0),0)</f>
        <v>0</v>
      </c>
      <c r="AW159" s="19" t="n">
        <f aca="false">IF(AND('Bonding Program'!$S$18=1,AW$3='Bonding Program'!$H$18),'Bonding Program'!$AA$18,0)-IF(AW$3&lt;='Bonding Program'!$C$8,IF(AND('Bonding Program'!$K$18&lt;&gt;"",AW$3='Bonding Program'!$K$18),'Bonding Program'!$J$18,0)-IF(AND('Bonding Program'!$M$18&lt;&gt;"",AW$3='Bonding Program'!$M$18),'Bonding Program'!$L$18,0)-IF(AND('Bonding Program'!$P$18&lt;&gt;"",AW$3='Bonding Program'!$P$18),'Bonding Program'!$O$18,0)-IF(AND('Bonding Program'!$R$18&lt;&gt;"",AW$3='Bonding Program'!$R$18),'Bonding Program'!$Q$18,0),0)</f>
        <v>0</v>
      </c>
      <c r="AX159" s="19" t="n">
        <f aca="false">IF(AND('Bonding Program'!$S$18=1,AX$3='Bonding Program'!$H$18),'Bonding Program'!$AA$18,0)-IF(AX$3&lt;='Bonding Program'!$C$8,IF(AND('Bonding Program'!$K$18&lt;&gt;"",AX$3='Bonding Program'!$K$18),'Bonding Program'!$J$18,0)-IF(AND('Bonding Program'!$M$18&lt;&gt;"",AX$3='Bonding Program'!$M$18),'Bonding Program'!$L$18,0)-IF(AND('Bonding Program'!$P$18&lt;&gt;"",AX$3='Bonding Program'!$P$18),'Bonding Program'!$O$18,0)-IF(AND('Bonding Program'!$R$18&lt;&gt;"",AX$3='Bonding Program'!$R$18),'Bonding Program'!$Q$18,0),0)</f>
        <v>0</v>
      </c>
      <c r="AY159" s="19" t="n">
        <f aca="false">IF(AND('Bonding Program'!$S$18=1,AY$3='Bonding Program'!$H$18),'Bonding Program'!$AA$18,0)-IF(AY$3&lt;='Bonding Program'!$C$8,IF(AND('Bonding Program'!$K$18&lt;&gt;"",AY$3='Bonding Program'!$K$18),'Bonding Program'!$J$18,0)-IF(AND('Bonding Program'!$M$18&lt;&gt;"",AY$3='Bonding Program'!$M$18),'Bonding Program'!$L$18,0)-IF(AND('Bonding Program'!$P$18&lt;&gt;"",AY$3='Bonding Program'!$P$18),'Bonding Program'!$O$18,0)-IF(AND('Bonding Program'!$R$18&lt;&gt;"",AY$3='Bonding Program'!$R$18),'Bonding Program'!$Q$18,0),0)</f>
        <v>0</v>
      </c>
      <c r="AZ159" s="19" t="n">
        <f aca="false">IF(AND('Bonding Program'!$S$18=1,AZ$3='Bonding Program'!$H$18),'Bonding Program'!$AA$18,0)-IF(AZ$3&lt;='Bonding Program'!$C$8,IF(AND('Bonding Program'!$K$18&lt;&gt;"",AZ$3='Bonding Program'!$K$18),'Bonding Program'!$J$18,0)-IF(AND('Bonding Program'!$M$18&lt;&gt;"",AZ$3='Bonding Program'!$M$18),'Bonding Program'!$L$18,0)-IF(AND('Bonding Program'!$P$18&lt;&gt;"",AZ$3='Bonding Program'!$P$18),'Bonding Program'!$O$18,0)-IF(AND('Bonding Program'!$R$18&lt;&gt;"",AZ$3='Bonding Program'!$R$18),'Bonding Program'!$Q$18,0),0)</f>
        <v>0</v>
      </c>
      <c r="BA159" s="19" t="n">
        <f aca="false">IF(AND('Bonding Program'!$S$18=1,BA$3='Bonding Program'!$H$18),'Bonding Program'!$AA$18,0)-IF(BA$3&lt;='Bonding Program'!$C$8,IF(AND('Bonding Program'!$K$18&lt;&gt;"",BA$3='Bonding Program'!$K$18),'Bonding Program'!$J$18,0)-IF(AND('Bonding Program'!$M$18&lt;&gt;"",BA$3='Bonding Program'!$M$18),'Bonding Program'!$L$18,0)-IF(AND('Bonding Program'!$P$18&lt;&gt;"",BA$3='Bonding Program'!$P$18),'Bonding Program'!$O$18,0)-IF(AND('Bonding Program'!$R$18&lt;&gt;"",BA$3='Bonding Program'!$R$18),'Bonding Program'!$Q$18,0),0)</f>
        <v>0</v>
      </c>
      <c r="BB159" s="19" t="n">
        <f aca="false">IF(AND('Bonding Program'!$S$18=1,BB$3='Bonding Program'!$H$18),'Bonding Program'!$AA$18,0)-IF(BB$3&lt;='Bonding Program'!$C$8,IF(AND('Bonding Program'!$K$18&lt;&gt;"",BB$3='Bonding Program'!$K$18),'Bonding Program'!$J$18,0)-IF(AND('Bonding Program'!$M$18&lt;&gt;"",BB$3='Bonding Program'!$M$18),'Bonding Program'!$L$18,0)-IF(AND('Bonding Program'!$P$18&lt;&gt;"",BB$3='Bonding Program'!$P$18),'Bonding Program'!$O$18,0)-IF(AND('Bonding Program'!$R$18&lt;&gt;"",BB$3='Bonding Program'!$R$18),'Bonding Program'!$Q$18,0),0)</f>
        <v>0</v>
      </c>
      <c r="BC159" s="19" t="n">
        <f aca="false">IF(AND('Bonding Program'!$S$18=1,BC$3='Bonding Program'!$H$18),'Bonding Program'!$AA$18,0)-IF(BC$3&lt;='Bonding Program'!$C$8,IF(AND('Bonding Program'!$K$18&lt;&gt;"",BC$3='Bonding Program'!$K$18),'Bonding Program'!$J$18,0)-IF(AND('Bonding Program'!$M$18&lt;&gt;"",BC$3='Bonding Program'!$M$18),'Bonding Program'!$L$18,0)-IF(AND('Bonding Program'!$P$18&lt;&gt;"",BC$3='Bonding Program'!$P$18),'Bonding Program'!$O$18,0)-IF(AND('Bonding Program'!$R$18&lt;&gt;"",BC$3='Bonding Program'!$R$18),'Bonding Program'!$Q$18,0),0)</f>
        <v>0</v>
      </c>
      <c r="BD159" s="19" t="n">
        <f aca="false">IF(AND('Bonding Program'!$S$18=1,BD$3='Bonding Program'!$H$18),'Bonding Program'!$AA$18,0)-IF(BD$3&lt;='Bonding Program'!$C$8,IF(AND('Bonding Program'!$K$18&lt;&gt;"",BD$3='Bonding Program'!$K$18),'Bonding Program'!$J$18,0)-IF(AND('Bonding Program'!$M$18&lt;&gt;"",BD$3='Bonding Program'!$M$18),'Bonding Program'!$L$18,0)-IF(AND('Bonding Program'!$P$18&lt;&gt;"",BD$3='Bonding Program'!$P$18),'Bonding Program'!$O$18,0)-IF(AND('Bonding Program'!$R$18&lt;&gt;"",BD$3='Bonding Program'!$R$18),'Bonding Program'!$Q$18,0),0)</f>
        <v>0</v>
      </c>
      <c r="BE159" s="19" t="n">
        <f aca="false">IF(AND('Bonding Program'!$S$18=1,BE$3='Bonding Program'!$H$18),'Bonding Program'!$AA$18,0)-IF(BE$3&lt;='Bonding Program'!$C$8,IF(AND('Bonding Program'!$K$18&lt;&gt;"",BE$3='Bonding Program'!$K$18),'Bonding Program'!$J$18,0)-IF(AND('Bonding Program'!$M$18&lt;&gt;"",BE$3='Bonding Program'!$M$18),'Bonding Program'!$L$18,0)-IF(AND('Bonding Program'!$P$18&lt;&gt;"",BE$3='Bonding Program'!$P$18),'Bonding Program'!$O$18,0)-IF(AND('Bonding Program'!$R$18&lt;&gt;"",BE$3='Bonding Program'!$R$18),'Bonding Program'!$Q$18,0),0)</f>
        <v>0</v>
      </c>
      <c r="BF159" s="19" t="n">
        <f aca="false">IF(AND('Bonding Program'!$S$18=1,BF$3='Bonding Program'!$H$18),'Bonding Program'!$AA$18,0)-IF(BF$3&lt;='Bonding Program'!$C$8,IF(AND('Bonding Program'!$K$18&lt;&gt;"",BF$3='Bonding Program'!$K$18),'Bonding Program'!$J$18,0)-IF(AND('Bonding Program'!$M$18&lt;&gt;"",BF$3='Bonding Program'!$M$18),'Bonding Program'!$L$18,0)-IF(AND('Bonding Program'!$P$18&lt;&gt;"",BF$3='Bonding Program'!$P$18),'Bonding Program'!$O$18,0)-IF(AND('Bonding Program'!$R$18&lt;&gt;"",BF$3='Bonding Program'!$R$18),'Bonding Program'!$Q$18,0),0)</f>
        <v>0</v>
      </c>
      <c r="BG159" s="19" t="n">
        <f aca="false">IF(AND('Bonding Program'!$S$18=1,BG$3='Bonding Program'!$H$18),'Bonding Program'!$AA$18,0)-IF(BG$3&lt;='Bonding Program'!$C$8,IF(AND('Bonding Program'!$K$18&lt;&gt;"",BG$3='Bonding Program'!$K$18),'Bonding Program'!$J$18,0)-IF(AND('Bonding Program'!$M$18&lt;&gt;"",BG$3='Bonding Program'!$M$18),'Bonding Program'!$L$18,0)-IF(AND('Bonding Program'!$P$18&lt;&gt;"",BG$3='Bonding Program'!$P$18),'Bonding Program'!$O$18,0)-IF(AND('Bonding Program'!$R$18&lt;&gt;"",BG$3='Bonding Program'!$R$18),'Bonding Program'!$Q$18,0),0)</f>
        <v>0</v>
      </c>
      <c r="BH159" s="19" t="n">
        <f aca="false">IF(AND('Bonding Program'!$S$18=1,BH$3='Bonding Program'!$H$18),'Bonding Program'!$AA$18,0)-IF(BH$3&lt;='Bonding Program'!$C$8,IF(AND('Bonding Program'!$K$18&lt;&gt;"",BH$3='Bonding Program'!$K$18),'Bonding Program'!$J$18,0)-IF(AND('Bonding Program'!$M$18&lt;&gt;"",BH$3='Bonding Program'!$M$18),'Bonding Program'!$L$18,0)-IF(AND('Bonding Program'!$P$18&lt;&gt;"",BH$3='Bonding Program'!$P$18),'Bonding Program'!$O$18,0)-IF(AND('Bonding Program'!$R$18&lt;&gt;"",BH$3='Bonding Program'!$R$18),'Bonding Program'!$Q$18,0),0)</f>
        <v>0</v>
      </c>
      <c r="BI159" s="19" t="n">
        <f aca="false">IF(AND('Bonding Program'!$S$18=1,BI$3='Bonding Program'!$H$18),'Bonding Program'!$AA$18,0)-IF(BI$3&lt;='Bonding Program'!$C$8,IF(AND('Bonding Program'!$K$18&lt;&gt;"",BI$3='Bonding Program'!$K$18),'Bonding Program'!$J$18,0)-IF(AND('Bonding Program'!$M$18&lt;&gt;"",BI$3='Bonding Program'!$M$18),'Bonding Program'!$L$18,0)-IF(AND('Bonding Program'!$P$18&lt;&gt;"",BI$3='Bonding Program'!$P$18),'Bonding Program'!$O$18,0)-IF(AND('Bonding Program'!$R$18&lt;&gt;"",BI$3='Bonding Program'!$R$18),'Bonding Program'!$Q$18,0),0)</f>
        <v>0</v>
      </c>
      <c r="BJ159" s="19" t="n">
        <f aca="false">IF(AND('Bonding Program'!$S$18=1,BJ$3='Bonding Program'!$H$18),'Bonding Program'!$AA$18,0)-IF(BJ$3&lt;='Bonding Program'!$C$8,IF(AND('Bonding Program'!$K$18&lt;&gt;"",BJ$3='Bonding Program'!$K$18),'Bonding Program'!$J$18,0)-IF(AND('Bonding Program'!$M$18&lt;&gt;"",BJ$3='Bonding Program'!$M$18),'Bonding Program'!$L$18,0)-IF(AND('Bonding Program'!$P$18&lt;&gt;"",BJ$3='Bonding Program'!$P$18),'Bonding Program'!$O$18,0)-IF(AND('Bonding Program'!$R$18&lt;&gt;"",BJ$3='Bonding Program'!$R$18),'Bonding Program'!$Q$18,0),0)</f>
        <v>0</v>
      </c>
      <c r="BK159" s="19" t="n">
        <f aca="false">IF(AND('Bonding Program'!$S$18=1,BK$3='Bonding Program'!$H$18),'Bonding Program'!$AA$18,0)-IF(BK$3&lt;='Bonding Program'!$C$8,IF(AND('Bonding Program'!$K$18&lt;&gt;"",BK$3='Bonding Program'!$K$18),'Bonding Program'!$J$18,0)-IF(AND('Bonding Program'!$M$18&lt;&gt;"",BK$3='Bonding Program'!$M$18),'Bonding Program'!$L$18,0)-IF(AND('Bonding Program'!$P$18&lt;&gt;"",BK$3='Bonding Program'!$P$18),'Bonding Program'!$O$18,0)-IF(AND('Bonding Program'!$R$18&lt;&gt;"",BK$3='Bonding Program'!$R$18),'Bonding Program'!$Q$18,0),0)</f>
        <v>0</v>
      </c>
      <c r="BL159" s="19" t="n">
        <f aca="false">IF(AND('Bonding Program'!$S$18=1,BL$3='Bonding Program'!$H$18),'Bonding Program'!$AA$18,0)-IF(BL$3&lt;='Bonding Program'!$C$8,IF(AND('Bonding Program'!$K$18&lt;&gt;"",BL$3='Bonding Program'!$K$18),'Bonding Program'!$J$18,0)-IF(AND('Bonding Program'!$M$18&lt;&gt;"",BL$3='Bonding Program'!$M$18),'Bonding Program'!$L$18,0)-IF(AND('Bonding Program'!$P$18&lt;&gt;"",BL$3='Bonding Program'!$P$18),'Bonding Program'!$O$18,0)-IF(AND('Bonding Program'!$R$18&lt;&gt;"",BL$3='Bonding Program'!$R$18),'Bonding Program'!$Q$18,0),0)</f>
        <v>0</v>
      </c>
      <c r="BM159" s="19" t="n">
        <f aca="false">IF(AND('Bonding Program'!$S$18=1,BM$3='Bonding Program'!$H$18),'Bonding Program'!$AA$18,0)-IF(BM$3&lt;='Bonding Program'!$C$8,IF(AND('Bonding Program'!$K$18&lt;&gt;"",BM$3='Bonding Program'!$K$18),'Bonding Program'!$J$18,0)-IF(AND('Bonding Program'!$M$18&lt;&gt;"",BM$3='Bonding Program'!$M$18),'Bonding Program'!$L$18,0)-IF(AND('Bonding Program'!$P$18&lt;&gt;"",BM$3='Bonding Program'!$P$18),'Bonding Program'!$O$18,0)-IF(AND('Bonding Program'!$R$18&lt;&gt;"",BM$3='Bonding Program'!$R$18),'Bonding Program'!$Q$18,0),0)</f>
        <v>0</v>
      </c>
      <c r="BN159" s="19" t="n">
        <f aca="false">IF(AND('Bonding Program'!$S$18=1,BN$3='Bonding Program'!$H$18),'Bonding Program'!$AA$18,0)-IF(BN$3&lt;='Bonding Program'!$C$8,IF(AND('Bonding Program'!$K$18&lt;&gt;"",BN$3='Bonding Program'!$K$18),'Bonding Program'!$J$18,0)-IF(AND('Bonding Program'!$M$18&lt;&gt;"",BN$3='Bonding Program'!$M$18),'Bonding Program'!$L$18,0)-IF(AND('Bonding Program'!$P$18&lt;&gt;"",BN$3='Bonding Program'!$P$18),'Bonding Program'!$O$18,0)-IF(AND('Bonding Program'!$R$18&lt;&gt;"",BN$3='Bonding Program'!$R$18),'Bonding Program'!$Q$18,0),0)</f>
        <v>0</v>
      </c>
      <c r="BO159" s="19" t="n">
        <f aca="false">IF(AND('Bonding Program'!$S$18=1,BO$3='Bonding Program'!$H$18),'Bonding Program'!$AA$18,0)-IF(BO$3&lt;='Bonding Program'!$C$8,IF(AND('Bonding Program'!$K$18&lt;&gt;"",BO$3='Bonding Program'!$K$18),'Bonding Program'!$J$18,0)-IF(AND('Bonding Program'!$M$18&lt;&gt;"",BO$3='Bonding Program'!$M$18),'Bonding Program'!$L$18,0)-IF(AND('Bonding Program'!$P$18&lt;&gt;"",BO$3='Bonding Program'!$P$18),'Bonding Program'!$O$18,0)-IF(AND('Bonding Program'!$R$18&lt;&gt;"",BO$3='Bonding Program'!$R$18),'Bonding Program'!$Q$18,0),0)</f>
        <v>0</v>
      </c>
      <c r="BP159" s="19" t="n">
        <f aca="false">IF(AND('Bonding Program'!$S$18=1,BP$3='Bonding Program'!$H$18),'Bonding Program'!$AA$18,0)-IF(BP$3&lt;='Bonding Program'!$C$8,IF(AND('Bonding Program'!$K$18&lt;&gt;"",BP$3='Bonding Program'!$K$18),'Bonding Program'!$J$18,0)-IF(AND('Bonding Program'!$M$18&lt;&gt;"",BP$3='Bonding Program'!$M$18),'Bonding Program'!$L$18,0)-IF(AND('Bonding Program'!$P$18&lt;&gt;"",BP$3='Bonding Program'!$P$18),'Bonding Program'!$O$18,0)-IF(AND('Bonding Program'!$R$18&lt;&gt;"",BP$3='Bonding Program'!$R$18),'Bonding Program'!$Q$18,0),0)</f>
        <v>0</v>
      </c>
      <c r="BQ159" s="19" t="n">
        <f aca="false">IF(AND('Bonding Program'!$S$18=1,BQ$3='Bonding Program'!$H$18),'Bonding Program'!$AA$18,0)-IF(BQ$3&lt;='Bonding Program'!$C$8,IF(AND('Bonding Program'!$K$18&lt;&gt;"",BQ$3='Bonding Program'!$K$18),'Bonding Program'!$J$18,0)-IF(AND('Bonding Program'!$M$18&lt;&gt;"",BQ$3='Bonding Program'!$M$18),'Bonding Program'!$L$18,0)-IF(AND('Bonding Program'!$P$18&lt;&gt;"",BQ$3='Bonding Program'!$P$18),'Bonding Program'!$O$18,0)-IF(AND('Bonding Program'!$R$18&lt;&gt;"",BQ$3='Bonding Program'!$R$18),'Bonding Program'!$Q$18,0),0)</f>
        <v>0</v>
      </c>
      <c r="BR159" s="19" t="n">
        <f aca="false">IF(AND('Bonding Program'!$S$18=1,BR$3='Bonding Program'!$H$18),'Bonding Program'!$AA$18,0)-IF(BR$3&lt;='Bonding Program'!$C$8,IF(AND('Bonding Program'!$K$18&lt;&gt;"",BR$3='Bonding Program'!$K$18),'Bonding Program'!$J$18,0)-IF(AND('Bonding Program'!$M$18&lt;&gt;"",BR$3='Bonding Program'!$M$18),'Bonding Program'!$L$18,0)-IF(AND('Bonding Program'!$P$18&lt;&gt;"",BR$3='Bonding Program'!$P$18),'Bonding Program'!$O$18,0)-IF(AND('Bonding Program'!$R$18&lt;&gt;"",BR$3='Bonding Program'!$R$18),'Bonding Program'!$Q$18,0),0)</f>
        <v>0</v>
      </c>
      <c r="BS159" s="19" t="n">
        <f aca="false">IF(AND('Bonding Program'!$S$18=1,BS$3='Bonding Program'!$H$18),'Bonding Program'!$AA$18,0)-IF(BS$3&lt;='Bonding Program'!$C$8,IF(AND('Bonding Program'!$K$18&lt;&gt;"",BS$3='Bonding Program'!$K$18),'Bonding Program'!$J$18,0)-IF(AND('Bonding Program'!$M$18&lt;&gt;"",BS$3='Bonding Program'!$M$18),'Bonding Program'!$L$18,0)-IF(AND('Bonding Program'!$P$18&lt;&gt;"",BS$3='Bonding Program'!$P$18),'Bonding Program'!$O$18,0)-IF(AND('Bonding Program'!$R$18&lt;&gt;"",BS$3='Bonding Program'!$R$18),'Bonding Program'!$Q$18,0),0)</f>
        <v>0</v>
      </c>
      <c r="BT159" s="19" t="n">
        <f aca="false">IF(AND('Bonding Program'!$S$18=1,BT$3='Bonding Program'!$H$18),'Bonding Program'!$AA$18,0)-IF(BT$3&lt;='Bonding Program'!$C$8,IF(AND('Bonding Program'!$K$18&lt;&gt;"",BT$3='Bonding Program'!$K$18),'Bonding Program'!$J$18,0)-IF(AND('Bonding Program'!$M$18&lt;&gt;"",BT$3='Bonding Program'!$M$18),'Bonding Program'!$L$18,0)-IF(AND('Bonding Program'!$P$18&lt;&gt;"",BT$3='Bonding Program'!$P$18),'Bonding Program'!$O$18,0)-IF(AND('Bonding Program'!$R$18&lt;&gt;"",BT$3='Bonding Program'!$R$18),'Bonding Program'!$Q$18,0),0)</f>
        <v>0</v>
      </c>
      <c r="BU159" s="19" t="n">
        <f aca="false">IF(AND('Bonding Program'!$S$18=1,BU$3='Bonding Program'!$H$18),'Bonding Program'!$AA$18,0)-IF(BU$3&lt;='Bonding Program'!$C$8,IF(AND('Bonding Program'!$K$18&lt;&gt;"",BU$3='Bonding Program'!$K$18),'Bonding Program'!$J$18,0)-IF(AND('Bonding Program'!$M$18&lt;&gt;"",BU$3='Bonding Program'!$M$18),'Bonding Program'!$L$18,0)-IF(AND('Bonding Program'!$P$18&lt;&gt;"",BU$3='Bonding Program'!$P$18),'Bonding Program'!$O$18,0)-IF(AND('Bonding Program'!$R$18&lt;&gt;"",BU$3='Bonding Program'!$R$18),'Bonding Program'!$Q$18,0),0)</f>
        <v>0</v>
      </c>
      <c r="BV159" s="19" t="n">
        <f aca="false">IF(AND('Bonding Program'!$S$18=1,BV$3='Bonding Program'!$H$18),'Bonding Program'!$AA$18,0)-IF(BV$3&lt;='Bonding Program'!$C$8,IF(AND('Bonding Program'!$K$18&lt;&gt;"",BV$3='Bonding Program'!$K$18),'Bonding Program'!$J$18,0)-IF(AND('Bonding Program'!$M$18&lt;&gt;"",BV$3='Bonding Program'!$M$18),'Bonding Program'!$L$18,0)-IF(AND('Bonding Program'!$P$18&lt;&gt;"",BV$3='Bonding Program'!$P$18),'Bonding Program'!$O$18,0)-IF(AND('Bonding Program'!$R$18&lt;&gt;"",BV$3='Bonding Program'!$R$18),'Bonding Program'!$Q$18,0),0)</f>
        <v>0</v>
      </c>
      <c r="BW159" s="19" t="n">
        <f aca="false">IF(AND('Bonding Program'!$S$18=1,BW$3='Bonding Program'!$H$18),'Bonding Program'!$AA$18,0)-IF(BW$3&lt;='Bonding Program'!$C$8,IF(AND('Bonding Program'!$K$18&lt;&gt;"",BW$3='Bonding Program'!$K$18),'Bonding Program'!$J$18,0)-IF(AND('Bonding Program'!$M$18&lt;&gt;"",BW$3='Bonding Program'!$M$18),'Bonding Program'!$L$18,0)-IF(AND('Bonding Program'!$P$18&lt;&gt;"",BW$3='Bonding Program'!$P$18),'Bonding Program'!$O$18,0)-IF(AND('Bonding Program'!$R$18&lt;&gt;"",BW$3='Bonding Program'!$R$18),'Bonding Program'!$Q$18,0),0)</f>
        <v>0</v>
      </c>
      <c r="BX159" s="19" t="n">
        <f aca="false">IF(AND('Bonding Program'!$S$18=1,BX$3='Bonding Program'!$H$18),'Bonding Program'!$AA$18,0)-IF(BX$3&lt;='Bonding Program'!$C$8,IF(AND('Bonding Program'!$K$18&lt;&gt;"",BX$3='Bonding Program'!$K$18),'Bonding Program'!$J$18,0)-IF(AND('Bonding Program'!$M$18&lt;&gt;"",BX$3='Bonding Program'!$M$18),'Bonding Program'!$L$18,0)-IF(AND('Bonding Program'!$P$18&lt;&gt;"",BX$3='Bonding Program'!$P$18),'Bonding Program'!$O$18,0)-IF(AND('Bonding Program'!$R$18&lt;&gt;"",BX$3='Bonding Program'!$R$18),'Bonding Program'!$Q$18,0),0)</f>
        <v>0</v>
      </c>
      <c r="BY159" s="19" t="n">
        <f aca="false">IF(AND('Bonding Program'!$S$18=1,BY$3='Bonding Program'!$H$18),'Bonding Program'!$AA$18,0)-IF(BY$3&lt;='Bonding Program'!$C$8,IF(AND('Bonding Program'!$K$18&lt;&gt;"",BY$3='Bonding Program'!$K$18),'Bonding Program'!$J$18,0)-IF(AND('Bonding Program'!$M$18&lt;&gt;"",BY$3='Bonding Program'!$M$18),'Bonding Program'!$L$18,0)-IF(AND('Bonding Program'!$P$18&lt;&gt;"",BY$3='Bonding Program'!$P$18),'Bonding Program'!$O$18,0)-IF(AND('Bonding Program'!$R$18&lt;&gt;"",BY$3='Bonding Program'!$R$18),'Bonding Program'!$Q$18,0),0)</f>
        <v>0</v>
      </c>
      <c r="BZ159" s="19" t="n">
        <f aca="false">IF(AND('Bonding Program'!$S$18=1,BZ$3='Bonding Program'!$H$18),'Bonding Program'!$AA$18,0)-IF(BZ$3&lt;='Bonding Program'!$C$8,IF(AND('Bonding Program'!$K$18&lt;&gt;"",BZ$3='Bonding Program'!$K$18),'Bonding Program'!$J$18,0)-IF(AND('Bonding Program'!$M$18&lt;&gt;"",BZ$3='Bonding Program'!$M$18),'Bonding Program'!$L$18,0)-IF(AND('Bonding Program'!$P$18&lt;&gt;"",BZ$3='Bonding Program'!$P$18),'Bonding Program'!$O$18,0)-IF(AND('Bonding Program'!$R$18&lt;&gt;"",BZ$3='Bonding Program'!$R$18),'Bonding Program'!$Q$18,0),0)</f>
        <v>0</v>
      </c>
      <c r="CA159" s="19" t="n">
        <f aca="false">IF(AND('Bonding Program'!$S$18=1,CA$3='Bonding Program'!$H$18),'Bonding Program'!$AA$18,0)-IF(CA$3&lt;='Bonding Program'!$C$8,IF(AND('Bonding Program'!$K$18&lt;&gt;"",CA$3='Bonding Program'!$K$18),'Bonding Program'!$J$18,0)-IF(AND('Bonding Program'!$M$18&lt;&gt;"",CA$3='Bonding Program'!$M$18),'Bonding Program'!$L$18,0)-IF(AND('Bonding Program'!$P$18&lt;&gt;"",CA$3='Bonding Program'!$P$18),'Bonding Program'!$O$18,0)-IF(AND('Bonding Program'!$R$18&lt;&gt;"",CA$3='Bonding Program'!$R$18),'Bonding Program'!$Q$18,0),0)</f>
        <v>0</v>
      </c>
      <c r="CB159" s="19" t="n">
        <f aca="false">IF(AND('Bonding Program'!$S$18=1,CB$3='Bonding Program'!$H$18),'Bonding Program'!$AA$18,0)-IF(CB$3&lt;='Bonding Program'!$C$8,IF(AND('Bonding Program'!$K$18&lt;&gt;"",CB$3='Bonding Program'!$K$18),'Bonding Program'!$J$18,0)-IF(AND('Bonding Program'!$M$18&lt;&gt;"",CB$3='Bonding Program'!$M$18),'Bonding Program'!$L$18,0)-IF(AND('Bonding Program'!$P$18&lt;&gt;"",CB$3='Bonding Program'!$P$18),'Bonding Program'!$O$18,0)-IF(AND('Bonding Program'!$R$18&lt;&gt;"",CB$3='Bonding Program'!$R$18),'Bonding Program'!$Q$18,0),0)</f>
        <v>0</v>
      </c>
      <c r="CC159" s="19" t="n">
        <f aca="false">IF(AND('Bonding Program'!$S$18=1,CC$3='Bonding Program'!$H$18),'Bonding Program'!$AA$18,0)-IF(CC$3&lt;='Bonding Program'!$C$8,IF(AND('Bonding Program'!$K$18&lt;&gt;"",CC$3='Bonding Program'!$K$18),'Bonding Program'!$J$18,0)-IF(AND('Bonding Program'!$M$18&lt;&gt;"",CC$3='Bonding Program'!$M$18),'Bonding Program'!$L$18,0)-IF(AND('Bonding Program'!$P$18&lt;&gt;"",CC$3='Bonding Program'!$P$18),'Bonding Program'!$O$18,0)-IF(AND('Bonding Program'!$R$18&lt;&gt;"",CC$3='Bonding Program'!$R$18),'Bonding Program'!$Q$18,0),0)</f>
        <v>0</v>
      </c>
      <c r="CD159" s="19" t="n">
        <f aca="false">IF(AND('Bonding Program'!$S$18=1,CD$3='Bonding Program'!$H$18),'Bonding Program'!$AA$18,0)-IF(CD$3&lt;='Bonding Program'!$C$8,IF(AND('Bonding Program'!$K$18&lt;&gt;"",CD$3='Bonding Program'!$K$18),'Bonding Program'!$J$18,0)-IF(AND('Bonding Program'!$M$18&lt;&gt;"",CD$3='Bonding Program'!$M$18),'Bonding Program'!$L$18,0)-IF(AND('Bonding Program'!$P$18&lt;&gt;"",CD$3='Bonding Program'!$P$18),'Bonding Program'!$O$18,0)-IF(AND('Bonding Program'!$R$18&lt;&gt;"",CD$3='Bonding Program'!$R$18),'Bonding Program'!$Q$18,0),0)</f>
        <v>0</v>
      </c>
      <c r="CE159" s="19" t="n">
        <f aca="false">IF(AND('Bonding Program'!$S$18=1,CE$3='Bonding Program'!$H$18),'Bonding Program'!$AA$18,0)-IF(CE$3&lt;='Bonding Program'!$C$8,IF(AND('Bonding Program'!$K$18&lt;&gt;"",CE$3='Bonding Program'!$K$18),'Bonding Program'!$J$18,0)-IF(AND('Bonding Program'!$M$18&lt;&gt;"",CE$3='Bonding Program'!$M$18),'Bonding Program'!$L$18,0)-IF(AND('Bonding Program'!$P$18&lt;&gt;"",CE$3='Bonding Program'!$P$18),'Bonding Program'!$O$18,0)-IF(AND('Bonding Program'!$R$18&lt;&gt;"",CE$3='Bonding Program'!$R$18),'Bonding Program'!$Q$18,0),0)</f>
        <v>0</v>
      </c>
      <c r="CF159" s="19" t="n">
        <f aca="false">IF(AND('Bonding Program'!$S$18=1,CF$3='Bonding Program'!$H$18),'Bonding Program'!$AA$18,0)-IF(CF$3&lt;='Bonding Program'!$C$8,IF(AND('Bonding Program'!$K$18&lt;&gt;"",CF$3='Bonding Program'!$K$18),'Bonding Program'!$J$18,0)-IF(AND('Bonding Program'!$M$18&lt;&gt;"",CF$3='Bonding Program'!$M$18),'Bonding Program'!$L$18,0)-IF(AND('Bonding Program'!$P$18&lt;&gt;"",CF$3='Bonding Program'!$P$18),'Bonding Program'!$O$18,0)-IF(AND('Bonding Program'!$R$18&lt;&gt;"",CF$3='Bonding Program'!$R$18),'Bonding Program'!$Q$18,0),0)</f>
        <v>0</v>
      </c>
      <c r="CG159" s="19" t="n">
        <f aca="false">IF(AND('Bonding Program'!$S$18=1,CG$3='Bonding Program'!$H$18),'Bonding Program'!$AA$18,0)-IF(CG$3&lt;='Bonding Program'!$C$8,IF(AND('Bonding Program'!$K$18&lt;&gt;"",CG$3='Bonding Program'!$K$18),'Bonding Program'!$J$18,0)-IF(AND('Bonding Program'!$M$18&lt;&gt;"",CG$3='Bonding Program'!$M$18),'Bonding Program'!$L$18,0)-IF(AND('Bonding Program'!$P$18&lt;&gt;"",CG$3='Bonding Program'!$P$18),'Bonding Program'!$O$18,0)-IF(AND('Bonding Program'!$R$18&lt;&gt;"",CG$3='Bonding Program'!$R$18),'Bonding Program'!$Q$18,0),0)</f>
        <v>0</v>
      </c>
      <c r="CH159" s="19" t="n">
        <f aca="false">IF(AND('Bonding Program'!$S$18=1,CH$3='Bonding Program'!$H$18),'Bonding Program'!$AA$18,0)-IF(CH$3&lt;='Bonding Program'!$C$8,IF(AND('Bonding Program'!$K$18&lt;&gt;"",CH$3='Bonding Program'!$K$18),'Bonding Program'!$J$18,0)-IF(AND('Bonding Program'!$M$18&lt;&gt;"",CH$3='Bonding Program'!$M$18),'Bonding Program'!$L$18,0)-IF(AND('Bonding Program'!$P$18&lt;&gt;"",CH$3='Bonding Program'!$P$18),'Bonding Program'!$O$18,0)-IF(AND('Bonding Program'!$R$18&lt;&gt;"",CH$3='Bonding Program'!$R$18),'Bonding Program'!$Q$18,0),0)</f>
        <v>0</v>
      </c>
      <c r="CI159" s="19" t="n">
        <f aca="false">IF(AND('Bonding Program'!$S$18=1,CI$3='Bonding Program'!$H$18),'Bonding Program'!$AA$18,0)-IF(CI$3&lt;='Bonding Program'!$C$8,IF(AND('Bonding Program'!$K$18&lt;&gt;"",CI$3='Bonding Program'!$K$18),'Bonding Program'!$J$18,0)-IF(AND('Bonding Program'!$M$18&lt;&gt;"",CI$3='Bonding Program'!$M$18),'Bonding Program'!$L$18,0)-IF(AND('Bonding Program'!$P$18&lt;&gt;"",CI$3='Bonding Program'!$P$18),'Bonding Program'!$O$18,0)-IF(AND('Bonding Program'!$R$18&lt;&gt;"",CI$3='Bonding Program'!$R$18),'Bonding Program'!$Q$18,0),0)</f>
        <v>0</v>
      </c>
      <c r="CJ159" s="19" t="n">
        <f aca="false">IF(AND('Bonding Program'!$S$18=1,CJ$3='Bonding Program'!$H$18),'Bonding Program'!$AA$18,0)-IF(CJ$3&lt;='Bonding Program'!$C$8,IF(AND('Bonding Program'!$K$18&lt;&gt;"",CJ$3='Bonding Program'!$K$18),'Bonding Program'!$J$18,0)-IF(AND('Bonding Program'!$M$18&lt;&gt;"",CJ$3='Bonding Program'!$M$18),'Bonding Program'!$L$18,0)-IF(AND('Bonding Program'!$P$18&lt;&gt;"",CJ$3='Bonding Program'!$P$18),'Bonding Program'!$O$18,0)-IF(AND('Bonding Program'!$R$18&lt;&gt;"",CJ$3='Bonding Program'!$R$18),'Bonding Program'!$Q$18,0),0)</f>
        <v>0</v>
      </c>
      <c r="CK159" s="19" t="n">
        <f aca="false">IF(AND('Bonding Program'!$S$18=1,CK$3='Bonding Program'!$H$18),'Bonding Program'!$AA$18,0)-IF(CK$3&lt;='Bonding Program'!$C$8,IF(AND('Bonding Program'!$K$18&lt;&gt;"",CK$3='Bonding Program'!$K$18),'Bonding Program'!$J$18,0)-IF(AND('Bonding Program'!$M$18&lt;&gt;"",CK$3='Bonding Program'!$M$18),'Bonding Program'!$L$18,0)-IF(AND('Bonding Program'!$P$18&lt;&gt;"",CK$3='Bonding Program'!$P$18),'Bonding Program'!$O$18,0)-IF(AND('Bonding Program'!$R$18&lt;&gt;"",CK$3='Bonding Program'!$R$18),'Bonding Program'!$Q$18,0),0)</f>
        <v>0</v>
      </c>
      <c r="CL159" s="19" t="n">
        <f aca="false">IF(AND('Bonding Program'!$S$18=1,CL$3='Bonding Program'!$H$18),'Bonding Program'!$AA$18,0)-IF(CL$3&lt;='Bonding Program'!$C$8,IF(AND('Bonding Program'!$K$18&lt;&gt;"",CL$3='Bonding Program'!$K$18),'Bonding Program'!$J$18,0)-IF(AND('Bonding Program'!$M$18&lt;&gt;"",CL$3='Bonding Program'!$M$18),'Bonding Program'!$L$18,0)-IF(AND('Bonding Program'!$P$18&lt;&gt;"",CL$3='Bonding Program'!$P$18),'Bonding Program'!$O$18,0)-IF(AND('Bonding Program'!$R$18&lt;&gt;"",CL$3='Bonding Program'!$R$18),'Bonding Program'!$Q$18,0),0)</f>
        <v>0</v>
      </c>
      <c r="CM159" s="19" t="n">
        <f aca="false">IF(AND('Bonding Program'!$S$18=1,CM$3='Bonding Program'!$H$18),'Bonding Program'!$AA$18,0)-IF(CM$3&lt;='Bonding Program'!$C$8,IF(AND('Bonding Program'!$K$18&lt;&gt;"",CM$3='Bonding Program'!$K$18),'Bonding Program'!$J$18,0)-IF(AND('Bonding Program'!$M$18&lt;&gt;"",CM$3='Bonding Program'!$M$18),'Bonding Program'!$L$18,0)-IF(AND('Bonding Program'!$P$18&lt;&gt;"",CM$3='Bonding Program'!$P$18),'Bonding Program'!$O$18,0)-IF(AND('Bonding Program'!$R$18&lt;&gt;"",CM$3='Bonding Program'!$R$18),'Bonding Program'!$Q$18,0),0)</f>
        <v>0</v>
      </c>
      <c r="CN159" s="19" t="n">
        <f aca="false">IF(AND('Bonding Program'!$S$18=1,CN$3='Bonding Program'!$H$18),'Bonding Program'!$AA$18,0)-IF(CN$3&lt;='Bonding Program'!$C$8,IF(AND('Bonding Program'!$K$18&lt;&gt;"",CN$3='Bonding Program'!$K$18),'Bonding Program'!$J$18,0)-IF(AND('Bonding Program'!$M$18&lt;&gt;"",CN$3='Bonding Program'!$M$18),'Bonding Program'!$L$18,0)-IF(AND('Bonding Program'!$P$18&lt;&gt;"",CN$3='Bonding Program'!$P$18),'Bonding Program'!$O$18,0)-IF(AND('Bonding Program'!$R$18&lt;&gt;"",CN$3='Bonding Program'!$R$18),'Bonding Program'!$Q$18,0),0)</f>
        <v>0</v>
      </c>
      <c r="CO159" s="19" t="n">
        <f aca="false">IF(AND('Bonding Program'!$S$18=1,CO$3='Bonding Program'!$H$18),'Bonding Program'!$AA$18,0)-IF(CO$3&lt;='Bonding Program'!$C$8,IF(AND('Bonding Program'!$K$18&lt;&gt;"",CO$3='Bonding Program'!$K$18),'Bonding Program'!$J$18,0)-IF(AND('Bonding Program'!$M$18&lt;&gt;"",CO$3='Bonding Program'!$M$18),'Bonding Program'!$L$18,0)-IF(AND('Bonding Program'!$P$18&lt;&gt;"",CO$3='Bonding Program'!$P$18),'Bonding Program'!$O$18,0)-IF(AND('Bonding Program'!$R$18&lt;&gt;"",CO$3='Bonding Program'!$R$18),'Bonding Program'!$Q$18,0),0)</f>
        <v>0</v>
      </c>
      <c r="CP159" s="19" t="n">
        <f aca="false">IF(AND('Bonding Program'!$S$18=1,CP$3='Bonding Program'!$H$18),'Bonding Program'!$AA$18,0)-IF(CP$3&lt;='Bonding Program'!$C$8,IF(AND('Bonding Program'!$K$18&lt;&gt;"",CP$3='Bonding Program'!$K$18),'Bonding Program'!$J$18,0)-IF(AND('Bonding Program'!$M$18&lt;&gt;"",CP$3='Bonding Program'!$M$18),'Bonding Program'!$L$18,0)-IF(AND('Bonding Program'!$P$18&lt;&gt;"",CP$3='Bonding Program'!$P$18),'Bonding Program'!$O$18,0)-IF(AND('Bonding Program'!$R$18&lt;&gt;"",CP$3='Bonding Program'!$R$18),'Bonding Program'!$Q$18,0),0)</f>
        <v>0</v>
      </c>
      <c r="CQ159" s="19" t="n">
        <f aca="false">IF(AND('Bonding Program'!$S$18=1,CQ$3='Bonding Program'!$H$18),'Bonding Program'!$AA$18,0)-IF(CQ$3&lt;='Bonding Program'!$C$8,IF(AND('Bonding Program'!$K$18&lt;&gt;"",CQ$3='Bonding Program'!$K$18),'Bonding Program'!$J$18,0)-IF(AND('Bonding Program'!$M$18&lt;&gt;"",CQ$3='Bonding Program'!$M$18),'Bonding Program'!$L$18,0)-IF(AND('Bonding Program'!$P$18&lt;&gt;"",CQ$3='Bonding Program'!$P$18),'Bonding Program'!$O$18,0)-IF(AND('Bonding Program'!$R$18&lt;&gt;"",CQ$3='Bonding Program'!$R$18),'Bonding Program'!$Q$18,0),0)</f>
        <v>0</v>
      </c>
      <c r="CR159" s="19" t="n">
        <f aca="false">IF(AND('Bonding Program'!$S$18=1,CR$3='Bonding Program'!$H$18),'Bonding Program'!$AA$18,0)-IF(CR$3&lt;='Bonding Program'!$C$8,IF(AND('Bonding Program'!$K$18&lt;&gt;"",CR$3='Bonding Program'!$K$18),'Bonding Program'!$J$18,0)-IF(AND('Bonding Program'!$M$18&lt;&gt;"",CR$3='Bonding Program'!$M$18),'Bonding Program'!$L$18,0)-IF(AND('Bonding Program'!$P$18&lt;&gt;"",CR$3='Bonding Program'!$P$18),'Bonding Program'!$O$18,0)-IF(AND('Bonding Program'!$R$18&lt;&gt;"",CR$3='Bonding Program'!$R$18),'Bonding Program'!$Q$18,0),0)</f>
        <v>0</v>
      </c>
      <c r="CS159" s="19" t="n">
        <f aca="false">IF(AND('Bonding Program'!$S$18=1,CS$3='Bonding Program'!$H$18),'Bonding Program'!$AA$18,0)-IF(CS$3&lt;='Bonding Program'!$C$8,IF(AND('Bonding Program'!$K$18&lt;&gt;"",CS$3='Bonding Program'!$K$18),'Bonding Program'!$J$18,0)-IF(AND('Bonding Program'!$M$18&lt;&gt;"",CS$3='Bonding Program'!$M$18),'Bonding Program'!$L$18,0)-IF(AND('Bonding Program'!$P$18&lt;&gt;"",CS$3='Bonding Program'!$P$18),'Bonding Program'!$O$18,0)-IF(AND('Bonding Program'!$R$18&lt;&gt;"",CS$3='Bonding Program'!$R$18),'Bonding Program'!$Q$18,0),0)</f>
        <v>0</v>
      </c>
      <c r="CT159" s="19" t="n">
        <f aca="false">IF(AND('Bonding Program'!$S$18=1,CT$3='Bonding Program'!$H$18),'Bonding Program'!$AA$18,0)-IF(CT$3&lt;='Bonding Program'!$C$8,IF(AND('Bonding Program'!$K$18&lt;&gt;"",CT$3='Bonding Program'!$K$18),'Bonding Program'!$J$18,0)-IF(AND('Bonding Program'!$M$18&lt;&gt;"",CT$3='Bonding Program'!$M$18),'Bonding Program'!$L$18,0)-IF(AND('Bonding Program'!$P$18&lt;&gt;"",CT$3='Bonding Program'!$P$18),'Bonding Program'!$O$18,0)-IF(AND('Bonding Program'!$R$18&lt;&gt;"",CT$3='Bonding Program'!$R$18),'Bonding Program'!$Q$18,0),0)</f>
        <v>0</v>
      </c>
      <c r="CU159" s="19" t="n">
        <f aca="false">IF(AND('Bonding Program'!$S$18=1,CU$3='Bonding Program'!$H$18),'Bonding Program'!$AA$18,0)-IF(CU$3&lt;='Bonding Program'!$C$8,IF(AND('Bonding Program'!$K$18&lt;&gt;"",CU$3='Bonding Program'!$K$18),'Bonding Program'!$J$18,0)-IF(AND('Bonding Program'!$M$18&lt;&gt;"",CU$3='Bonding Program'!$M$18),'Bonding Program'!$L$18,0)-IF(AND('Bonding Program'!$P$18&lt;&gt;"",CU$3='Bonding Program'!$P$18),'Bonding Program'!$O$18,0)-IF(AND('Bonding Program'!$R$18&lt;&gt;"",CU$3='Bonding Program'!$R$18),'Bonding Program'!$Q$18,0),0)</f>
        <v>0</v>
      </c>
      <c r="CV159" s="19" t="n">
        <f aca="false">IF(AND('Bonding Program'!$S$18=1,CV$3='Bonding Program'!$H$18),'Bonding Program'!$AA$18,0)-IF(CV$3&lt;='Bonding Program'!$C$8,IF(AND('Bonding Program'!$K$18&lt;&gt;"",CV$3='Bonding Program'!$K$18),'Bonding Program'!$J$18,0)-IF(AND('Bonding Program'!$M$18&lt;&gt;"",CV$3='Bonding Program'!$M$18),'Bonding Program'!$L$18,0)-IF(AND('Bonding Program'!$P$18&lt;&gt;"",CV$3='Bonding Program'!$P$18),'Bonding Program'!$O$18,0)-IF(AND('Bonding Program'!$R$18&lt;&gt;"",CV$3='Bonding Program'!$R$18),'Bonding Program'!$Q$18,0),0)</f>
        <v>0</v>
      </c>
      <c r="CW159" s="19" t="n">
        <f aca="false">IF(AND('Bonding Program'!$S$18=1,CW$3='Bonding Program'!$H$18),'Bonding Program'!$AA$18,0)-IF(CW$3&lt;='Bonding Program'!$C$8,IF(AND('Bonding Program'!$K$18&lt;&gt;"",CW$3='Bonding Program'!$K$18),'Bonding Program'!$J$18,0)-IF(AND('Bonding Program'!$M$18&lt;&gt;"",CW$3='Bonding Program'!$M$18),'Bonding Program'!$L$18,0)-IF(AND('Bonding Program'!$P$18&lt;&gt;"",CW$3='Bonding Program'!$P$18),'Bonding Program'!$O$18,0)-IF(AND('Bonding Program'!$R$18&lt;&gt;"",CW$3='Bonding Program'!$R$18),'Bonding Program'!$Q$18,0),0)</f>
        <v>0</v>
      </c>
      <c r="CX159" s="19" t="n">
        <f aca="false">IF(AND('Bonding Program'!$S$18=1,CX$3='Bonding Program'!$H$18),'Bonding Program'!$AA$18,0)-IF(CX$3&lt;='Bonding Program'!$C$8,IF(AND('Bonding Program'!$K$18&lt;&gt;"",CX$3='Bonding Program'!$K$18),'Bonding Program'!$J$18,0)-IF(AND('Bonding Program'!$M$18&lt;&gt;"",CX$3='Bonding Program'!$M$18),'Bonding Program'!$L$18,0)-IF(AND('Bonding Program'!$P$18&lt;&gt;"",CX$3='Bonding Program'!$P$18),'Bonding Program'!$O$18,0)-IF(AND('Bonding Program'!$R$18&lt;&gt;"",CX$3='Bonding Program'!$R$18),'Bonding Program'!$Q$18,0),0)</f>
        <v>0</v>
      </c>
      <c r="CY159" s="19" t="n">
        <f aca="false">IF(AND('Bonding Program'!$S$18=1,CY$3='Bonding Program'!$H$18),'Bonding Program'!$AA$18,0)-IF(CY$3&lt;='Bonding Program'!$C$8,IF(AND('Bonding Program'!$K$18&lt;&gt;"",CY$3='Bonding Program'!$K$18),'Bonding Program'!$J$18,0)-IF(AND('Bonding Program'!$M$18&lt;&gt;"",CY$3='Bonding Program'!$M$18),'Bonding Program'!$L$18,0)-IF(AND('Bonding Program'!$P$18&lt;&gt;"",CY$3='Bonding Program'!$P$18),'Bonding Program'!$O$18,0)-IF(AND('Bonding Program'!$R$18&lt;&gt;"",CY$3='Bonding Program'!$R$18),'Bonding Program'!$Q$18,0),0)</f>
        <v>0</v>
      </c>
      <c r="CZ159" s="19" t="n">
        <f aca="false">IF(AND('Bonding Program'!$S$18=1,CZ$3='Bonding Program'!$H$18),'Bonding Program'!$AA$18,0)-IF(CZ$3&lt;='Bonding Program'!$C$8,IF(AND('Bonding Program'!$K$18&lt;&gt;"",CZ$3='Bonding Program'!$K$18),'Bonding Program'!$J$18,0)-IF(AND('Bonding Program'!$M$18&lt;&gt;"",CZ$3='Bonding Program'!$M$18),'Bonding Program'!$L$18,0)-IF(AND('Bonding Program'!$P$18&lt;&gt;"",CZ$3='Bonding Program'!$P$18),'Bonding Program'!$O$18,0)-IF(AND('Bonding Program'!$R$18&lt;&gt;"",CZ$3='Bonding Program'!$R$18),'Bonding Program'!$Q$18,0),0)</f>
        <v>0</v>
      </c>
      <c r="DA159" s="19" t="n">
        <f aca="false">IF(AND('Bonding Program'!$S$18=1,DA$3='Bonding Program'!$H$18),'Bonding Program'!$AA$18,0)-IF(DA$3&lt;='Bonding Program'!$C$8,IF(AND('Bonding Program'!$K$18&lt;&gt;"",DA$3='Bonding Program'!$K$18),'Bonding Program'!$J$18,0)-IF(AND('Bonding Program'!$M$18&lt;&gt;"",DA$3='Bonding Program'!$M$18),'Bonding Program'!$L$18,0)-IF(AND('Bonding Program'!$P$18&lt;&gt;"",DA$3='Bonding Program'!$P$18),'Bonding Program'!$O$18,0)-IF(AND('Bonding Program'!$R$18&lt;&gt;"",DA$3='Bonding Program'!$R$18),'Bonding Program'!$Q$18,0),0)</f>
        <v>0</v>
      </c>
      <c r="DB159" s="19" t="n">
        <f aca="false">IF(AND('Bonding Program'!$S$18=1,DB$3='Bonding Program'!$H$18),'Bonding Program'!$AA$18,0)-IF(DB$3&lt;='Bonding Program'!$C$8,IF(AND('Bonding Program'!$K$18&lt;&gt;"",DB$3='Bonding Program'!$K$18),'Bonding Program'!$J$18,0)-IF(AND('Bonding Program'!$M$18&lt;&gt;"",DB$3='Bonding Program'!$M$18),'Bonding Program'!$L$18,0)-IF(AND('Bonding Program'!$P$18&lt;&gt;"",DB$3='Bonding Program'!$P$18),'Bonding Program'!$O$18,0)-IF(AND('Bonding Program'!$R$18&lt;&gt;"",DB$3='Bonding Program'!$R$18),'Bonding Program'!$Q$18,0),0)</f>
        <v>0</v>
      </c>
      <c r="DC159" s="19" t="n">
        <f aca="false">IF(AND('Bonding Program'!$S$18=1,DC$3='Bonding Program'!$H$18),'Bonding Program'!$AA$18,0)-IF(DC$3&lt;='Bonding Program'!$C$8,IF(AND('Bonding Program'!$K$18&lt;&gt;"",DC$3='Bonding Program'!$K$18),'Bonding Program'!$J$18,0)-IF(AND('Bonding Program'!$M$18&lt;&gt;"",DC$3='Bonding Program'!$M$18),'Bonding Program'!$L$18,0)-IF(AND('Bonding Program'!$P$18&lt;&gt;"",DC$3='Bonding Program'!$P$18),'Bonding Program'!$O$18,0)-IF(AND('Bonding Program'!$R$18&lt;&gt;"",DC$3='Bonding Program'!$R$18),'Bonding Program'!$Q$18,0),0)</f>
        <v>0</v>
      </c>
      <c r="DD159" s="19" t="n">
        <f aca="false">IF(AND('Bonding Program'!$S$18=1,DD$3='Bonding Program'!$H$18),'Bonding Program'!$AA$18,0)-IF(DD$3&lt;='Bonding Program'!$C$8,IF(AND('Bonding Program'!$K$18&lt;&gt;"",DD$3='Bonding Program'!$K$18),'Bonding Program'!$J$18,0)-IF(AND('Bonding Program'!$M$18&lt;&gt;"",DD$3='Bonding Program'!$M$18),'Bonding Program'!$L$18,0)-IF(AND('Bonding Program'!$P$18&lt;&gt;"",DD$3='Bonding Program'!$P$18),'Bonding Program'!$O$18,0)-IF(AND('Bonding Program'!$R$18&lt;&gt;"",DD$3='Bonding Program'!$R$18),'Bonding Program'!$Q$18,0),0)</f>
        <v>0</v>
      </c>
      <c r="DE159" s="19" t="n">
        <f aca="false">IF(AND('Bonding Program'!$S$18=1,DE$3='Bonding Program'!$H$18),'Bonding Program'!$AA$18,0)-IF(DE$3&lt;='Bonding Program'!$C$8,IF(AND('Bonding Program'!$K$18&lt;&gt;"",DE$3='Bonding Program'!$K$18),'Bonding Program'!$J$18,0)-IF(AND('Bonding Program'!$M$18&lt;&gt;"",DE$3='Bonding Program'!$M$18),'Bonding Program'!$L$18,0)-IF(AND('Bonding Program'!$P$18&lt;&gt;"",DE$3='Bonding Program'!$P$18),'Bonding Program'!$O$18,0)-IF(AND('Bonding Program'!$R$18&lt;&gt;"",DE$3='Bonding Program'!$R$18),'Bonding Program'!$Q$18,0),0)</f>
        <v>0</v>
      </c>
    </row>
    <row r="160" customFormat="false" ht="15" hidden="false" customHeight="true" outlineLevel="1" collapsed="false">
      <c r="A160" s="28" t="s">
        <v>15</v>
      </c>
      <c r="B160" s="19" t="n">
        <f aca="false">IF(AND('Bonding Program'!$S$19=1,B$3='Bonding Program'!$H$19),'Bonding Program'!$AA$19,0)-IF(B$3&lt;='Bonding Program'!$C$8,IF(AND('Bonding Program'!$K$19&lt;&gt;"",B$3='Bonding Program'!$K$19),'Bonding Program'!$J$19,0)-IF(AND('Bonding Program'!$M$19&lt;&gt;"",B$3='Bonding Program'!$M$19),'Bonding Program'!$L$19,0)-IF(AND('Bonding Program'!$P$19&lt;&gt;"",B$3='Bonding Program'!$P$19),'Bonding Program'!$O$19,0)-IF(AND('Bonding Program'!$R$19&lt;&gt;"",B$3='Bonding Program'!$R$19),'Bonding Program'!$Q$19,0),0)</f>
        <v>0</v>
      </c>
      <c r="C160" s="19" t="n">
        <f aca="false">IF(AND('Bonding Program'!$S$19=1,C$3='Bonding Program'!$H$19),'Bonding Program'!$AA$19,0)-IF(C$3&lt;='Bonding Program'!$C$8,IF(AND('Bonding Program'!$K$19&lt;&gt;"",C$3='Bonding Program'!$K$19),'Bonding Program'!$J$19,0)-IF(AND('Bonding Program'!$M$19&lt;&gt;"",C$3='Bonding Program'!$M$19),'Bonding Program'!$L$19,0)-IF(AND('Bonding Program'!$P$19&lt;&gt;"",C$3='Bonding Program'!$P$19),'Bonding Program'!$O$19,0)-IF(AND('Bonding Program'!$R$19&lt;&gt;"",C$3='Bonding Program'!$R$19),'Bonding Program'!$Q$19,0),0)</f>
        <v>0</v>
      </c>
      <c r="D160" s="19" t="n">
        <f aca="false">IF(AND('Bonding Program'!$S$19=1,D$3='Bonding Program'!$H$19),'Bonding Program'!$AA$19,0)-IF(D$3&lt;='Bonding Program'!$C$8,IF(AND('Bonding Program'!$K$19&lt;&gt;"",D$3='Bonding Program'!$K$19),'Bonding Program'!$J$19,0)-IF(AND('Bonding Program'!$M$19&lt;&gt;"",D$3='Bonding Program'!$M$19),'Bonding Program'!$L$19,0)-IF(AND('Bonding Program'!$P$19&lt;&gt;"",D$3='Bonding Program'!$P$19),'Bonding Program'!$O$19,0)-IF(AND('Bonding Program'!$R$19&lt;&gt;"",D$3='Bonding Program'!$R$19),'Bonding Program'!$Q$19,0),0)</f>
        <v>0</v>
      </c>
      <c r="E160" s="19" t="n">
        <f aca="false">IF(AND('Bonding Program'!$S$19=1,E$3='Bonding Program'!$H$19),'Bonding Program'!$AA$19,0)-IF(E$3&lt;='Bonding Program'!$C$8,IF(AND('Bonding Program'!$K$19&lt;&gt;"",E$3='Bonding Program'!$K$19),'Bonding Program'!$J$19,0)-IF(AND('Bonding Program'!$M$19&lt;&gt;"",E$3='Bonding Program'!$M$19),'Bonding Program'!$L$19,0)-IF(AND('Bonding Program'!$P$19&lt;&gt;"",E$3='Bonding Program'!$P$19),'Bonding Program'!$O$19,0)-IF(AND('Bonding Program'!$R$19&lt;&gt;"",E$3='Bonding Program'!$R$19),'Bonding Program'!$Q$19,0),0)</f>
        <v>0</v>
      </c>
      <c r="F160" s="19" t="n">
        <f aca="false">IF(AND('Bonding Program'!$S$19=1,F$3='Bonding Program'!$H$19),'Bonding Program'!$AA$19,0)-IF(F$3&lt;='Bonding Program'!$C$8,IF(AND('Bonding Program'!$K$19&lt;&gt;"",F$3='Bonding Program'!$K$19),'Bonding Program'!$J$19,0)-IF(AND('Bonding Program'!$M$19&lt;&gt;"",F$3='Bonding Program'!$M$19),'Bonding Program'!$L$19,0)-IF(AND('Bonding Program'!$P$19&lt;&gt;"",F$3='Bonding Program'!$P$19),'Bonding Program'!$O$19,0)-IF(AND('Bonding Program'!$R$19&lt;&gt;"",F$3='Bonding Program'!$R$19),'Bonding Program'!$Q$19,0),0)</f>
        <v>0</v>
      </c>
      <c r="G160" s="19" t="n">
        <f aca="false">IF(AND('Bonding Program'!$S$19=1,G$3='Bonding Program'!$H$19),'Bonding Program'!$AA$19,0)-IF(G$3&lt;='Bonding Program'!$C$8,IF(AND('Bonding Program'!$K$19&lt;&gt;"",G$3='Bonding Program'!$K$19),'Bonding Program'!$J$19,0)-IF(AND('Bonding Program'!$M$19&lt;&gt;"",G$3='Bonding Program'!$M$19),'Bonding Program'!$L$19,0)-IF(AND('Bonding Program'!$P$19&lt;&gt;"",G$3='Bonding Program'!$P$19),'Bonding Program'!$O$19,0)-IF(AND('Bonding Program'!$R$19&lt;&gt;"",G$3='Bonding Program'!$R$19),'Bonding Program'!$Q$19,0),0)</f>
        <v>0</v>
      </c>
      <c r="H160" s="19" t="n">
        <f aca="false">IF(AND('Bonding Program'!$S$19=1,H$3='Bonding Program'!$H$19),'Bonding Program'!$AA$19,0)-IF(H$3&lt;='Bonding Program'!$C$8,IF(AND('Bonding Program'!$K$19&lt;&gt;"",H$3='Bonding Program'!$K$19),'Bonding Program'!$J$19,0)-IF(AND('Bonding Program'!$M$19&lt;&gt;"",H$3='Bonding Program'!$M$19),'Bonding Program'!$L$19,0)-IF(AND('Bonding Program'!$P$19&lt;&gt;"",H$3='Bonding Program'!$P$19),'Bonding Program'!$O$19,0)-IF(AND('Bonding Program'!$R$19&lt;&gt;"",H$3='Bonding Program'!$R$19),'Bonding Program'!$Q$19,0),0)</f>
        <v>0</v>
      </c>
      <c r="I160" s="19" t="n">
        <f aca="false">IF(AND('Bonding Program'!$S$19=1,I$3='Bonding Program'!$H$19),'Bonding Program'!$AA$19,0)-IF(I$3&lt;='Bonding Program'!$C$8,IF(AND('Bonding Program'!$K$19&lt;&gt;"",I$3='Bonding Program'!$K$19),'Bonding Program'!$J$19,0)-IF(AND('Bonding Program'!$M$19&lt;&gt;"",I$3='Bonding Program'!$M$19),'Bonding Program'!$L$19,0)-IF(AND('Bonding Program'!$P$19&lt;&gt;"",I$3='Bonding Program'!$P$19),'Bonding Program'!$O$19,0)-IF(AND('Bonding Program'!$R$19&lt;&gt;"",I$3='Bonding Program'!$R$19),'Bonding Program'!$Q$19,0),0)</f>
        <v>0</v>
      </c>
      <c r="J160" s="19" t="n">
        <f aca="false">IF(AND('Bonding Program'!$S$19=1,J$3='Bonding Program'!$H$19),'Bonding Program'!$AA$19,0)-IF(J$3&lt;='Bonding Program'!$C$8,IF(AND('Bonding Program'!$K$19&lt;&gt;"",J$3='Bonding Program'!$K$19),'Bonding Program'!$J$19,0)-IF(AND('Bonding Program'!$M$19&lt;&gt;"",J$3='Bonding Program'!$M$19),'Bonding Program'!$L$19,0)-IF(AND('Bonding Program'!$P$19&lt;&gt;"",J$3='Bonding Program'!$P$19),'Bonding Program'!$O$19,0)-IF(AND('Bonding Program'!$R$19&lt;&gt;"",J$3='Bonding Program'!$R$19),'Bonding Program'!$Q$19,0),0)</f>
        <v>0</v>
      </c>
      <c r="K160" s="19" t="n">
        <f aca="false">IF(AND('Bonding Program'!$S$19=1,K$3='Bonding Program'!$H$19),'Bonding Program'!$AA$19,0)-IF(K$3&lt;='Bonding Program'!$C$8,IF(AND('Bonding Program'!$K$19&lt;&gt;"",K$3='Bonding Program'!$K$19),'Bonding Program'!$J$19,0)-IF(AND('Bonding Program'!$M$19&lt;&gt;"",K$3='Bonding Program'!$M$19),'Bonding Program'!$L$19,0)-IF(AND('Bonding Program'!$P$19&lt;&gt;"",K$3='Bonding Program'!$P$19),'Bonding Program'!$O$19,0)-IF(AND('Bonding Program'!$R$19&lt;&gt;"",K$3='Bonding Program'!$R$19),'Bonding Program'!$Q$19,0),0)</f>
        <v>0</v>
      </c>
      <c r="L160" s="19" t="n">
        <f aca="false">IF(AND('Bonding Program'!$S$19=1,L$3='Bonding Program'!$H$19),'Bonding Program'!$AA$19,0)-IF(L$3&lt;='Bonding Program'!$C$8,IF(AND('Bonding Program'!$K$19&lt;&gt;"",L$3='Bonding Program'!$K$19),'Bonding Program'!$J$19,0)-IF(AND('Bonding Program'!$M$19&lt;&gt;"",L$3='Bonding Program'!$M$19),'Bonding Program'!$L$19,0)-IF(AND('Bonding Program'!$P$19&lt;&gt;"",L$3='Bonding Program'!$P$19),'Bonding Program'!$O$19,0)-IF(AND('Bonding Program'!$R$19&lt;&gt;"",L$3='Bonding Program'!$R$19),'Bonding Program'!$Q$19,0),0)</f>
        <v>0</v>
      </c>
      <c r="M160" s="19" t="n">
        <f aca="false">IF(AND('Bonding Program'!$S$19=1,M$3='Bonding Program'!$H$19),'Bonding Program'!$AA$19,0)-IF(M$3&lt;='Bonding Program'!$C$8,IF(AND('Bonding Program'!$K$19&lt;&gt;"",M$3='Bonding Program'!$K$19),'Bonding Program'!$J$19,0)-IF(AND('Bonding Program'!$M$19&lt;&gt;"",M$3='Bonding Program'!$M$19),'Bonding Program'!$L$19,0)-IF(AND('Bonding Program'!$P$19&lt;&gt;"",M$3='Bonding Program'!$P$19),'Bonding Program'!$O$19,0)-IF(AND('Bonding Program'!$R$19&lt;&gt;"",M$3='Bonding Program'!$R$19),'Bonding Program'!$Q$19,0),0)</f>
        <v>-376823.150184729</v>
      </c>
      <c r="N160" s="19" t="n">
        <f aca="false">IF(AND('Bonding Program'!$S$19=1,N$3='Bonding Program'!$H$19),'Bonding Program'!$AA$19,0)-IF(N$3&lt;='Bonding Program'!$C$8,IF(AND('Bonding Program'!$K$19&lt;&gt;"",N$3='Bonding Program'!$K$19),'Bonding Program'!$J$19,0)-IF(AND('Bonding Program'!$M$19&lt;&gt;"",N$3='Bonding Program'!$M$19),'Bonding Program'!$L$19,0)-IF(AND('Bonding Program'!$P$19&lt;&gt;"",N$3='Bonding Program'!$P$19),'Bonding Program'!$O$19,0)-IF(AND('Bonding Program'!$R$19&lt;&gt;"",N$3='Bonding Program'!$R$19),'Bonding Program'!$Q$19,0),0)</f>
        <v>0</v>
      </c>
      <c r="O160" s="19" t="n">
        <f aca="false">IF(AND('Bonding Program'!$S$19=1,O$3='Bonding Program'!$H$19),'Bonding Program'!$AA$19,0)-IF(O$3&lt;='Bonding Program'!$C$8,IF(AND('Bonding Program'!$K$19&lt;&gt;"",O$3='Bonding Program'!$K$19),'Bonding Program'!$J$19,0)-IF(AND('Bonding Program'!$M$19&lt;&gt;"",O$3='Bonding Program'!$M$19),'Bonding Program'!$L$19,0)-IF(AND('Bonding Program'!$P$19&lt;&gt;"",O$3='Bonding Program'!$P$19),'Bonding Program'!$O$19,0)-IF(AND('Bonding Program'!$R$19&lt;&gt;"",O$3='Bonding Program'!$R$19),'Bonding Program'!$Q$19,0),0)</f>
        <v>0</v>
      </c>
      <c r="P160" s="19" t="n">
        <f aca="false">IF(AND('Bonding Program'!$S$19=1,P$3='Bonding Program'!$H$19),'Bonding Program'!$AA$19,0)-IF(P$3&lt;='Bonding Program'!$C$8,IF(AND('Bonding Program'!$K$19&lt;&gt;"",P$3='Bonding Program'!$K$19),'Bonding Program'!$J$19,0)-IF(AND('Bonding Program'!$M$19&lt;&gt;"",P$3='Bonding Program'!$M$19),'Bonding Program'!$L$19,0)-IF(AND('Bonding Program'!$P$19&lt;&gt;"",P$3='Bonding Program'!$P$19),'Bonding Program'!$O$19,0)-IF(AND('Bonding Program'!$R$19&lt;&gt;"",P$3='Bonding Program'!$R$19),'Bonding Program'!$Q$19,0),0)</f>
        <v>0</v>
      </c>
      <c r="Q160" s="19" t="n">
        <f aca="false">IF(AND('Bonding Program'!$S$19=1,Q$3='Bonding Program'!$H$19),'Bonding Program'!$AA$19,0)-IF(Q$3&lt;='Bonding Program'!$C$8,IF(AND('Bonding Program'!$K$19&lt;&gt;"",Q$3='Bonding Program'!$K$19),'Bonding Program'!$J$19,0)-IF(AND('Bonding Program'!$M$19&lt;&gt;"",Q$3='Bonding Program'!$M$19),'Bonding Program'!$L$19,0)-IF(AND('Bonding Program'!$P$19&lt;&gt;"",Q$3='Bonding Program'!$P$19),'Bonding Program'!$O$19,0)-IF(AND('Bonding Program'!$R$19&lt;&gt;"",Q$3='Bonding Program'!$R$19),'Bonding Program'!$Q$19,0),0)</f>
        <v>0</v>
      </c>
      <c r="R160" s="19" t="n">
        <f aca="false">IF(AND('Bonding Program'!$S$19=1,R$3='Bonding Program'!$H$19),'Bonding Program'!$AA$19,0)-IF(R$3&lt;='Bonding Program'!$C$8,IF(AND('Bonding Program'!$K$19&lt;&gt;"",R$3='Bonding Program'!$K$19),'Bonding Program'!$J$19,0)-IF(AND('Bonding Program'!$M$19&lt;&gt;"",R$3='Bonding Program'!$M$19),'Bonding Program'!$L$19,0)-IF(AND('Bonding Program'!$P$19&lt;&gt;"",R$3='Bonding Program'!$P$19),'Bonding Program'!$O$19,0)-IF(AND('Bonding Program'!$R$19&lt;&gt;"",R$3='Bonding Program'!$R$19),'Bonding Program'!$Q$19,0),0)</f>
        <v>0</v>
      </c>
      <c r="S160" s="19" t="n">
        <f aca="false">IF(AND('Bonding Program'!$S$19=1,S$3='Bonding Program'!$H$19),'Bonding Program'!$AA$19,0)-IF(S$3&lt;='Bonding Program'!$C$8,IF(AND('Bonding Program'!$K$19&lt;&gt;"",S$3='Bonding Program'!$K$19),'Bonding Program'!$J$19,0)-IF(AND('Bonding Program'!$M$19&lt;&gt;"",S$3='Bonding Program'!$M$19),'Bonding Program'!$L$19,0)-IF(AND('Bonding Program'!$P$19&lt;&gt;"",S$3='Bonding Program'!$P$19),'Bonding Program'!$O$19,0)-IF(AND('Bonding Program'!$R$19&lt;&gt;"",S$3='Bonding Program'!$R$19),'Bonding Program'!$Q$19,0),0)</f>
        <v>0</v>
      </c>
      <c r="T160" s="19" t="n">
        <f aca="false">IF(AND('Bonding Program'!$S$19=1,T$3='Bonding Program'!$H$19),'Bonding Program'!$AA$19,0)-IF(T$3&lt;='Bonding Program'!$C$8,IF(AND('Bonding Program'!$K$19&lt;&gt;"",T$3='Bonding Program'!$K$19),'Bonding Program'!$J$19,0)-IF(AND('Bonding Program'!$M$19&lt;&gt;"",T$3='Bonding Program'!$M$19),'Bonding Program'!$L$19,0)-IF(AND('Bonding Program'!$P$19&lt;&gt;"",T$3='Bonding Program'!$P$19),'Bonding Program'!$O$19,0)-IF(AND('Bonding Program'!$R$19&lt;&gt;"",T$3='Bonding Program'!$R$19),'Bonding Program'!$Q$19,0),0)</f>
        <v>0</v>
      </c>
      <c r="U160" s="19" t="n">
        <f aca="false">IF(AND('Bonding Program'!$S$19=1,U$3='Bonding Program'!$H$19),'Bonding Program'!$AA$19,0)-IF(U$3&lt;='Bonding Program'!$C$8,IF(AND('Bonding Program'!$K$19&lt;&gt;"",U$3='Bonding Program'!$K$19),'Bonding Program'!$J$19,0)-IF(AND('Bonding Program'!$M$19&lt;&gt;"",U$3='Bonding Program'!$M$19),'Bonding Program'!$L$19,0)-IF(AND('Bonding Program'!$P$19&lt;&gt;"",U$3='Bonding Program'!$P$19),'Bonding Program'!$O$19,0)-IF(AND('Bonding Program'!$R$19&lt;&gt;"",U$3='Bonding Program'!$R$19),'Bonding Program'!$Q$19,0),0)</f>
        <v>0</v>
      </c>
      <c r="V160" s="19" t="n">
        <f aca="false">IF(AND('Bonding Program'!$S$19=1,V$3='Bonding Program'!$H$19),'Bonding Program'!$AA$19,0)-IF(V$3&lt;='Bonding Program'!$C$8,IF(AND('Bonding Program'!$K$19&lt;&gt;"",V$3='Bonding Program'!$K$19),'Bonding Program'!$J$19,0)-IF(AND('Bonding Program'!$M$19&lt;&gt;"",V$3='Bonding Program'!$M$19),'Bonding Program'!$L$19,0)-IF(AND('Bonding Program'!$P$19&lt;&gt;"",V$3='Bonding Program'!$P$19),'Bonding Program'!$O$19,0)-IF(AND('Bonding Program'!$R$19&lt;&gt;"",V$3='Bonding Program'!$R$19),'Bonding Program'!$Q$19,0),0)</f>
        <v>0</v>
      </c>
      <c r="W160" s="19" t="n">
        <f aca="false">IF(AND('Bonding Program'!$S$19=1,W$3='Bonding Program'!$H$19),'Bonding Program'!$AA$19,0)-IF(W$3&lt;='Bonding Program'!$C$8,IF(AND('Bonding Program'!$K$19&lt;&gt;"",W$3='Bonding Program'!$K$19),'Bonding Program'!$J$19,0)-IF(AND('Bonding Program'!$M$19&lt;&gt;"",W$3='Bonding Program'!$M$19),'Bonding Program'!$L$19,0)-IF(AND('Bonding Program'!$P$19&lt;&gt;"",W$3='Bonding Program'!$P$19),'Bonding Program'!$O$19,0)-IF(AND('Bonding Program'!$R$19&lt;&gt;"",W$3='Bonding Program'!$R$19),'Bonding Program'!$Q$19,0),0)</f>
        <v>0</v>
      </c>
      <c r="X160" s="19" t="n">
        <f aca="false">IF(AND('Bonding Program'!$S$19=1,X$3='Bonding Program'!$H$19),'Bonding Program'!$AA$19,0)-IF(X$3&lt;='Bonding Program'!$C$8,IF(AND('Bonding Program'!$K$19&lt;&gt;"",X$3='Bonding Program'!$K$19),'Bonding Program'!$J$19,0)-IF(AND('Bonding Program'!$M$19&lt;&gt;"",X$3='Bonding Program'!$M$19),'Bonding Program'!$L$19,0)-IF(AND('Bonding Program'!$P$19&lt;&gt;"",X$3='Bonding Program'!$P$19),'Bonding Program'!$O$19,0)-IF(AND('Bonding Program'!$R$19&lt;&gt;"",X$3='Bonding Program'!$R$19),'Bonding Program'!$Q$19,0),0)</f>
        <v>0</v>
      </c>
      <c r="Y160" s="19" t="n">
        <f aca="false">IF(AND('Bonding Program'!$S$19=1,Y$3='Bonding Program'!$H$19),'Bonding Program'!$AA$19,0)-IF(Y$3&lt;='Bonding Program'!$C$8,IF(AND('Bonding Program'!$K$19&lt;&gt;"",Y$3='Bonding Program'!$K$19),'Bonding Program'!$J$19,0)-IF(AND('Bonding Program'!$M$19&lt;&gt;"",Y$3='Bonding Program'!$M$19),'Bonding Program'!$L$19,0)-IF(AND('Bonding Program'!$P$19&lt;&gt;"",Y$3='Bonding Program'!$P$19),'Bonding Program'!$O$19,0)-IF(AND('Bonding Program'!$R$19&lt;&gt;"",Y$3='Bonding Program'!$R$19),'Bonding Program'!$Q$19,0),0)</f>
        <v>0</v>
      </c>
      <c r="Z160" s="19" t="n">
        <f aca="false">IF(AND('Bonding Program'!$S$19=1,Z$3='Bonding Program'!$H$19),'Bonding Program'!$AA$19,0)-IF(Z$3&lt;='Bonding Program'!$C$8,IF(AND('Bonding Program'!$K$19&lt;&gt;"",Z$3='Bonding Program'!$K$19),'Bonding Program'!$J$19,0)-IF(AND('Bonding Program'!$M$19&lt;&gt;"",Z$3='Bonding Program'!$M$19),'Bonding Program'!$L$19,0)-IF(AND('Bonding Program'!$P$19&lt;&gt;"",Z$3='Bonding Program'!$P$19),'Bonding Program'!$O$19,0)-IF(AND('Bonding Program'!$R$19&lt;&gt;"",Z$3='Bonding Program'!$R$19),'Bonding Program'!$Q$19,0),0)</f>
        <v>0</v>
      </c>
      <c r="AA160" s="19" t="n">
        <f aca="false">IF(AND('Bonding Program'!$S$19=1,AA$3='Bonding Program'!$H$19),'Bonding Program'!$AA$19,0)-IF(AA$3&lt;='Bonding Program'!$C$8,IF(AND('Bonding Program'!$K$19&lt;&gt;"",AA$3='Bonding Program'!$K$19),'Bonding Program'!$J$19,0)-IF(AND('Bonding Program'!$M$19&lt;&gt;"",AA$3='Bonding Program'!$M$19),'Bonding Program'!$L$19,0)-IF(AND('Bonding Program'!$P$19&lt;&gt;"",AA$3='Bonding Program'!$P$19),'Bonding Program'!$O$19,0)-IF(AND('Bonding Program'!$R$19&lt;&gt;"",AA$3='Bonding Program'!$R$19),'Bonding Program'!$Q$19,0),0)</f>
        <v>0</v>
      </c>
      <c r="AB160" s="19" t="n">
        <f aca="false">IF(AND('Bonding Program'!$S$19=1,AB$3='Bonding Program'!$H$19),'Bonding Program'!$AA$19,0)-IF(AB$3&lt;='Bonding Program'!$C$8,IF(AND('Bonding Program'!$K$19&lt;&gt;"",AB$3='Bonding Program'!$K$19),'Bonding Program'!$J$19,0)-IF(AND('Bonding Program'!$M$19&lt;&gt;"",AB$3='Bonding Program'!$M$19),'Bonding Program'!$L$19,0)-IF(AND('Bonding Program'!$P$19&lt;&gt;"",AB$3='Bonding Program'!$P$19),'Bonding Program'!$O$19,0)-IF(AND('Bonding Program'!$R$19&lt;&gt;"",AB$3='Bonding Program'!$R$19),'Bonding Program'!$Q$19,0),0)</f>
        <v>0</v>
      </c>
      <c r="AC160" s="19" t="n">
        <f aca="false">IF(AND('Bonding Program'!$S$19=1,AC$3='Bonding Program'!$H$19),'Bonding Program'!$AA$19,0)-IF(AC$3&lt;='Bonding Program'!$C$8,IF(AND('Bonding Program'!$K$19&lt;&gt;"",AC$3='Bonding Program'!$K$19),'Bonding Program'!$J$19,0)-IF(AND('Bonding Program'!$M$19&lt;&gt;"",AC$3='Bonding Program'!$M$19),'Bonding Program'!$L$19,0)-IF(AND('Bonding Program'!$P$19&lt;&gt;"",AC$3='Bonding Program'!$P$19),'Bonding Program'!$O$19,0)-IF(AND('Bonding Program'!$R$19&lt;&gt;"",AC$3='Bonding Program'!$R$19),'Bonding Program'!$Q$19,0),0)</f>
        <v>0</v>
      </c>
      <c r="AD160" s="19" t="n">
        <f aca="false">IF(AND('Bonding Program'!$S$19=1,AD$3='Bonding Program'!$H$19),'Bonding Program'!$AA$19,0)-IF(AD$3&lt;='Bonding Program'!$C$8,IF(AND('Bonding Program'!$K$19&lt;&gt;"",AD$3='Bonding Program'!$K$19),'Bonding Program'!$J$19,0)-IF(AND('Bonding Program'!$M$19&lt;&gt;"",AD$3='Bonding Program'!$M$19),'Bonding Program'!$L$19,0)-IF(AND('Bonding Program'!$P$19&lt;&gt;"",AD$3='Bonding Program'!$P$19),'Bonding Program'!$O$19,0)-IF(AND('Bonding Program'!$R$19&lt;&gt;"",AD$3='Bonding Program'!$R$19),'Bonding Program'!$Q$19,0),0)</f>
        <v>0</v>
      </c>
      <c r="AE160" s="19" t="n">
        <f aca="false">IF(AND('Bonding Program'!$S$19=1,AE$3='Bonding Program'!$H$19),'Bonding Program'!$AA$19,0)-IF(AE$3&lt;='Bonding Program'!$C$8,IF(AND('Bonding Program'!$K$19&lt;&gt;"",AE$3='Bonding Program'!$K$19),'Bonding Program'!$J$19,0)-IF(AND('Bonding Program'!$M$19&lt;&gt;"",AE$3='Bonding Program'!$M$19),'Bonding Program'!$L$19,0)-IF(AND('Bonding Program'!$P$19&lt;&gt;"",AE$3='Bonding Program'!$P$19),'Bonding Program'!$O$19,0)-IF(AND('Bonding Program'!$R$19&lt;&gt;"",AE$3='Bonding Program'!$R$19),'Bonding Program'!$Q$19,0),0)</f>
        <v>0</v>
      </c>
      <c r="AF160" s="19" t="n">
        <f aca="false">IF(AND('Bonding Program'!$S$19=1,AF$3='Bonding Program'!$H$19),'Bonding Program'!$AA$19,0)-IF(AF$3&lt;='Bonding Program'!$C$8,IF(AND('Bonding Program'!$K$19&lt;&gt;"",AF$3='Bonding Program'!$K$19),'Bonding Program'!$J$19,0)-IF(AND('Bonding Program'!$M$19&lt;&gt;"",AF$3='Bonding Program'!$M$19),'Bonding Program'!$L$19,0)-IF(AND('Bonding Program'!$P$19&lt;&gt;"",AF$3='Bonding Program'!$P$19),'Bonding Program'!$O$19,0)-IF(AND('Bonding Program'!$R$19&lt;&gt;"",AF$3='Bonding Program'!$R$19),'Bonding Program'!$Q$19,0),0)</f>
        <v>0</v>
      </c>
      <c r="AG160" s="19" t="n">
        <f aca="false">IF(AND('Bonding Program'!$S$19=1,AG$3='Bonding Program'!$H$19),'Bonding Program'!$AA$19,0)-IF(AG$3&lt;='Bonding Program'!$C$8,IF(AND('Bonding Program'!$K$19&lt;&gt;"",AG$3='Bonding Program'!$K$19),'Bonding Program'!$J$19,0)-IF(AND('Bonding Program'!$M$19&lt;&gt;"",AG$3='Bonding Program'!$M$19),'Bonding Program'!$L$19,0)-IF(AND('Bonding Program'!$P$19&lt;&gt;"",AG$3='Bonding Program'!$P$19),'Bonding Program'!$O$19,0)-IF(AND('Bonding Program'!$R$19&lt;&gt;"",AG$3='Bonding Program'!$R$19),'Bonding Program'!$Q$19,0),0)</f>
        <v>0</v>
      </c>
      <c r="AH160" s="19" t="n">
        <f aca="false">IF(AND('Bonding Program'!$S$19=1,AH$3='Bonding Program'!$H$19),'Bonding Program'!$AA$19,0)-IF(AH$3&lt;='Bonding Program'!$C$8,IF(AND('Bonding Program'!$K$19&lt;&gt;"",AH$3='Bonding Program'!$K$19),'Bonding Program'!$J$19,0)-IF(AND('Bonding Program'!$M$19&lt;&gt;"",AH$3='Bonding Program'!$M$19),'Bonding Program'!$L$19,0)-IF(AND('Bonding Program'!$P$19&lt;&gt;"",AH$3='Bonding Program'!$P$19),'Bonding Program'!$O$19,0)-IF(AND('Bonding Program'!$R$19&lt;&gt;"",AH$3='Bonding Program'!$R$19),'Bonding Program'!$Q$19,0),0)</f>
        <v>0</v>
      </c>
      <c r="AI160" s="19" t="n">
        <f aca="false">IF(AND('Bonding Program'!$S$19=1,AI$3='Bonding Program'!$H$19),'Bonding Program'!$AA$19,0)-IF(AI$3&lt;='Bonding Program'!$C$8,IF(AND('Bonding Program'!$K$19&lt;&gt;"",AI$3='Bonding Program'!$K$19),'Bonding Program'!$J$19,0)-IF(AND('Bonding Program'!$M$19&lt;&gt;"",AI$3='Bonding Program'!$M$19),'Bonding Program'!$L$19,0)-IF(AND('Bonding Program'!$P$19&lt;&gt;"",AI$3='Bonding Program'!$P$19),'Bonding Program'!$O$19,0)-IF(AND('Bonding Program'!$R$19&lt;&gt;"",AI$3='Bonding Program'!$R$19),'Bonding Program'!$Q$19,0),0)</f>
        <v>0</v>
      </c>
      <c r="AJ160" s="19" t="n">
        <f aca="false">IF(AND('Bonding Program'!$S$19=1,AJ$3='Bonding Program'!$H$19),'Bonding Program'!$AA$19,0)-IF(AJ$3&lt;='Bonding Program'!$C$8,IF(AND('Bonding Program'!$K$19&lt;&gt;"",AJ$3='Bonding Program'!$K$19),'Bonding Program'!$J$19,0)-IF(AND('Bonding Program'!$M$19&lt;&gt;"",AJ$3='Bonding Program'!$M$19),'Bonding Program'!$L$19,0)-IF(AND('Bonding Program'!$P$19&lt;&gt;"",AJ$3='Bonding Program'!$P$19),'Bonding Program'!$O$19,0)-IF(AND('Bonding Program'!$R$19&lt;&gt;"",AJ$3='Bonding Program'!$R$19),'Bonding Program'!$Q$19,0),0)</f>
        <v>0</v>
      </c>
      <c r="AK160" s="19" t="n">
        <f aca="false">IF(AND('Bonding Program'!$S$19=1,AK$3='Bonding Program'!$H$19),'Bonding Program'!$AA$19,0)-IF(AK$3&lt;='Bonding Program'!$C$8,IF(AND('Bonding Program'!$K$19&lt;&gt;"",AK$3='Bonding Program'!$K$19),'Bonding Program'!$J$19,0)-IF(AND('Bonding Program'!$M$19&lt;&gt;"",AK$3='Bonding Program'!$M$19),'Bonding Program'!$L$19,0)-IF(AND('Bonding Program'!$P$19&lt;&gt;"",AK$3='Bonding Program'!$P$19),'Bonding Program'!$O$19,0)-IF(AND('Bonding Program'!$R$19&lt;&gt;"",AK$3='Bonding Program'!$R$19),'Bonding Program'!$Q$19,0),0)</f>
        <v>0</v>
      </c>
      <c r="AL160" s="19" t="n">
        <f aca="false">IF(AND('Bonding Program'!$S$19=1,AL$3='Bonding Program'!$H$19),'Bonding Program'!$AA$19,0)-IF(AL$3&lt;='Bonding Program'!$C$8,IF(AND('Bonding Program'!$K$19&lt;&gt;"",AL$3='Bonding Program'!$K$19),'Bonding Program'!$J$19,0)-IF(AND('Bonding Program'!$M$19&lt;&gt;"",AL$3='Bonding Program'!$M$19),'Bonding Program'!$L$19,0)-IF(AND('Bonding Program'!$P$19&lt;&gt;"",AL$3='Bonding Program'!$P$19),'Bonding Program'!$O$19,0)-IF(AND('Bonding Program'!$R$19&lt;&gt;"",AL$3='Bonding Program'!$R$19),'Bonding Program'!$Q$19,0),0)</f>
        <v>0</v>
      </c>
      <c r="AM160" s="19" t="n">
        <f aca="false">IF(AND('Bonding Program'!$S$19=1,AM$3='Bonding Program'!$H$19),'Bonding Program'!$AA$19,0)-IF(AM$3&lt;='Bonding Program'!$C$8,IF(AND('Bonding Program'!$K$19&lt;&gt;"",AM$3='Bonding Program'!$K$19),'Bonding Program'!$J$19,0)-IF(AND('Bonding Program'!$M$19&lt;&gt;"",AM$3='Bonding Program'!$M$19),'Bonding Program'!$L$19,0)-IF(AND('Bonding Program'!$P$19&lt;&gt;"",AM$3='Bonding Program'!$P$19),'Bonding Program'!$O$19,0)-IF(AND('Bonding Program'!$R$19&lt;&gt;"",AM$3='Bonding Program'!$R$19),'Bonding Program'!$Q$19,0),0)</f>
        <v>0</v>
      </c>
      <c r="AN160" s="19" t="n">
        <f aca="false">IF(AND('Bonding Program'!$S$19=1,AN$3='Bonding Program'!$H$19),'Bonding Program'!$AA$19,0)-IF(AN$3&lt;='Bonding Program'!$C$8,IF(AND('Bonding Program'!$K$19&lt;&gt;"",AN$3='Bonding Program'!$K$19),'Bonding Program'!$J$19,0)-IF(AND('Bonding Program'!$M$19&lt;&gt;"",AN$3='Bonding Program'!$M$19),'Bonding Program'!$L$19,0)-IF(AND('Bonding Program'!$P$19&lt;&gt;"",AN$3='Bonding Program'!$P$19),'Bonding Program'!$O$19,0)-IF(AND('Bonding Program'!$R$19&lt;&gt;"",AN$3='Bonding Program'!$R$19),'Bonding Program'!$Q$19,0),0)</f>
        <v>0</v>
      </c>
      <c r="AO160" s="19" t="n">
        <f aca="false">IF(AND('Bonding Program'!$S$19=1,AO$3='Bonding Program'!$H$19),'Bonding Program'!$AA$19,0)-IF(AO$3&lt;='Bonding Program'!$C$8,IF(AND('Bonding Program'!$K$19&lt;&gt;"",AO$3='Bonding Program'!$K$19),'Bonding Program'!$J$19,0)-IF(AND('Bonding Program'!$M$19&lt;&gt;"",AO$3='Bonding Program'!$M$19),'Bonding Program'!$L$19,0)-IF(AND('Bonding Program'!$P$19&lt;&gt;"",AO$3='Bonding Program'!$P$19),'Bonding Program'!$O$19,0)-IF(AND('Bonding Program'!$R$19&lt;&gt;"",AO$3='Bonding Program'!$R$19),'Bonding Program'!$Q$19,0),0)</f>
        <v>0</v>
      </c>
      <c r="AP160" s="19" t="n">
        <f aca="false">IF(AND('Bonding Program'!$S$19=1,AP$3='Bonding Program'!$H$19),'Bonding Program'!$AA$19,0)-IF(AP$3&lt;='Bonding Program'!$C$8,IF(AND('Bonding Program'!$K$19&lt;&gt;"",AP$3='Bonding Program'!$K$19),'Bonding Program'!$J$19,0)-IF(AND('Bonding Program'!$M$19&lt;&gt;"",AP$3='Bonding Program'!$M$19),'Bonding Program'!$L$19,0)-IF(AND('Bonding Program'!$P$19&lt;&gt;"",AP$3='Bonding Program'!$P$19),'Bonding Program'!$O$19,0)-IF(AND('Bonding Program'!$R$19&lt;&gt;"",AP$3='Bonding Program'!$R$19),'Bonding Program'!$Q$19,0),0)</f>
        <v>0</v>
      </c>
      <c r="AQ160" s="19" t="n">
        <f aca="false">IF(AND('Bonding Program'!$S$19=1,AQ$3='Bonding Program'!$H$19),'Bonding Program'!$AA$19,0)-IF(AQ$3&lt;='Bonding Program'!$C$8,IF(AND('Bonding Program'!$K$19&lt;&gt;"",AQ$3='Bonding Program'!$K$19),'Bonding Program'!$J$19,0)-IF(AND('Bonding Program'!$M$19&lt;&gt;"",AQ$3='Bonding Program'!$M$19),'Bonding Program'!$L$19,0)-IF(AND('Bonding Program'!$P$19&lt;&gt;"",AQ$3='Bonding Program'!$P$19),'Bonding Program'!$O$19,0)-IF(AND('Bonding Program'!$R$19&lt;&gt;"",AQ$3='Bonding Program'!$R$19),'Bonding Program'!$Q$19,0),0)</f>
        <v>0</v>
      </c>
      <c r="AR160" s="19" t="n">
        <f aca="false">IF(AND('Bonding Program'!$S$19=1,AR$3='Bonding Program'!$H$19),'Bonding Program'!$AA$19,0)-IF(AR$3&lt;='Bonding Program'!$C$8,IF(AND('Bonding Program'!$K$19&lt;&gt;"",AR$3='Bonding Program'!$K$19),'Bonding Program'!$J$19,0)-IF(AND('Bonding Program'!$M$19&lt;&gt;"",AR$3='Bonding Program'!$M$19),'Bonding Program'!$L$19,0)-IF(AND('Bonding Program'!$P$19&lt;&gt;"",AR$3='Bonding Program'!$P$19),'Bonding Program'!$O$19,0)-IF(AND('Bonding Program'!$R$19&lt;&gt;"",AR$3='Bonding Program'!$R$19),'Bonding Program'!$Q$19,0),0)</f>
        <v>0</v>
      </c>
      <c r="AS160" s="19" t="n">
        <f aca="false">IF(AND('Bonding Program'!$S$19=1,AS$3='Bonding Program'!$H$19),'Bonding Program'!$AA$19,0)-IF(AS$3&lt;='Bonding Program'!$C$8,IF(AND('Bonding Program'!$K$19&lt;&gt;"",AS$3='Bonding Program'!$K$19),'Bonding Program'!$J$19,0)-IF(AND('Bonding Program'!$M$19&lt;&gt;"",AS$3='Bonding Program'!$M$19),'Bonding Program'!$L$19,0)-IF(AND('Bonding Program'!$P$19&lt;&gt;"",AS$3='Bonding Program'!$P$19),'Bonding Program'!$O$19,0)-IF(AND('Bonding Program'!$R$19&lt;&gt;"",AS$3='Bonding Program'!$R$19),'Bonding Program'!$Q$19,0),0)</f>
        <v>0</v>
      </c>
      <c r="AT160" s="19" t="n">
        <f aca="false">IF(AND('Bonding Program'!$S$19=1,AT$3='Bonding Program'!$H$19),'Bonding Program'!$AA$19,0)-IF(AT$3&lt;='Bonding Program'!$C$8,IF(AND('Bonding Program'!$K$19&lt;&gt;"",AT$3='Bonding Program'!$K$19),'Bonding Program'!$J$19,0)-IF(AND('Bonding Program'!$M$19&lt;&gt;"",AT$3='Bonding Program'!$M$19),'Bonding Program'!$L$19,0)-IF(AND('Bonding Program'!$P$19&lt;&gt;"",AT$3='Bonding Program'!$P$19),'Bonding Program'!$O$19,0)-IF(AND('Bonding Program'!$R$19&lt;&gt;"",AT$3='Bonding Program'!$R$19),'Bonding Program'!$Q$19,0),0)</f>
        <v>0</v>
      </c>
      <c r="AU160" s="19" t="n">
        <f aca="false">IF(AND('Bonding Program'!$S$19=1,AU$3='Bonding Program'!$H$19),'Bonding Program'!$AA$19,0)-IF(AU$3&lt;='Bonding Program'!$C$8,IF(AND('Bonding Program'!$K$19&lt;&gt;"",AU$3='Bonding Program'!$K$19),'Bonding Program'!$J$19,0)-IF(AND('Bonding Program'!$M$19&lt;&gt;"",AU$3='Bonding Program'!$M$19),'Bonding Program'!$L$19,0)-IF(AND('Bonding Program'!$P$19&lt;&gt;"",AU$3='Bonding Program'!$P$19),'Bonding Program'!$O$19,0)-IF(AND('Bonding Program'!$R$19&lt;&gt;"",AU$3='Bonding Program'!$R$19),'Bonding Program'!$Q$19,0),0)</f>
        <v>0</v>
      </c>
      <c r="AV160" s="19" t="n">
        <f aca="false">IF(AND('Bonding Program'!$S$19=1,AV$3='Bonding Program'!$H$19),'Bonding Program'!$AA$19,0)-IF(AV$3&lt;='Bonding Program'!$C$8,IF(AND('Bonding Program'!$K$19&lt;&gt;"",AV$3='Bonding Program'!$K$19),'Bonding Program'!$J$19,0)-IF(AND('Bonding Program'!$M$19&lt;&gt;"",AV$3='Bonding Program'!$M$19),'Bonding Program'!$L$19,0)-IF(AND('Bonding Program'!$P$19&lt;&gt;"",AV$3='Bonding Program'!$P$19),'Bonding Program'!$O$19,0)-IF(AND('Bonding Program'!$R$19&lt;&gt;"",AV$3='Bonding Program'!$R$19),'Bonding Program'!$Q$19,0),0)</f>
        <v>0</v>
      </c>
      <c r="AW160" s="19" t="n">
        <f aca="false">IF(AND('Bonding Program'!$S$19=1,AW$3='Bonding Program'!$H$19),'Bonding Program'!$AA$19,0)-IF(AW$3&lt;='Bonding Program'!$C$8,IF(AND('Bonding Program'!$K$19&lt;&gt;"",AW$3='Bonding Program'!$K$19),'Bonding Program'!$J$19,0)-IF(AND('Bonding Program'!$M$19&lt;&gt;"",AW$3='Bonding Program'!$M$19),'Bonding Program'!$L$19,0)-IF(AND('Bonding Program'!$P$19&lt;&gt;"",AW$3='Bonding Program'!$P$19),'Bonding Program'!$O$19,0)-IF(AND('Bonding Program'!$R$19&lt;&gt;"",AW$3='Bonding Program'!$R$19),'Bonding Program'!$Q$19,0),0)</f>
        <v>0</v>
      </c>
      <c r="AX160" s="19" t="n">
        <f aca="false">IF(AND('Bonding Program'!$S$19=1,AX$3='Bonding Program'!$H$19),'Bonding Program'!$AA$19,0)-IF(AX$3&lt;='Bonding Program'!$C$8,IF(AND('Bonding Program'!$K$19&lt;&gt;"",AX$3='Bonding Program'!$K$19),'Bonding Program'!$J$19,0)-IF(AND('Bonding Program'!$M$19&lt;&gt;"",AX$3='Bonding Program'!$M$19),'Bonding Program'!$L$19,0)-IF(AND('Bonding Program'!$P$19&lt;&gt;"",AX$3='Bonding Program'!$P$19),'Bonding Program'!$O$19,0)-IF(AND('Bonding Program'!$R$19&lt;&gt;"",AX$3='Bonding Program'!$R$19),'Bonding Program'!$Q$19,0),0)</f>
        <v>0</v>
      </c>
      <c r="AY160" s="19" t="n">
        <f aca="false">IF(AND('Bonding Program'!$S$19=1,AY$3='Bonding Program'!$H$19),'Bonding Program'!$AA$19,0)-IF(AY$3&lt;='Bonding Program'!$C$8,IF(AND('Bonding Program'!$K$19&lt;&gt;"",AY$3='Bonding Program'!$K$19),'Bonding Program'!$J$19,0)-IF(AND('Bonding Program'!$M$19&lt;&gt;"",AY$3='Bonding Program'!$M$19),'Bonding Program'!$L$19,0)-IF(AND('Bonding Program'!$P$19&lt;&gt;"",AY$3='Bonding Program'!$P$19),'Bonding Program'!$O$19,0)-IF(AND('Bonding Program'!$R$19&lt;&gt;"",AY$3='Bonding Program'!$R$19),'Bonding Program'!$Q$19,0),0)</f>
        <v>0</v>
      </c>
      <c r="AZ160" s="19" t="n">
        <f aca="false">IF(AND('Bonding Program'!$S$19=1,AZ$3='Bonding Program'!$H$19),'Bonding Program'!$AA$19,0)-IF(AZ$3&lt;='Bonding Program'!$C$8,IF(AND('Bonding Program'!$K$19&lt;&gt;"",AZ$3='Bonding Program'!$K$19),'Bonding Program'!$J$19,0)-IF(AND('Bonding Program'!$M$19&lt;&gt;"",AZ$3='Bonding Program'!$M$19),'Bonding Program'!$L$19,0)-IF(AND('Bonding Program'!$P$19&lt;&gt;"",AZ$3='Bonding Program'!$P$19),'Bonding Program'!$O$19,0)-IF(AND('Bonding Program'!$R$19&lt;&gt;"",AZ$3='Bonding Program'!$R$19),'Bonding Program'!$Q$19,0),0)</f>
        <v>0</v>
      </c>
      <c r="BA160" s="19" t="n">
        <f aca="false">IF(AND('Bonding Program'!$S$19=1,BA$3='Bonding Program'!$H$19),'Bonding Program'!$AA$19,0)-IF(BA$3&lt;='Bonding Program'!$C$8,IF(AND('Bonding Program'!$K$19&lt;&gt;"",BA$3='Bonding Program'!$K$19),'Bonding Program'!$J$19,0)-IF(AND('Bonding Program'!$M$19&lt;&gt;"",BA$3='Bonding Program'!$M$19),'Bonding Program'!$L$19,0)-IF(AND('Bonding Program'!$P$19&lt;&gt;"",BA$3='Bonding Program'!$P$19),'Bonding Program'!$O$19,0)-IF(AND('Bonding Program'!$R$19&lt;&gt;"",BA$3='Bonding Program'!$R$19),'Bonding Program'!$Q$19,0),0)</f>
        <v>0</v>
      </c>
      <c r="BB160" s="19" t="n">
        <f aca="false">IF(AND('Bonding Program'!$S$19=1,BB$3='Bonding Program'!$H$19),'Bonding Program'!$AA$19,0)-IF(BB$3&lt;='Bonding Program'!$C$8,IF(AND('Bonding Program'!$K$19&lt;&gt;"",BB$3='Bonding Program'!$K$19),'Bonding Program'!$J$19,0)-IF(AND('Bonding Program'!$M$19&lt;&gt;"",BB$3='Bonding Program'!$M$19),'Bonding Program'!$L$19,0)-IF(AND('Bonding Program'!$P$19&lt;&gt;"",BB$3='Bonding Program'!$P$19),'Bonding Program'!$O$19,0)-IF(AND('Bonding Program'!$R$19&lt;&gt;"",BB$3='Bonding Program'!$R$19),'Bonding Program'!$Q$19,0),0)</f>
        <v>0</v>
      </c>
      <c r="BC160" s="19" t="n">
        <f aca="false">IF(AND('Bonding Program'!$S$19=1,BC$3='Bonding Program'!$H$19),'Bonding Program'!$AA$19,0)-IF(BC$3&lt;='Bonding Program'!$C$8,IF(AND('Bonding Program'!$K$19&lt;&gt;"",BC$3='Bonding Program'!$K$19),'Bonding Program'!$J$19,0)-IF(AND('Bonding Program'!$M$19&lt;&gt;"",BC$3='Bonding Program'!$M$19),'Bonding Program'!$L$19,0)-IF(AND('Bonding Program'!$P$19&lt;&gt;"",BC$3='Bonding Program'!$P$19),'Bonding Program'!$O$19,0)-IF(AND('Bonding Program'!$R$19&lt;&gt;"",BC$3='Bonding Program'!$R$19),'Bonding Program'!$Q$19,0),0)</f>
        <v>0</v>
      </c>
      <c r="BD160" s="19" t="n">
        <f aca="false">IF(AND('Bonding Program'!$S$19=1,BD$3='Bonding Program'!$H$19),'Bonding Program'!$AA$19,0)-IF(BD$3&lt;='Bonding Program'!$C$8,IF(AND('Bonding Program'!$K$19&lt;&gt;"",BD$3='Bonding Program'!$K$19),'Bonding Program'!$J$19,0)-IF(AND('Bonding Program'!$M$19&lt;&gt;"",BD$3='Bonding Program'!$M$19),'Bonding Program'!$L$19,0)-IF(AND('Bonding Program'!$P$19&lt;&gt;"",BD$3='Bonding Program'!$P$19),'Bonding Program'!$O$19,0)-IF(AND('Bonding Program'!$R$19&lt;&gt;"",BD$3='Bonding Program'!$R$19),'Bonding Program'!$Q$19,0),0)</f>
        <v>0</v>
      </c>
      <c r="BE160" s="19" t="n">
        <f aca="false">IF(AND('Bonding Program'!$S$19=1,BE$3='Bonding Program'!$H$19),'Bonding Program'!$AA$19,0)-IF(BE$3&lt;='Bonding Program'!$C$8,IF(AND('Bonding Program'!$K$19&lt;&gt;"",BE$3='Bonding Program'!$K$19),'Bonding Program'!$J$19,0)-IF(AND('Bonding Program'!$M$19&lt;&gt;"",BE$3='Bonding Program'!$M$19),'Bonding Program'!$L$19,0)-IF(AND('Bonding Program'!$P$19&lt;&gt;"",BE$3='Bonding Program'!$P$19),'Bonding Program'!$O$19,0)-IF(AND('Bonding Program'!$R$19&lt;&gt;"",BE$3='Bonding Program'!$R$19),'Bonding Program'!$Q$19,0),0)</f>
        <v>0</v>
      </c>
      <c r="BF160" s="19" t="n">
        <f aca="false">IF(AND('Bonding Program'!$S$19=1,BF$3='Bonding Program'!$H$19),'Bonding Program'!$AA$19,0)-IF(BF$3&lt;='Bonding Program'!$C$8,IF(AND('Bonding Program'!$K$19&lt;&gt;"",BF$3='Bonding Program'!$K$19),'Bonding Program'!$J$19,0)-IF(AND('Bonding Program'!$M$19&lt;&gt;"",BF$3='Bonding Program'!$M$19),'Bonding Program'!$L$19,0)-IF(AND('Bonding Program'!$P$19&lt;&gt;"",BF$3='Bonding Program'!$P$19),'Bonding Program'!$O$19,0)-IF(AND('Bonding Program'!$R$19&lt;&gt;"",BF$3='Bonding Program'!$R$19),'Bonding Program'!$Q$19,0),0)</f>
        <v>0</v>
      </c>
      <c r="BG160" s="19" t="n">
        <f aca="false">IF(AND('Bonding Program'!$S$19=1,BG$3='Bonding Program'!$H$19),'Bonding Program'!$AA$19,0)-IF(BG$3&lt;='Bonding Program'!$C$8,IF(AND('Bonding Program'!$K$19&lt;&gt;"",BG$3='Bonding Program'!$K$19),'Bonding Program'!$J$19,0)-IF(AND('Bonding Program'!$M$19&lt;&gt;"",BG$3='Bonding Program'!$M$19),'Bonding Program'!$L$19,0)-IF(AND('Bonding Program'!$P$19&lt;&gt;"",BG$3='Bonding Program'!$P$19),'Bonding Program'!$O$19,0)-IF(AND('Bonding Program'!$R$19&lt;&gt;"",BG$3='Bonding Program'!$R$19),'Bonding Program'!$Q$19,0),0)</f>
        <v>0</v>
      </c>
      <c r="BH160" s="19" t="n">
        <f aca="false">IF(AND('Bonding Program'!$S$19=1,BH$3='Bonding Program'!$H$19),'Bonding Program'!$AA$19,0)-IF(BH$3&lt;='Bonding Program'!$C$8,IF(AND('Bonding Program'!$K$19&lt;&gt;"",BH$3='Bonding Program'!$K$19),'Bonding Program'!$J$19,0)-IF(AND('Bonding Program'!$M$19&lt;&gt;"",BH$3='Bonding Program'!$M$19),'Bonding Program'!$L$19,0)-IF(AND('Bonding Program'!$P$19&lt;&gt;"",BH$3='Bonding Program'!$P$19),'Bonding Program'!$O$19,0)-IF(AND('Bonding Program'!$R$19&lt;&gt;"",BH$3='Bonding Program'!$R$19),'Bonding Program'!$Q$19,0),0)</f>
        <v>0</v>
      </c>
      <c r="BI160" s="19" t="n">
        <f aca="false">IF(AND('Bonding Program'!$S$19=1,BI$3='Bonding Program'!$H$19),'Bonding Program'!$AA$19,0)-IF(BI$3&lt;='Bonding Program'!$C$8,IF(AND('Bonding Program'!$K$19&lt;&gt;"",BI$3='Bonding Program'!$K$19),'Bonding Program'!$J$19,0)-IF(AND('Bonding Program'!$M$19&lt;&gt;"",BI$3='Bonding Program'!$M$19),'Bonding Program'!$L$19,0)-IF(AND('Bonding Program'!$P$19&lt;&gt;"",BI$3='Bonding Program'!$P$19),'Bonding Program'!$O$19,0)-IF(AND('Bonding Program'!$R$19&lt;&gt;"",BI$3='Bonding Program'!$R$19),'Bonding Program'!$Q$19,0),0)</f>
        <v>0</v>
      </c>
      <c r="BJ160" s="19" t="n">
        <f aca="false">IF(AND('Bonding Program'!$S$19=1,BJ$3='Bonding Program'!$H$19),'Bonding Program'!$AA$19,0)-IF(BJ$3&lt;='Bonding Program'!$C$8,IF(AND('Bonding Program'!$K$19&lt;&gt;"",BJ$3='Bonding Program'!$K$19),'Bonding Program'!$J$19,0)-IF(AND('Bonding Program'!$M$19&lt;&gt;"",BJ$3='Bonding Program'!$M$19),'Bonding Program'!$L$19,0)-IF(AND('Bonding Program'!$P$19&lt;&gt;"",BJ$3='Bonding Program'!$P$19),'Bonding Program'!$O$19,0)-IF(AND('Bonding Program'!$R$19&lt;&gt;"",BJ$3='Bonding Program'!$R$19),'Bonding Program'!$Q$19,0),0)</f>
        <v>0</v>
      </c>
      <c r="BK160" s="19" t="n">
        <f aca="false">IF(AND('Bonding Program'!$S$19=1,BK$3='Bonding Program'!$H$19),'Bonding Program'!$AA$19,0)-IF(BK$3&lt;='Bonding Program'!$C$8,IF(AND('Bonding Program'!$K$19&lt;&gt;"",BK$3='Bonding Program'!$K$19),'Bonding Program'!$J$19,0)-IF(AND('Bonding Program'!$M$19&lt;&gt;"",BK$3='Bonding Program'!$M$19),'Bonding Program'!$L$19,0)-IF(AND('Bonding Program'!$P$19&lt;&gt;"",BK$3='Bonding Program'!$P$19),'Bonding Program'!$O$19,0)-IF(AND('Bonding Program'!$R$19&lt;&gt;"",BK$3='Bonding Program'!$R$19),'Bonding Program'!$Q$19,0),0)</f>
        <v>0</v>
      </c>
      <c r="BL160" s="19" t="n">
        <f aca="false">IF(AND('Bonding Program'!$S$19=1,BL$3='Bonding Program'!$H$19),'Bonding Program'!$AA$19,0)-IF(BL$3&lt;='Bonding Program'!$C$8,IF(AND('Bonding Program'!$K$19&lt;&gt;"",BL$3='Bonding Program'!$K$19),'Bonding Program'!$J$19,0)-IF(AND('Bonding Program'!$M$19&lt;&gt;"",BL$3='Bonding Program'!$M$19),'Bonding Program'!$L$19,0)-IF(AND('Bonding Program'!$P$19&lt;&gt;"",BL$3='Bonding Program'!$P$19),'Bonding Program'!$O$19,0)-IF(AND('Bonding Program'!$R$19&lt;&gt;"",BL$3='Bonding Program'!$R$19),'Bonding Program'!$Q$19,0),0)</f>
        <v>0</v>
      </c>
      <c r="BM160" s="19" t="n">
        <f aca="false">IF(AND('Bonding Program'!$S$19=1,BM$3='Bonding Program'!$H$19),'Bonding Program'!$AA$19,0)-IF(BM$3&lt;='Bonding Program'!$C$8,IF(AND('Bonding Program'!$K$19&lt;&gt;"",BM$3='Bonding Program'!$K$19),'Bonding Program'!$J$19,0)-IF(AND('Bonding Program'!$M$19&lt;&gt;"",BM$3='Bonding Program'!$M$19),'Bonding Program'!$L$19,0)-IF(AND('Bonding Program'!$P$19&lt;&gt;"",BM$3='Bonding Program'!$P$19),'Bonding Program'!$O$19,0)-IF(AND('Bonding Program'!$R$19&lt;&gt;"",BM$3='Bonding Program'!$R$19),'Bonding Program'!$Q$19,0),0)</f>
        <v>0</v>
      </c>
      <c r="BN160" s="19" t="n">
        <f aca="false">IF(AND('Bonding Program'!$S$19=1,BN$3='Bonding Program'!$H$19),'Bonding Program'!$AA$19,0)-IF(BN$3&lt;='Bonding Program'!$C$8,IF(AND('Bonding Program'!$K$19&lt;&gt;"",BN$3='Bonding Program'!$K$19),'Bonding Program'!$J$19,0)-IF(AND('Bonding Program'!$M$19&lt;&gt;"",BN$3='Bonding Program'!$M$19),'Bonding Program'!$L$19,0)-IF(AND('Bonding Program'!$P$19&lt;&gt;"",BN$3='Bonding Program'!$P$19),'Bonding Program'!$O$19,0)-IF(AND('Bonding Program'!$R$19&lt;&gt;"",BN$3='Bonding Program'!$R$19),'Bonding Program'!$Q$19,0),0)</f>
        <v>0</v>
      </c>
      <c r="BO160" s="19" t="n">
        <f aca="false">IF(AND('Bonding Program'!$S$19=1,BO$3='Bonding Program'!$H$19),'Bonding Program'!$AA$19,0)-IF(BO$3&lt;='Bonding Program'!$C$8,IF(AND('Bonding Program'!$K$19&lt;&gt;"",BO$3='Bonding Program'!$K$19),'Bonding Program'!$J$19,0)-IF(AND('Bonding Program'!$M$19&lt;&gt;"",BO$3='Bonding Program'!$M$19),'Bonding Program'!$L$19,0)-IF(AND('Bonding Program'!$P$19&lt;&gt;"",BO$3='Bonding Program'!$P$19),'Bonding Program'!$O$19,0)-IF(AND('Bonding Program'!$R$19&lt;&gt;"",BO$3='Bonding Program'!$R$19),'Bonding Program'!$Q$19,0),0)</f>
        <v>0</v>
      </c>
      <c r="BP160" s="19" t="n">
        <f aca="false">IF(AND('Bonding Program'!$S$19=1,BP$3='Bonding Program'!$H$19),'Bonding Program'!$AA$19,0)-IF(BP$3&lt;='Bonding Program'!$C$8,IF(AND('Bonding Program'!$K$19&lt;&gt;"",BP$3='Bonding Program'!$K$19),'Bonding Program'!$J$19,0)-IF(AND('Bonding Program'!$M$19&lt;&gt;"",BP$3='Bonding Program'!$M$19),'Bonding Program'!$L$19,0)-IF(AND('Bonding Program'!$P$19&lt;&gt;"",BP$3='Bonding Program'!$P$19),'Bonding Program'!$O$19,0)-IF(AND('Bonding Program'!$R$19&lt;&gt;"",BP$3='Bonding Program'!$R$19),'Bonding Program'!$Q$19,0),0)</f>
        <v>0</v>
      </c>
      <c r="BQ160" s="19" t="n">
        <f aca="false">IF(AND('Bonding Program'!$S$19=1,BQ$3='Bonding Program'!$H$19),'Bonding Program'!$AA$19,0)-IF(BQ$3&lt;='Bonding Program'!$C$8,IF(AND('Bonding Program'!$K$19&lt;&gt;"",BQ$3='Bonding Program'!$K$19),'Bonding Program'!$J$19,0)-IF(AND('Bonding Program'!$M$19&lt;&gt;"",BQ$3='Bonding Program'!$M$19),'Bonding Program'!$L$19,0)-IF(AND('Bonding Program'!$P$19&lt;&gt;"",BQ$3='Bonding Program'!$P$19),'Bonding Program'!$O$19,0)-IF(AND('Bonding Program'!$R$19&lt;&gt;"",BQ$3='Bonding Program'!$R$19),'Bonding Program'!$Q$19,0),0)</f>
        <v>0</v>
      </c>
      <c r="BR160" s="19" t="n">
        <f aca="false">IF(AND('Bonding Program'!$S$19=1,BR$3='Bonding Program'!$H$19),'Bonding Program'!$AA$19,0)-IF(BR$3&lt;='Bonding Program'!$C$8,IF(AND('Bonding Program'!$K$19&lt;&gt;"",BR$3='Bonding Program'!$K$19),'Bonding Program'!$J$19,0)-IF(AND('Bonding Program'!$M$19&lt;&gt;"",BR$3='Bonding Program'!$M$19),'Bonding Program'!$L$19,0)-IF(AND('Bonding Program'!$P$19&lt;&gt;"",BR$3='Bonding Program'!$P$19),'Bonding Program'!$O$19,0)-IF(AND('Bonding Program'!$R$19&lt;&gt;"",BR$3='Bonding Program'!$R$19),'Bonding Program'!$Q$19,0),0)</f>
        <v>0</v>
      </c>
      <c r="BS160" s="19" t="n">
        <f aca="false">IF(AND('Bonding Program'!$S$19=1,BS$3='Bonding Program'!$H$19),'Bonding Program'!$AA$19,0)-IF(BS$3&lt;='Bonding Program'!$C$8,IF(AND('Bonding Program'!$K$19&lt;&gt;"",BS$3='Bonding Program'!$K$19),'Bonding Program'!$J$19,0)-IF(AND('Bonding Program'!$M$19&lt;&gt;"",BS$3='Bonding Program'!$M$19),'Bonding Program'!$L$19,0)-IF(AND('Bonding Program'!$P$19&lt;&gt;"",BS$3='Bonding Program'!$P$19),'Bonding Program'!$O$19,0)-IF(AND('Bonding Program'!$R$19&lt;&gt;"",BS$3='Bonding Program'!$R$19),'Bonding Program'!$Q$19,0),0)</f>
        <v>0</v>
      </c>
      <c r="BT160" s="19" t="n">
        <f aca="false">IF(AND('Bonding Program'!$S$19=1,BT$3='Bonding Program'!$H$19),'Bonding Program'!$AA$19,0)-IF(BT$3&lt;='Bonding Program'!$C$8,IF(AND('Bonding Program'!$K$19&lt;&gt;"",BT$3='Bonding Program'!$K$19),'Bonding Program'!$J$19,0)-IF(AND('Bonding Program'!$M$19&lt;&gt;"",BT$3='Bonding Program'!$M$19),'Bonding Program'!$L$19,0)-IF(AND('Bonding Program'!$P$19&lt;&gt;"",BT$3='Bonding Program'!$P$19),'Bonding Program'!$O$19,0)-IF(AND('Bonding Program'!$R$19&lt;&gt;"",BT$3='Bonding Program'!$R$19),'Bonding Program'!$Q$19,0),0)</f>
        <v>0</v>
      </c>
      <c r="BU160" s="19" t="n">
        <f aca="false">IF(AND('Bonding Program'!$S$19=1,BU$3='Bonding Program'!$H$19),'Bonding Program'!$AA$19,0)-IF(BU$3&lt;='Bonding Program'!$C$8,IF(AND('Bonding Program'!$K$19&lt;&gt;"",BU$3='Bonding Program'!$K$19),'Bonding Program'!$J$19,0)-IF(AND('Bonding Program'!$M$19&lt;&gt;"",BU$3='Bonding Program'!$M$19),'Bonding Program'!$L$19,0)-IF(AND('Bonding Program'!$P$19&lt;&gt;"",BU$3='Bonding Program'!$P$19),'Bonding Program'!$O$19,0)-IF(AND('Bonding Program'!$R$19&lt;&gt;"",BU$3='Bonding Program'!$R$19),'Bonding Program'!$Q$19,0),0)</f>
        <v>0</v>
      </c>
      <c r="BV160" s="19" t="n">
        <f aca="false">IF(AND('Bonding Program'!$S$19=1,BV$3='Bonding Program'!$H$19),'Bonding Program'!$AA$19,0)-IF(BV$3&lt;='Bonding Program'!$C$8,IF(AND('Bonding Program'!$K$19&lt;&gt;"",BV$3='Bonding Program'!$K$19),'Bonding Program'!$J$19,0)-IF(AND('Bonding Program'!$M$19&lt;&gt;"",BV$3='Bonding Program'!$M$19),'Bonding Program'!$L$19,0)-IF(AND('Bonding Program'!$P$19&lt;&gt;"",BV$3='Bonding Program'!$P$19),'Bonding Program'!$O$19,0)-IF(AND('Bonding Program'!$R$19&lt;&gt;"",BV$3='Bonding Program'!$R$19),'Bonding Program'!$Q$19,0),0)</f>
        <v>0</v>
      </c>
      <c r="BW160" s="19" t="n">
        <f aca="false">IF(AND('Bonding Program'!$S$19=1,BW$3='Bonding Program'!$H$19),'Bonding Program'!$AA$19,0)-IF(BW$3&lt;='Bonding Program'!$C$8,IF(AND('Bonding Program'!$K$19&lt;&gt;"",BW$3='Bonding Program'!$K$19),'Bonding Program'!$J$19,0)-IF(AND('Bonding Program'!$M$19&lt;&gt;"",BW$3='Bonding Program'!$M$19),'Bonding Program'!$L$19,0)-IF(AND('Bonding Program'!$P$19&lt;&gt;"",BW$3='Bonding Program'!$P$19),'Bonding Program'!$O$19,0)-IF(AND('Bonding Program'!$R$19&lt;&gt;"",BW$3='Bonding Program'!$R$19),'Bonding Program'!$Q$19,0),0)</f>
        <v>0</v>
      </c>
      <c r="BX160" s="19" t="n">
        <f aca="false">IF(AND('Bonding Program'!$S$19=1,BX$3='Bonding Program'!$H$19),'Bonding Program'!$AA$19,0)-IF(BX$3&lt;='Bonding Program'!$C$8,IF(AND('Bonding Program'!$K$19&lt;&gt;"",BX$3='Bonding Program'!$K$19),'Bonding Program'!$J$19,0)-IF(AND('Bonding Program'!$M$19&lt;&gt;"",BX$3='Bonding Program'!$M$19),'Bonding Program'!$L$19,0)-IF(AND('Bonding Program'!$P$19&lt;&gt;"",BX$3='Bonding Program'!$P$19),'Bonding Program'!$O$19,0)-IF(AND('Bonding Program'!$R$19&lt;&gt;"",BX$3='Bonding Program'!$R$19),'Bonding Program'!$Q$19,0),0)</f>
        <v>0</v>
      </c>
      <c r="BY160" s="19" t="n">
        <f aca="false">IF(AND('Bonding Program'!$S$19=1,BY$3='Bonding Program'!$H$19),'Bonding Program'!$AA$19,0)-IF(BY$3&lt;='Bonding Program'!$C$8,IF(AND('Bonding Program'!$K$19&lt;&gt;"",BY$3='Bonding Program'!$K$19),'Bonding Program'!$J$19,0)-IF(AND('Bonding Program'!$M$19&lt;&gt;"",BY$3='Bonding Program'!$M$19),'Bonding Program'!$L$19,0)-IF(AND('Bonding Program'!$P$19&lt;&gt;"",BY$3='Bonding Program'!$P$19),'Bonding Program'!$O$19,0)-IF(AND('Bonding Program'!$R$19&lt;&gt;"",BY$3='Bonding Program'!$R$19),'Bonding Program'!$Q$19,0),0)</f>
        <v>0</v>
      </c>
      <c r="BZ160" s="19" t="n">
        <f aca="false">IF(AND('Bonding Program'!$S$19=1,BZ$3='Bonding Program'!$H$19),'Bonding Program'!$AA$19,0)-IF(BZ$3&lt;='Bonding Program'!$C$8,IF(AND('Bonding Program'!$K$19&lt;&gt;"",BZ$3='Bonding Program'!$K$19),'Bonding Program'!$J$19,0)-IF(AND('Bonding Program'!$M$19&lt;&gt;"",BZ$3='Bonding Program'!$M$19),'Bonding Program'!$L$19,0)-IF(AND('Bonding Program'!$P$19&lt;&gt;"",BZ$3='Bonding Program'!$P$19),'Bonding Program'!$O$19,0)-IF(AND('Bonding Program'!$R$19&lt;&gt;"",BZ$3='Bonding Program'!$R$19),'Bonding Program'!$Q$19,0),0)</f>
        <v>0</v>
      </c>
      <c r="CA160" s="19" t="n">
        <f aca="false">IF(AND('Bonding Program'!$S$19=1,CA$3='Bonding Program'!$H$19),'Bonding Program'!$AA$19,0)-IF(CA$3&lt;='Bonding Program'!$C$8,IF(AND('Bonding Program'!$K$19&lt;&gt;"",CA$3='Bonding Program'!$K$19),'Bonding Program'!$J$19,0)-IF(AND('Bonding Program'!$M$19&lt;&gt;"",CA$3='Bonding Program'!$M$19),'Bonding Program'!$L$19,0)-IF(AND('Bonding Program'!$P$19&lt;&gt;"",CA$3='Bonding Program'!$P$19),'Bonding Program'!$O$19,0)-IF(AND('Bonding Program'!$R$19&lt;&gt;"",CA$3='Bonding Program'!$R$19),'Bonding Program'!$Q$19,0),0)</f>
        <v>0</v>
      </c>
      <c r="CB160" s="19" t="n">
        <f aca="false">IF(AND('Bonding Program'!$S$19=1,CB$3='Bonding Program'!$H$19),'Bonding Program'!$AA$19,0)-IF(CB$3&lt;='Bonding Program'!$C$8,IF(AND('Bonding Program'!$K$19&lt;&gt;"",CB$3='Bonding Program'!$K$19),'Bonding Program'!$J$19,0)-IF(AND('Bonding Program'!$M$19&lt;&gt;"",CB$3='Bonding Program'!$M$19),'Bonding Program'!$L$19,0)-IF(AND('Bonding Program'!$P$19&lt;&gt;"",CB$3='Bonding Program'!$P$19),'Bonding Program'!$O$19,0)-IF(AND('Bonding Program'!$R$19&lt;&gt;"",CB$3='Bonding Program'!$R$19),'Bonding Program'!$Q$19,0),0)</f>
        <v>0</v>
      </c>
      <c r="CC160" s="19" t="n">
        <f aca="false">IF(AND('Bonding Program'!$S$19=1,CC$3='Bonding Program'!$H$19),'Bonding Program'!$AA$19,0)-IF(CC$3&lt;='Bonding Program'!$C$8,IF(AND('Bonding Program'!$K$19&lt;&gt;"",CC$3='Bonding Program'!$K$19),'Bonding Program'!$J$19,0)-IF(AND('Bonding Program'!$M$19&lt;&gt;"",CC$3='Bonding Program'!$M$19),'Bonding Program'!$L$19,0)-IF(AND('Bonding Program'!$P$19&lt;&gt;"",CC$3='Bonding Program'!$P$19),'Bonding Program'!$O$19,0)-IF(AND('Bonding Program'!$R$19&lt;&gt;"",CC$3='Bonding Program'!$R$19),'Bonding Program'!$Q$19,0),0)</f>
        <v>0</v>
      </c>
      <c r="CD160" s="19" t="n">
        <f aca="false">IF(AND('Bonding Program'!$S$19=1,CD$3='Bonding Program'!$H$19),'Bonding Program'!$AA$19,0)-IF(CD$3&lt;='Bonding Program'!$C$8,IF(AND('Bonding Program'!$K$19&lt;&gt;"",CD$3='Bonding Program'!$K$19),'Bonding Program'!$J$19,0)-IF(AND('Bonding Program'!$M$19&lt;&gt;"",CD$3='Bonding Program'!$M$19),'Bonding Program'!$L$19,0)-IF(AND('Bonding Program'!$P$19&lt;&gt;"",CD$3='Bonding Program'!$P$19),'Bonding Program'!$O$19,0)-IF(AND('Bonding Program'!$R$19&lt;&gt;"",CD$3='Bonding Program'!$R$19),'Bonding Program'!$Q$19,0),0)</f>
        <v>0</v>
      </c>
      <c r="CE160" s="19" t="n">
        <f aca="false">IF(AND('Bonding Program'!$S$19=1,CE$3='Bonding Program'!$H$19),'Bonding Program'!$AA$19,0)-IF(CE$3&lt;='Bonding Program'!$C$8,IF(AND('Bonding Program'!$K$19&lt;&gt;"",CE$3='Bonding Program'!$K$19),'Bonding Program'!$J$19,0)-IF(AND('Bonding Program'!$M$19&lt;&gt;"",CE$3='Bonding Program'!$M$19),'Bonding Program'!$L$19,0)-IF(AND('Bonding Program'!$P$19&lt;&gt;"",CE$3='Bonding Program'!$P$19),'Bonding Program'!$O$19,0)-IF(AND('Bonding Program'!$R$19&lt;&gt;"",CE$3='Bonding Program'!$R$19),'Bonding Program'!$Q$19,0),0)</f>
        <v>0</v>
      </c>
      <c r="CF160" s="19" t="n">
        <f aca="false">IF(AND('Bonding Program'!$S$19=1,CF$3='Bonding Program'!$H$19),'Bonding Program'!$AA$19,0)-IF(CF$3&lt;='Bonding Program'!$C$8,IF(AND('Bonding Program'!$K$19&lt;&gt;"",CF$3='Bonding Program'!$K$19),'Bonding Program'!$J$19,0)-IF(AND('Bonding Program'!$M$19&lt;&gt;"",CF$3='Bonding Program'!$M$19),'Bonding Program'!$L$19,0)-IF(AND('Bonding Program'!$P$19&lt;&gt;"",CF$3='Bonding Program'!$P$19),'Bonding Program'!$O$19,0)-IF(AND('Bonding Program'!$R$19&lt;&gt;"",CF$3='Bonding Program'!$R$19),'Bonding Program'!$Q$19,0),0)</f>
        <v>0</v>
      </c>
      <c r="CG160" s="19" t="n">
        <f aca="false">IF(AND('Bonding Program'!$S$19=1,CG$3='Bonding Program'!$H$19),'Bonding Program'!$AA$19,0)-IF(CG$3&lt;='Bonding Program'!$C$8,IF(AND('Bonding Program'!$K$19&lt;&gt;"",CG$3='Bonding Program'!$K$19),'Bonding Program'!$J$19,0)-IF(AND('Bonding Program'!$M$19&lt;&gt;"",CG$3='Bonding Program'!$M$19),'Bonding Program'!$L$19,0)-IF(AND('Bonding Program'!$P$19&lt;&gt;"",CG$3='Bonding Program'!$P$19),'Bonding Program'!$O$19,0)-IF(AND('Bonding Program'!$R$19&lt;&gt;"",CG$3='Bonding Program'!$R$19),'Bonding Program'!$Q$19,0),0)</f>
        <v>0</v>
      </c>
      <c r="CH160" s="19" t="n">
        <f aca="false">IF(AND('Bonding Program'!$S$19=1,CH$3='Bonding Program'!$H$19),'Bonding Program'!$AA$19,0)-IF(CH$3&lt;='Bonding Program'!$C$8,IF(AND('Bonding Program'!$K$19&lt;&gt;"",CH$3='Bonding Program'!$K$19),'Bonding Program'!$J$19,0)-IF(AND('Bonding Program'!$M$19&lt;&gt;"",CH$3='Bonding Program'!$M$19),'Bonding Program'!$L$19,0)-IF(AND('Bonding Program'!$P$19&lt;&gt;"",CH$3='Bonding Program'!$P$19),'Bonding Program'!$O$19,0)-IF(AND('Bonding Program'!$R$19&lt;&gt;"",CH$3='Bonding Program'!$R$19),'Bonding Program'!$Q$19,0),0)</f>
        <v>0</v>
      </c>
      <c r="CI160" s="19" t="n">
        <f aca="false">IF(AND('Bonding Program'!$S$19=1,CI$3='Bonding Program'!$H$19),'Bonding Program'!$AA$19,0)-IF(CI$3&lt;='Bonding Program'!$C$8,IF(AND('Bonding Program'!$K$19&lt;&gt;"",CI$3='Bonding Program'!$K$19),'Bonding Program'!$J$19,0)-IF(AND('Bonding Program'!$M$19&lt;&gt;"",CI$3='Bonding Program'!$M$19),'Bonding Program'!$L$19,0)-IF(AND('Bonding Program'!$P$19&lt;&gt;"",CI$3='Bonding Program'!$P$19),'Bonding Program'!$O$19,0)-IF(AND('Bonding Program'!$R$19&lt;&gt;"",CI$3='Bonding Program'!$R$19),'Bonding Program'!$Q$19,0),0)</f>
        <v>0</v>
      </c>
      <c r="CJ160" s="19" t="n">
        <f aca="false">IF(AND('Bonding Program'!$S$19=1,CJ$3='Bonding Program'!$H$19),'Bonding Program'!$AA$19,0)-IF(CJ$3&lt;='Bonding Program'!$C$8,IF(AND('Bonding Program'!$K$19&lt;&gt;"",CJ$3='Bonding Program'!$K$19),'Bonding Program'!$J$19,0)-IF(AND('Bonding Program'!$M$19&lt;&gt;"",CJ$3='Bonding Program'!$M$19),'Bonding Program'!$L$19,0)-IF(AND('Bonding Program'!$P$19&lt;&gt;"",CJ$3='Bonding Program'!$P$19),'Bonding Program'!$O$19,0)-IF(AND('Bonding Program'!$R$19&lt;&gt;"",CJ$3='Bonding Program'!$R$19),'Bonding Program'!$Q$19,0),0)</f>
        <v>0</v>
      </c>
      <c r="CK160" s="19" t="n">
        <f aca="false">IF(AND('Bonding Program'!$S$19=1,CK$3='Bonding Program'!$H$19),'Bonding Program'!$AA$19,0)-IF(CK$3&lt;='Bonding Program'!$C$8,IF(AND('Bonding Program'!$K$19&lt;&gt;"",CK$3='Bonding Program'!$K$19),'Bonding Program'!$J$19,0)-IF(AND('Bonding Program'!$M$19&lt;&gt;"",CK$3='Bonding Program'!$M$19),'Bonding Program'!$L$19,0)-IF(AND('Bonding Program'!$P$19&lt;&gt;"",CK$3='Bonding Program'!$P$19),'Bonding Program'!$O$19,0)-IF(AND('Bonding Program'!$R$19&lt;&gt;"",CK$3='Bonding Program'!$R$19),'Bonding Program'!$Q$19,0),0)</f>
        <v>0</v>
      </c>
      <c r="CL160" s="19" t="n">
        <f aca="false">IF(AND('Bonding Program'!$S$19=1,CL$3='Bonding Program'!$H$19),'Bonding Program'!$AA$19,0)-IF(CL$3&lt;='Bonding Program'!$C$8,IF(AND('Bonding Program'!$K$19&lt;&gt;"",CL$3='Bonding Program'!$K$19),'Bonding Program'!$J$19,0)-IF(AND('Bonding Program'!$M$19&lt;&gt;"",CL$3='Bonding Program'!$M$19),'Bonding Program'!$L$19,0)-IF(AND('Bonding Program'!$P$19&lt;&gt;"",CL$3='Bonding Program'!$P$19),'Bonding Program'!$O$19,0)-IF(AND('Bonding Program'!$R$19&lt;&gt;"",CL$3='Bonding Program'!$R$19),'Bonding Program'!$Q$19,0),0)</f>
        <v>0</v>
      </c>
      <c r="CM160" s="19" t="n">
        <f aca="false">IF(AND('Bonding Program'!$S$19=1,CM$3='Bonding Program'!$H$19),'Bonding Program'!$AA$19,0)-IF(CM$3&lt;='Bonding Program'!$C$8,IF(AND('Bonding Program'!$K$19&lt;&gt;"",CM$3='Bonding Program'!$K$19),'Bonding Program'!$J$19,0)-IF(AND('Bonding Program'!$M$19&lt;&gt;"",CM$3='Bonding Program'!$M$19),'Bonding Program'!$L$19,0)-IF(AND('Bonding Program'!$P$19&lt;&gt;"",CM$3='Bonding Program'!$P$19),'Bonding Program'!$O$19,0)-IF(AND('Bonding Program'!$R$19&lt;&gt;"",CM$3='Bonding Program'!$R$19),'Bonding Program'!$Q$19,0),0)</f>
        <v>0</v>
      </c>
      <c r="CN160" s="19" t="n">
        <f aca="false">IF(AND('Bonding Program'!$S$19=1,CN$3='Bonding Program'!$H$19),'Bonding Program'!$AA$19,0)-IF(CN$3&lt;='Bonding Program'!$C$8,IF(AND('Bonding Program'!$K$19&lt;&gt;"",CN$3='Bonding Program'!$K$19),'Bonding Program'!$J$19,0)-IF(AND('Bonding Program'!$M$19&lt;&gt;"",CN$3='Bonding Program'!$M$19),'Bonding Program'!$L$19,0)-IF(AND('Bonding Program'!$P$19&lt;&gt;"",CN$3='Bonding Program'!$P$19),'Bonding Program'!$O$19,0)-IF(AND('Bonding Program'!$R$19&lt;&gt;"",CN$3='Bonding Program'!$R$19),'Bonding Program'!$Q$19,0),0)</f>
        <v>0</v>
      </c>
      <c r="CO160" s="19" t="n">
        <f aca="false">IF(AND('Bonding Program'!$S$19=1,CO$3='Bonding Program'!$H$19),'Bonding Program'!$AA$19,0)-IF(CO$3&lt;='Bonding Program'!$C$8,IF(AND('Bonding Program'!$K$19&lt;&gt;"",CO$3='Bonding Program'!$K$19),'Bonding Program'!$J$19,0)-IF(AND('Bonding Program'!$M$19&lt;&gt;"",CO$3='Bonding Program'!$M$19),'Bonding Program'!$L$19,0)-IF(AND('Bonding Program'!$P$19&lt;&gt;"",CO$3='Bonding Program'!$P$19),'Bonding Program'!$O$19,0)-IF(AND('Bonding Program'!$R$19&lt;&gt;"",CO$3='Bonding Program'!$R$19),'Bonding Program'!$Q$19,0),0)</f>
        <v>0</v>
      </c>
      <c r="CP160" s="19" t="n">
        <f aca="false">IF(AND('Bonding Program'!$S$19=1,CP$3='Bonding Program'!$H$19),'Bonding Program'!$AA$19,0)-IF(CP$3&lt;='Bonding Program'!$C$8,IF(AND('Bonding Program'!$K$19&lt;&gt;"",CP$3='Bonding Program'!$K$19),'Bonding Program'!$J$19,0)-IF(AND('Bonding Program'!$M$19&lt;&gt;"",CP$3='Bonding Program'!$M$19),'Bonding Program'!$L$19,0)-IF(AND('Bonding Program'!$P$19&lt;&gt;"",CP$3='Bonding Program'!$P$19),'Bonding Program'!$O$19,0)-IF(AND('Bonding Program'!$R$19&lt;&gt;"",CP$3='Bonding Program'!$R$19),'Bonding Program'!$Q$19,0),0)</f>
        <v>0</v>
      </c>
      <c r="CQ160" s="19" t="n">
        <f aca="false">IF(AND('Bonding Program'!$S$19=1,CQ$3='Bonding Program'!$H$19),'Bonding Program'!$AA$19,0)-IF(CQ$3&lt;='Bonding Program'!$C$8,IF(AND('Bonding Program'!$K$19&lt;&gt;"",CQ$3='Bonding Program'!$K$19),'Bonding Program'!$J$19,0)-IF(AND('Bonding Program'!$M$19&lt;&gt;"",CQ$3='Bonding Program'!$M$19),'Bonding Program'!$L$19,0)-IF(AND('Bonding Program'!$P$19&lt;&gt;"",CQ$3='Bonding Program'!$P$19),'Bonding Program'!$O$19,0)-IF(AND('Bonding Program'!$R$19&lt;&gt;"",CQ$3='Bonding Program'!$R$19),'Bonding Program'!$Q$19,0),0)</f>
        <v>0</v>
      </c>
      <c r="CR160" s="19" t="n">
        <f aca="false">IF(AND('Bonding Program'!$S$19=1,CR$3='Bonding Program'!$H$19),'Bonding Program'!$AA$19,0)-IF(CR$3&lt;='Bonding Program'!$C$8,IF(AND('Bonding Program'!$K$19&lt;&gt;"",CR$3='Bonding Program'!$K$19),'Bonding Program'!$J$19,0)-IF(AND('Bonding Program'!$M$19&lt;&gt;"",CR$3='Bonding Program'!$M$19),'Bonding Program'!$L$19,0)-IF(AND('Bonding Program'!$P$19&lt;&gt;"",CR$3='Bonding Program'!$P$19),'Bonding Program'!$O$19,0)-IF(AND('Bonding Program'!$R$19&lt;&gt;"",CR$3='Bonding Program'!$R$19),'Bonding Program'!$Q$19,0),0)</f>
        <v>0</v>
      </c>
      <c r="CS160" s="19" t="n">
        <f aca="false">IF(AND('Bonding Program'!$S$19=1,CS$3='Bonding Program'!$H$19),'Bonding Program'!$AA$19,0)-IF(CS$3&lt;='Bonding Program'!$C$8,IF(AND('Bonding Program'!$K$19&lt;&gt;"",CS$3='Bonding Program'!$K$19),'Bonding Program'!$J$19,0)-IF(AND('Bonding Program'!$M$19&lt;&gt;"",CS$3='Bonding Program'!$M$19),'Bonding Program'!$L$19,0)-IF(AND('Bonding Program'!$P$19&lt;&gt;"",CS$3='Bonding Program'!$P$19),'Bonding Program'!$O$19,0)-IF(AND('Bonding Program'!$R$19&lt;&gt;"",CS$3='Bonding Program'!$R$19),'Bonding Program'!$Q$19,0),0)</f>
        <v>0</v>
      </c>
      <c r="CT160" s="19" t="n">
        <f aca="false">IF(AND('Bonding Program'!$S$19=1,CT$3='Bonding Program'!$H$19),'Bonding Program'!$AA$19,0)-IF(CT$3&lt;='Bonding Program'!$C$8,IF(AND('Bonding Program'!$K$19&lt;&gt;"",CT$3='Bonding Program'!$K$19),'Bonding Program'!$J$19,0)-IF(AND('Bonding Program'!$M$19&lt;&gt;"",CT$3='Bonding Program'!$M$19),'Bonding Program'!$L$19,0)-IF(AND('Bonding Program'!$P$19&lt;&gt;"",CT$3='Bonding Program'!$P$19),'Bonding Program'!$O$19,0)-IF(AND('Bonding Program'!$R$19&lt;&gt;"",CT$3='Bonding Program'!$R$19),'Bonding Program'!$Q$19,0),0)</f>
        <v>0</v>
      </c>
      <c r="CU160" s="19" t="n">
        <f aca="false">IF(AND('Bonding Program'!$S$19=1,CU$3='Bonding Program'!$H$19),'Bonding Program'!$AA$19,0)-IF(CU$3&lt;='Bonding Program'!$C$8,IF(AND('Bonding Program'!$K$19&lt;&gt;"",CU$3='Bonding Program'!$K$19),'Bonding Program'!$J$19,0)-IF(AND('Bonding Program'!$M$19&lt;&gt;"",CU$3='Bonding Program'!$M$19),'Bonding Program'!$L$19,0)-IF(AND('Bonding Program'!$P$19&lt;&gt;"",CU$3='Bonding Program'!$P$19),'Bonding Program'!$O$19,0)-IF(AND('Bonding Program'!$R$19&lt;&gt;"",CU$3='Bonding Program'!$R$19),'Bonding Program'!$Q$19,0),0)</f>
        <v>0</v>
      </c>
      <c r="CV160" s="19" t="n">
        <f aca="false">IF(AND('Bonding Program'!$S$19=1,CV$3='Bonding Program'!$H$19),'Bonding Program'!$AA$19,0)-IF(CV$3&lt;='Bonding Program'!$C$8,IF(AND('Bonding Program'!$K$19&lt;&gt;"",CV$3='Bonding Program'!$K$19),'Bonding Program'!$J$19,0)-IF(AND('Bonding Program'!$M$19&lt;&gt;"",CV$3='Bonding Program'!$M$19),'Bonding Program'!$L$19,0)-IF(AND('Bonding Program'!$P$19&lt;&gt;"",CV$3='Bonding Program'!$P$19),'Bonding Program'!$O$19,0)-IF(AND('Bonding Program'!$R$19&lt;&gt;"",CV$3='Bonding Program'!$R$19),'Bonding Program'!$Q$19,0),0)</f>
        <v>0</v>
      </c>
      <c r="CW160" s="19" t="n">
        <f aca="false">IF(AND('Bonding Program'!$S$19=1,CW$3='Bonding Program'!$H$19),'Bonding Program'!$AA$19,0)-IF(CW$3&lt;='Bonding Program'!$C$8,IF(AND('Bonding Program'!$K$19&lt;&gt;"",CW$3='Bonding Program'!$K$19),'Bonding Program'!$J$19,0)-IF(AND('Bonding Program'!$M$19&lt;&gt;"",CW$3='Bonding Program'!$M$19),'Bonding Program'!$L$19,0)-IF(AND('Bonding Program'!$P$19&lt;&gt;"",CW$3='Bonding Program'!$P$19),'Bonding Program'!$O$19,0)-IF(AND('Bonding Program'!$R$19&lt;&gt;"",CW$3='Bonding Program'!$R$19),'Bonding Program'!$Q$19,0),0)</f>
        <v>0</v>
      </c>
      <c r="CX160" s="19" t="n">
        <f aca="false">IF(AND('Bonding Program'!$S$19=1,CX$3='Bonding Program'!$H$19),'Bonding Program'!$AA$19,0)-IF(CX$3&lt;='Bonding Program'!$C$8,IF(AND('Bonding Program'!$K$19&lt;&gt;"",CX$3='Bonding Program'!$K$19),'Bonding Program'!$J$19,0)-IF(AND('Bonding Program'!$M$19&lt;&gt;"",CX$3='Bonding Program'!$M$19),'Bonding Program'!$L$19,0)-IF(AND('Bonding Program'!$P$19&lt;&gt;"",CX$3='Bonding Program'!$P$19),'Bonding Program'!$O$19,0)-IF(AND('Bonding Program'!$R$19&lt;&gt;"",CX$3='Bonding Program'!$R$19),'Bonding Program'!$Q$19,0),0)</f>
        <v>0</v>
      </c>
      <c r="CY160" s="19" t="n">
        <f aca="false">IF(AND('Bonding Program'!$S$19=1,CY$3='Bonding Program'!$H$19),'Bonding Program'!$AA$19,0)-IF(CY$3&lt;='Bonding Program'!$C$8,IF(AND('Bonding Program'!$K$19&lt;&gt;"",CY$3='Bonding Program'!$K$19),'Bonding Program'!$J$19,0)-IF(AND('Bonding Program'!$M$19&lt;&gt;"",CY$3='Bonding Program'!$M$19),'Bonding Program'!$L$19,0)-IF(AND('Bonding Program'!$P$19&lt;&gt;"",CY$3='Bonding Program'!$P$19),'Bonding Program'!$O$19,0)-IF(AND('Bonding Program'!$R$19&lt;&gt;"",CY$3='Bonding Program'!$R$19),'Bonding Program'!$Q$19,0),0)</f>
        <v>0</v>
      </c>
      <c r="CZ160" s="19" t="n">
        <f aca="false">IF(AND('Bonding Program'!$S$19=1,CZ$3='Bonding Program'!$H$19),'Bonding Program'!$AA$19,0)-IF(CZ$3&lt;='Bonding Program'!$C$8,IF(AND('Bonding Program'!$K$19&lt;&gt;"",CZ$3='Bonding Program'!$K$19),'Bonding Program'!$J$19,0)-IF(AND('Bonding Program'!$M$19&lt;&gt;"",CZ$3='Bonding Program'!$M$19),'Bonding Program'!$L$19,0)-IF(AND('Bonding Program'!$P$19&lt;&gt;"",CZ$3='Bonding Program'!$P$19),'Bonding Program'!$O$19,0)-IF(AND('Bonding Program'!$R$19&lt;&gt;"",CZ$3='Bonding Program'!$R$19),'Bonding Program'!$Q$19,0),0)</f>
        <v>0</v>
      </c>
      <c r="DA160" s="19" t="n">
        <f aca="false">IF(AND('Bonding Program'!$S$19=1,DA$3='Bonding Program'!$H$19),'Bonding Program'!$AA$19,0)-IF(DA$3&lt;='Bonding Program'!$C$8,IF(AND('Bonding Program'!$K$19&lt;&gt;"",DA$3='Bonding Program'!$K$19),'Bonding Program'!$J$19,0)-IF(AND('Bonding Program'!$M$19&lt;&gt;"",DA$3='Bonding Program'!$M$19),'Bonding Program'!$L$19,0)-IF(AND('Bonding Program'!$P$19&lt;&gt;"",DA$3='Bonding Program'!$P$19),'Bonding Program'!$O$19,0)-IF(AND('Bonding Program'!$R$19&lt;&gt;"",DA$3='Bonding Program'!$R$19),'Bonding Program'!$Q$19,0),0)</f>
        <v>0</v>
      </c>
      <c r="DB160" s="19" t="n">
        <f aca="false">IF(AND('Bonding Program'!$S$19=1,DB$3='Bonding Program'!$H$19),'Bonding Program'!$AA$19,0)-IF(DB$3&lt;='Bonding Program'!$C$8,IF(AND('Bonding Program'!$K$19&lt;&gt;"",DB$3='Bonding Program'!$K$19),'Bonding Program'!$J$19,0)-IF(AND('Bonding Program'!$M$19&lt;&gt;"",DB$3='Bonding Program'!$M$19),'Bonding Program'!$L$19,0)-IF(AND('Bonding Program'!$P$19&lt;&gt;"",DB$3='Bonding Program'!$P$19),'Bonding Program'!$O$19,0)-IF(AND('Bonding Program'!$R$19&lt;&gt;"",DB$3='Bonding Program'!$R$19),'Bonding Program'!$Q$19,0),0)</f>
        <v>0</v>
      </c>
      <c r="DC160" s="19" t="n">
        <f aca="false">IF(AND('Bonding Program'!$S$19=1,DC$3='Bonding Program'!$H$19),'Bonding Program'!$AA$19,0)-IF(DC$3&lt;='Bonding Program'!$C$8,IF(AND('Bonding Program'!$K$19&lt;&gt;"",DC$3='Bonding Program'!$K$19),'Bonding Program'!$J$19,0)-IF(AND('Bonding Program'!$M$19&lt;&gt;"",DC$3='Bonding Program'!$M$19),'Bonding Program'!$L$19,0)-IF(AND('Bonding Program'!$P$19&lt;&gt;"",DC$3='Bonding Program'!$P$19),'Bonding Program'!$O$19,0)-IF(AND('Bonding Program'!$R$19&lt;&gt;"",DC$3='Bonding Program'!$R$19),'Bonding Program'!$Q$19,0),0)</f>
        <v>0</v>
      </c>
      <c r="DD160" s="19" t="n">
        <f aca="false">IF(AND('Bonding Program'!$S$19=1,DD$3='Bonding Program'!$H$19),'Bonding Program'!$AA$19,0)-IF(DD$3&lt;='Bonding Program'!$C$8,IF(AND('Bonding Program'!$K$19&lt;&gt;"",DD$3='Bonding Program'!$K$19),'Bonding Program'!$J$19,0)-IF(AND('Bonding Program'!$M$19&lt;&gt;"",DD$3='Bonding Program'!$M$19),'Bonding Program'!$L$19,0)-IF(AND('Bonding Program'!$P$19&lt;&gt;"",DD$3='Bonding Program'!$P$19),'Bonding Program'!$O$19,0)-IF(AND('Bonding Program'!$R$19&lt;&gt;"",DD$3='Bonding Program'!$R$19),'Bonding Program'!$Q$19,0),0)</f>
        <v>0</v>
      </c>
      <c r="DE160" s="19" t="n">
        <f aca="false">IF(AND('Bonding Program'!$S$19=1,DE$3='Bonding Program'!$H$19),'Bonding Program'!$AA$19,0)-IF(DE$3&lt;='Bonding Program'!$C$8,IF(AND('Bonding Program'!$K$19&lt;&gt;"",DE$3='Bonding Program'!$K$19),'Bonding Program'!$J$19,0)-IF(AND('Bonding Program'!$M$19&lt;&gt;"",DE$3='Bonding Program'!$M$19),'Bonding Program'!$L$19,0)-IF(AND('Bonding Program'!$P$19&lt;&gt;"",DE$3='Bonding Program'!$P$19),'Bonding Program'!$O$19,0)-IF(AND('Bonding Program'!$R$19&lt;&gt;"",DE$3='Bonding Program'!$R$19),'Bonding Program'!$Q$19,0),0)</f>
        <v>0</v>
      </c>
    </row>
    <row r="161" customFormat="false" ht="15" hidden="false" customHeight="true" outlineLevel="1" collapsed="false">
      <c r="A161" s="28" t="s">
        <v>16</v>
      </c>
      <c r="B161" s="19" t="n">
        <f aca="false">IF(AND('Bonding Program'!$S$20=1,B$3='Bonding Program'!$H$20),'Bonding Program'!$AA$20,0)-IF(B$3&lt;='Bonding Program'!$C$8,IF(AND('Bonding Program'!$K$20&lt;&gt;"",B$3='Bonding Program'!$K$20),'Bonding Program'!$J$20,0)-IF(AND('Bonding Program'!$M$20&lt;&gt;"",B$3='Bonding Program'!$M$20),'Bonding Program'!$L$20,0)-IF(AND('Bonding Program'!$P$20&lt;&gt;"",B$3='Bonding Program'!$P$20),'Bonding Program'!$O$20,0)-IF(AND('Bonding Program'!$R$20&lt;&gt;"",B$3='Bonding Program'!$R$20),'Bonding Program'!$Q$20,0),0)</f>
        <v>0</v>
      </c>
      <c r="C161" s="19" t="n">
        <f aca="false">IF(AND('Bonding Program'!$S$20=1,C$3='Bonding Program'!$H$20),'Bonding Program'!$AA$20,0)-IF(C$3&lt;='Bonding Program'!$C$8,IF(AND('Bonding Program'!$K$20&lt;&gt;"",C$3='Bonding Program'!$K$20),'Bonding Program'!$J$20,0)-IF(AND('Bonding Program'!$M$20&lt;&gt;"",C$3='Bonding Program'!$M$20),'Bonding Program'!$L$20,0)-IF(AND('Bonding Program'!$P$20&lt;&gt;"",C$3='Bonding Program'!$P$20),'Bonding Program'!$O$20,0)-IF(AND('Bonding Program'!$R$20&lt;&gt;"",C$3='Bonding Program'!$R$20),'Bonding Program'!$Q$20,0),0)</f>
        <v>0</v>
      </c>
      <c r="D161" s="19" t="n">
        <f aca="false">IF(AND('Bonding Program'!$S$20=1,D$3='Bonding Program'!$H$20),'Bonding Program'!$AA$20,0)-IF(D$3&lt;='Bonding Program'!$C$8,IF(AND('Bonding Program'!$K$20&lt;&gt;"",D$3='Bonding Program'!$K$20),'Bonding Program'!$J$20,0)-IF(AND('Bonding Program'!$M$20&lt;&gt;"",D$3='Bonding Program'!$M$20),'Bonding Program'!$L$20,0)-IF(AND('Bonding Program'!$P$20&lt;&gt;"",D$3='Bonding Program'!$P$20),'Bonding Program'!$O$20,0)-IF(AND('Bonding Program'!$R$20&lt;&gt;"",D$3='Bonding Program'!$R$20),'Bonding Program'!$Q$20,0),0)</f>
        <v>0</v>
      </c>
      <c r="E161" s="19" t="n">
        <f aca="false">IF(AND('Bonding Program'!$S$20=1,E$3='Bonding Program'!$H$20),'Bonding Program'!$AA$20,0)-IF(E$3&lt;='Bonding Program'!$C$8,IF(AND('Bonding Program'!$K$20&lt;&gt;"",E$3='Bonding Program'!$K$20),'Bonding Program'!$J$20,0)-IF(AND('Bonding Program'!$M$20&lt;&gt;"",E$3='Bonding Program'!$M$20),'Bonding Program'!$L$20,0)-IF(AND('Bonding Program'!$P$20&lt;&gt;"",E$3='Bonding Program'!$P$20),'Bonding Program'!$O$20,0)-IF(AND('Bonding Program'!$R$20&lt;&gt;"",E$3='Bonding Program'!$R$20),'Bonding Program'!$Q$20,0),0)</f>
        <v>0</v>
      </c>
      <c r="F161" s="19" t="n">
        <f aca="false">IF(AND('Bonding Program'!$S$20=1,F$3='Bonding Program'!$H$20),'Bonding Program'!$AA$20,0)-IF(F$3&lt;='Bonding Program'!$C$8,IF(AND('Bonding Program'!$K$20&lt;&gt;"",F$3='Bonding Program'!$K$20),'Bonding Program'!$J$20,0)-IF(AND('Bonding Program'!$M$20&lt;&gt;"",F$3='Bonding Program'!$M$20),'Bonding Program'!$L$20,0)-IF(AND('Bonding Program'!$P$20&lt;&gt;"",F$3='Bonding Program'!$P$20),'Bonding Program'!$O$20,0)-IF(AND('Bonding Program'!$R$20&lt;&gt;"",F$3='Bonding Program'!$R$20),'Bonding Program'!$Q$20,0),0)</f>
        <v>0</v>
      </c>
      <c r="G161" s="19" t="n">
        <f aca="false">IF(AND('Bonding Program'!$S$20=1,G$3='Bonding Program'!$H$20),'Bonding Program'!$AA$20,0)-IF(G$3&lt;='Bonding Program'!$C$8,IF(AND('Bonding Program'!$K$20&lt;&gt;"",G$3='Bonding Program'!$K$20),'Bonding Program'!$J$20,0)-IF(AND('Bonding Program'!$M$20&lt;&gt;"",G$3='Bonding Program'!$M$20),'Bonding Program'!$L$20,0)-IF(AND('Bonding Program'!$P$20&lt;&gt;"",G$3='Bonding Program'!$P$20),'Bonding Program'!$O$20,0)-IF(AND('Bonding Program'!$R$20&lt;&gt;"",G$3='Bonding Program'!$R$20),'Bonding Program'!$Q$20,0),0)</f>
        <v>0</v>
      </c>
      <c r="H161" s="19" t="n">
        <f aca="false">IF(AND('Bonding Program'!$S$20=1,H$3='Bonding Program'!$H$20),'Bonding Program'!$AA$20,0)-IF(H$3&lt;='Bonding Program'!$C$8,IF(AND('Bonding Program'!$K$20&lt;&gt;"",H$3='Bonding Program'!$K$20),'Bonding Program'!$J$20,0)-IF(AND('Bonding Program'!$M$20&lt;&gt;"",H$3='Bonding Program'!$M$20),'Bonding Program'!$L$20,0)-IF(AND('Bonding Program'!$P$20&lt;&gt;"",H$3='Bonding Program'!$P$20),'Bonding Program'!$O$20,0)-IF(AND('Bonding Program'!$R$20&lt;&gt;"",H$3='Bonding Program'!$R$20),'Bonding Program'!$Q$20,0),0)</f>
        <v>0</v>
      </c>
      <c r="I161" s="19" t="n">
        <f aca="false">IF(AND('Bonding Program'!$S$20=1,I$3='Bonding Program'!$H$20),'Bonding Program'!$AA$20,0)-IF(I$3&lt;='Bonding Program'!$C$8,IF(AND('Bonding Program'!$K$20&lt;&gt;"",I$3='Bonding Program'!$K$20),'Bonding Program'!$J$20,0)-IF(AND('Bonding Program'!$M$20&lt;&gt;"",I$3='Bonding Program'!$M$20),'Bonding Program'!$L$20,0)-IF(AND('Bonding Program'!$P$20&lt;&gt;"",I$3='Bonding Program'!$P$20),'Bonding Program'!$O$20,0)-IF(AND('Bonding Program'!$R$20&lt;&gt;"",I$3='Bonding Program'!$R$20),'Bonding Program'!$Q$20,0),0)</f>
        <v>0</v>
      </c>
      <c r="J161" s="19" t="n">
        <f aca="false">IF(AND('Bonding Program'!$S$20=1,J$3='Bonding Program'!$H$20),'Bonding Program'!$AA$20,0)-IF(J$3&lt;='Bonding Program'!$C$8,IF(AND('Bonding Program'!$K$20&lt;&gt;"",J$3='Bonding Program'!$K$20),'Bonding Program'!$J$20,0)-IF(AND('Bonding Program'!$M$20&lt;&gt;"",J$3='Bonding Program'!$M$20),'Bonding Program'!$L$20,0)-IF(AND('Bonding Program'!$P$20&lt;&gt;"",J$3='Bonding Program'!$P$20),'Bonding Program'!$O$20,0)-IF(AND('Bonding Program'!$R$20&lt;&gt;"",J$3='Bonding Program'!$R$20),'Bonding Program'!$Q$20,0),0)</f>
        <v>0</v>
      </c>
      <c r="K161" s="19" t="n">
        <f aca="false">IF(AND('Bonding Program'!$S$20=1,K$3='Bonding Program'!$H$20),'Bonding Program'!$AA$20,0)-IF(K$3&lt;='Bonding Program'!$C$8,IF(AND('Bonding Program'!$K$20&lt;&gt;"",K$3='Bonding Program'!$K$20),'Bonding Program'!$J$20,0)-IF(AND('Bonding Program'!$M$20&lt;&gt;"",K$3='Bonding Program'!$M$20),'Bonding Program'!$L$20,0)-IF(AND('Bonding Program'!$P$20&lt;&gt;"",K$3='Bonding Program'!$P$20),'Bonding Program'!$O$20,0)-IF(AND('Bonding Program'!$R$20&lt;&gt;"",K$3='Bonding Program'!$R$20),'Bonding Program'!$Q$20,0),0)</f>
        <v>0</v>
      </c>
      <c r="L161" s="19" t="n">
        <f aca="false">IF(AND('Bonding Program'!$S$20=1,L$3='Bonding Program'!$H$20),'Bonding Program'!$AA$20,0)-IF(L$3&lt;='Bonding Program'!$C$8,IF(AND('Bonding Program'!$K$20&lt;&gt;"",L$3='Bonding Program'!$K$20),'Bonding Program'!$J$20,0)-IF(AND('Bonding Program'!$M$20&lt;&gt;"",L$3='Bonding Program'!$M$20),'Bonding Program'!$L$20,0)-IF(AND('Bonding Program'!$P$20&lt;&gt;"",L$3='Bonding Program'!$P$20),'Bonding Program'!$O$20,0)-IF(AND('Bonding Program'!$R$20&lt;&gt;"",L$3='Bonding Program'!$R$20),'Bonding Program'!$Q$20,0),0)</f>
        <v>0</v>
      </c>
      <c r="M161" s="19" t="n">
        <f aca="false">IF(AND('Bonding Program'!$S$20=1,M$3='Bonding Program'!$H$20),'Bonding Program'!$AA$20,0)-IF(M$3&lt;='Bonding Program'!$C$8,IF(AND('Bonding Program'!$K$20&lt;&gt;"",M$3='Bonding Program'!$K$20),'Bonding Program'!$J$20,0)-IF(AND('Bonding Program'!$M$20&lt;&gt;"",M$3='Bonding Program'!$M$20),'Bonding Program'!$L$20,0)-IF(AND('Bonding Program'!$P$20&lt;&gt;"",M$3='Bonding Program'!$P$20),'Bonding Program'!$O$20,0)-IF(AND('Bonding Program'!$R$20&lt;&gt;"",M$3='Bonding Program'!$R$20),'Bonding Program'!$Q$20,0),0)</f>
        <v>0</v>
      </c>
      <c r="N161" s="19" t="n">
        <f aca="false">IF(AND('Bonding Program'!$S$20=1,N$3='Bonding Program'!$H$20),'Bonding Program'!$AA$20,0)-IF(N$3&lt;='Bonding Program'!$C$8,IF(AND('Bonding Program'!$K$20&lt;&gt;"",N$3='Bonding Program'!$K$20),'Bonding Program'!$J$20,0)-IF(AND('Bonding Program'!$M$20&lt;&gt;"",N$3='Bonding Program'!$M$20),'Bonding Program'!$L$20,0)-IF(AND('Bonding Program'!$P$20&lt;&gt;"",N$3='Bonding Program'!$P$20),'Bonding Program'!$O$20,0)-IF(AND('Bonding Program'!$R$20&lt;&gt;"",N$3='Bonding Program'!$R$20),'Bonding Program'!$Q$20,0),0)</f>
        <v>0</v>
      </c>
      <c r="O161" s="19" t="n">
        <f aca="false">IF(AND('Bonding Program'!$S$20=1,O$3='Bonding Program'!$H$20),'Bonding Program'!$AA$20,0)-IF(O$3&lt;='Bonding Program'!$C$8,IF(AND('Bonding Program'!$K$20&lt;&gt;"",O$3='Bonding Program'!$K$20),'Bonding Program'!$J$20,0)-IF(AND('Bonding Program'!$M$20&lt;&gt;"",O$3='Bonding Program'!$M$20),'Bonding Program'!$L$20,0)-IF(AND('Bonding Program'!$P$20&lt;&gt;"",O$3='Bonding Program'!$P$20),'Bonding Program'!$O$20,0)-IF(AND('Bonding Program'!$R$20&lt;&gt;"",O$3='Bonding Program'!$R$20),'Bonding Program'!$Q$20,0),0)</f>
        <v>0</v>
      </c>
      <c r="P161" s="19" t="n">
        <f aca="false">IF(AND('Bonding Program'!$S$20=1,P$3='Bonding Program'!$H$20),'Bonding Program'!$AA$20,0)-IF(P$3&lt;='Bonding Program'!$C$8,IF(AND('Bonding Program'!$K$20&lt;&gt;"",P$3='Bonding Program'!$K$20),'Bonding Program'!$J$20,0)-IF(AND('Bonding Program'!$M$20&lt;&gt;"",P$3='Bonding Program'!$M$20),'Bonding Program'!$L$20,0)-IF(AND('Bonding Program'!$P$20&lt;&gt;"",P$3='Bonding Program'!$P$20),'Bonding Program'!$O$20,0)-IF(AND('Bonding Program'!$R$20&lt;&gt;"",P$3='Bonding Program'!$R$20),'Bonding Program'!$Q$20,0),0)</f>
        <v>0</v>
      </c>
      <c r="Q161" s="19" t="n">
        <f aca="false">IF(AND('Bonding Program'!$S$20=1,Q$3='Bonding Program'!$H$20),'Bonding Program'!$AA$20,0)-IF(Q$3&lt;='Bonding Program'!$C$8,IF(AND('Bonding Program'!$K$20&lt;&gt;"",Q$3='Bonding Program'!$K$20),'Bonding Program'!$J$20,0)-IF(AND('Bonding Program'!$M$20&lt;&gt;"",Q$3='Bonding Program'!$M$20),'Bonding Program'!$L$20,0)-IF(AND('Bonding Program'!$P$20&lt;&gt;"",Q$3='Bonding Program'!$P$20),'Bonding Program'!$O$20,0)-IF(AND('Bonding Program'!$R$20&lt;&gt;"",Q$3='Bonding Program'!$R$20),'Bonding Program'!$Q$20,0),0)</f>
        <v>0</v>
      </c>
      <c r="R161" s="19" t="n">
        <f aca="false">IF(AND('Bonding Program'!$S$20=1,R$3='Bonding Program'!$H$20),'Bonding Program'!$AA$20,0)-IF(R$3&lt;='Bonding Program'!$C$8,IF(AND('Bonding Program'!$K$20&lt;&gt;"",R$3='Bonding Program'!$K$20),'Bonding Program'!$J$20,0)-IF(AND('Bonding Program'!$M$20&lt;&gt;"",R$3='Bonding Program'!$M$20),'Bonding Program'!$L$20,0)-IF(AND('Bonding Program'!$P$20&lt;&gt;"",R$3='Bonding Program'!$P$20),'Bonding Program'!$O$20,0)-IF(AND('Bonding Program'!$R$20&lt;&gt;"",R$3='Bonding Program'!$R$20),'Bonding Program'!$Q$20,0),0)</f>
        <v>0</v>
      </c>
      <c r="S161" s="19" t="n">
        <f aca="false">IF(AND('Bonding Program'!$S$20=1,S$3='Bonding Program'!$H$20),'Bonding Program'!$AA$20,0)-IF(S$3&lt;='Bonding Program'!$C$8,IF(AND('Bonding Program'!$K$20&lt;&gt;"",S$3='Bonding Program'!$K$20),'Bonding Program'!$J$20,0)-IF(AND('Bonding Program'!$M$20&lt;&gt;"",S$3='Bonding Program'!$M$20),'Bonding Program'!$L$20,0)-IF(AND('Bonding Program'!$P$20&lt;&gt;"",S$3='Bonding Program'!$P$20),'Bonding Program'!$O$20,0)-IF(AND('Bonding Program'!$R$20&lt;&gt;"",S$3='Bonding Program'!$R$20),'Bonding Program'!$Q$20,0),0)</f>
        <v>0</v>
      </c>
      <c r="T161" s="19" t="n">
        <f aca="false">IF(AND('Bonding Program'!$S$20=1,T$3='Bonding Program'!$H$20),'Bonding Program'!$AA$20,0)-IF(T$3&lt;='Bonding Program'!$C$8,IF(AND('Bonding Program'!$K$20&lt;&gt;"",T$3='Bonding Program'!$K$20),'Bonding Program'!$J$20,0)-IF(AND('Bonding Program'!$M$20&lt;&gt;"",T$3='Bonding Program'!$M$20),'Bonding Program'!$L$20,0)-IF(AND('Bonding Program'!$P$20&lt;&gt;"",T$3='Bonding Program'!$P$20),'Bonding Program'!$O$20,0)-IF(AND('Bonding Program'!$R$20&lt;&gt;"",T$3='Bonding Program'!$R$20),'Bonding Program'!$Q$20,0),0)</f>
        <v>0</v>
      </c>
      <c r="U161" s="19" t="n">
        <f aca="false">IF(AND('Bonding Program'!$S$20=1,U$3='Bonding Program'!$H$20),'Bonding Program'!$AA$20,0)-IF(U$3&lt;='Bonding Program'!$C$8,IF(AND('Bonding Program'!$K$20&lt;&gt;"",U$3='Bonding Program'!$K$20),'Bonding Program'!$J$20,0)-IF(AND('Bonding Program'!$M$20&lt;&gt;"",U$3='Bonding Program'!$M$20),'Bonding Program'!$L$20,0)-IF(AND('Bonding Program'!$P$20&lt;&gt;"",U$3='Bonding Program'!$P$20),'Bonding Program'!$O$20,0)-IF(AND('Bonding Program'!$R$20&lt;&gt;"",U$3='Bonding Program'!$R$20),'Bonding Program'!$Q$20,0),0)</f>
        <v>0</v>
      </c>
      <c r="V161" s="19" t="n">
        <f aca="false">IF(AND('Bonding Program'!$S$20=1,V$3='Bonding Program'!$H$20),'Bonding Program'!$AA$20,0)-IF(V$3&lt;='Bonding Program'!$C$8,IF(AND('Bonding Program'!$K$20&lt;&gt;"",V$3='Bonding Program'!$K$20),'Bonding Program'!$J$20,0)-IF(AND('Bonding Program'!$M$20&lt;&gt;"",V$3='Bonding Program'!$M$20),'Bonding Program'!$L$20,0)-IF(AND('Bonding Program'!$P$20&lt;&gt;"",V$3='Bonding Program'!$P$20),'Bonding Program'!$O$20,0)-IF(AND('Bonding Program'!$R$20&lt;&gt;"",V$3='Bonding Program'!$R$20),'Bonding Program'!$Q$20,0),0)</f>
        <v>0</v>
      </c>
      <c r="W161" s="19" t="n">
        <f aca="false">IF(AND('Bonding Program'!$S$20=1,W$3='Bonding Program'!$H$20),'Bonding Program'!$AA$20,0)-IF(W$3&lt;='Bonding Program'!$C$8,IF(AND('Bonding Program'!$K$20&lt;&gt;"",W$3='Bonding Program'!$K$20),'Bonding Program'!$J$20,0)-IF(AND('Bonding Program'!$M$20&lt;&gt;"",W$3='Bonding Program'!$M$20),'Bonding Program'!$L$20,0)-IF(AND('Bonding Program'!$P$20&lt;&gt;"",W$3='Bonding Program'!$P$20),'Bonding Program'!$O$20,0)-IF(AND('Bonding Program'!$R$20&lt;&gt;"",W$3='Bonding Program'!$R$20),'Bonding Program'!$Q$20,0),0)</f>
        <v>0</v>
      </c>
      <c r="X161" s="19" t="n">
        <f aca="false">IF(AND('Bonding Program'!$S$20=1,X$3='Bonding Program'!$H$20),'Bonding Program'!$AA$20,0)-IF(X$3&lt;='Bonding Program'!$C$8,IF(AND('Bonding Program'!$K$20&lt;&gt;"",X$3='Bonding Program'!$K$20),'Bonding Program'!$J$20,0)-IF(AND('Bonding Program'!$M$20&lt;&gt;"",X$3='Bonding Program'!$M$20),'Bonding Program'!$L$20,0)-IF(AND('Bonding Program'!$P$20&lt;&gt;"",X$3='Bonding Program'!$P$20),'Bonding Program'!$O$20,0)-IF(AND('Bonding Program'!$R$20&lt;&gt;"",X$3='Bonding Program'!$R$20),'Bonding Program'!$Q$20,0),0)</f>
        <v>0</v>
      </c>
      <c r="Y161" s="19" t="n">
        <f aca="false">IF(AND('Bonding Program'!$S$20=1,Y$3='Bonding Program'!$H$20),'Bonding Program'!$AA$20,0)-IF(Y$3&lt;='Bonding Program'!$C$8,IF(AND('Bonding Program'!$K$20&lt;&gt;"",Y$3='Bonding Program'!$K$20),'Bonding Program'!$J$20,0)-IF(AND('Bonding Program'!$M$20&lt;&gt;"",Y$3='Bonding Program'!$M$20),'Bonding Program'!$L$20,0)-IF(AND('Bonding Program'!$P$20&lt;&gt;"",Y$3='Bonding Program'!$P$20),'Bonding Program'!$O$20,0)-IF(AND('Bonding Program'!$R$20&lt;&gt;"",Y$3='Bonding Program'!$R$20),'Bonding Program'!$Q$20,0),0)</f>
        <v>0</v>
      </c>
      <c r="Z161" s="19" t="n">
        <f aca="false">IF(AND('Bonding Program'!$S$20=1,Z$3='Bonding Program'!$H$20),'Bonding Program'!$AA$20,0)-IF(Z$3&lt;='Bonding Program'!$C$8,IF(AND('Bonding Program'!$K$20&lt;&gt;"",Z$3='Bonding Program'!$K$20),'Bonding Program'!$J$20,0)-IF(AND('Bonding Program'!$M$20&lt;&gt;"",Z$3='Bonding Program'!$M$20),'Bonding Program'!$L$20,0)-IF(AND('Bonding Program'!$P$20&lt;&gt;"",Z$3='Bonding Program'!$P$20),'Bonding Program'!$O$20,0)-IF(AND('Bonding Program'!$R$20&lt;&gt;"",Z$3='Bonding Program'!$R$20),'Bonding Program'!$Q$20,0),0)</f>
        <v>0</v>
      </c>
      <c r="AA161" s="19" t="n">
        <f aca="false">IF(AND('Bonding Program'!$S$20=1,AA$3='Bonding Program'!$H$20),'Bonding Program'!$AA$20,0)-IF(AA$3&lt;='Bonding Program'!$C$8,IF(AND('Bonding Program'!$K$20&lt;&gt;"",AA$3='Bonding Program'!$K$20),'Bonding Program'!$J$20,0)-IF(AND('Bonding Program'!$M$20&lt;&gt;"",AA$3='Bonding Program'!$M$20),'Bonding Program'!$L$20,0)-IF(AND('Bonding Program'!$P$20&lt;&gt;"",AA$3='Bonding Program'!$P$20),'Bonding Program'!$O$20,0)-IF(AND('Bonding Program'!$R$20&lt;&gt;"",AA$3='Bonding Program'!$R$20),'Bonding Program'!$Q$20,0),0)</f>
        <v>0</v>
      </c>
      <c r="AB161" s="19" t="n">
        <f aca="false">IF(AND('Bonding Program'!$S$20=1,AB$3='Bonding Program'!$H$20),'Bonding Program'!$AA$20,0)-IF(AB$3&lt;='Bonding Program'!$C$8,IF(AND('Bonding Program'!$K$20&lt;&gt;"",AB$3='Bonding Program'!$K$20),'Bonding Program'!$J$20,0)-IF(AND('Bonding Program'!$M$20&lt;&gt;"",AB$3='Bonding Program'!$M$20),'Bonding Program'!$L$20,0)-IF(AND('Bonding Program'!$P$20&lt;&gt;"",AB$3='Bonding Program'!$P$20),'Bonding Program'!$O$20,0)-IF(AND('Bonding Program'!$R$20&lt;&gt;"",AB$3='Bonding Program'!$R$20),'Bonding Program'!$Q$20,0),0)</f>
        <v>0</v>
      </c>
      <c r="AC161" s="19" t="n">
        <f aca="false">IF(AND('Bonding Program'!$S$20=1,AC$3='Bonding Program'!$H$20),'Bonding Program'!$AA$20,0)-IF(AC$3&lt;='Bonding Program'!$C$8,IF(AND('Bonding Program'!$K$20&lt;&gt;"",AC$3='Bonding Program'!$K$20),'Bonding Program'!$J$20,0)-IF(AND('Bonding Program'!$M$20&lt;&gt;"",AC$3='Bonding Program'!$M$20),'Bonding Program'!$L$20,0)-IF(AND('Bonding Program'!$P$20&lt;&gt;"",AC$3='Bonding Program'!$P$20),'Bonding Program'!$O$20,0)-IF(AND('Bonding Program'!$R$20&lt;&gt;"",AC$3='Bonding Program'!$R$20),'Bonding Program'!$Q$20,0),0)</f>
        <v>0</v>
      </c>
      <c r="AD161" s="19" t="n">
        <f aca="false">IF(AND('Bonding Program'!$S$20=1,AD$3='Bonding Program'!$H$20),'Bonding Program'!$AA$20,0)-IF(AD$3&lt;='Bonding Program'!$C$8,IF(AND('Bonding Program'!$K$20&lt;&gt;"",AD$3='Bonding Program'!$K$20),'Bonding Program'!$J$20,0)-IF(AND('Bonding Program'!$M$20&lt;&gt;"",AD$3='Bonding Program'!$M$20),'Bonding Program'!$L$20,0)-IF(AND('Bonding Program'!$P$20&lt;&gt;"",AD$3='Bonding Program'!$P$20),'Bonding Program'!$O$20,0)-IF(AND('Bonding Program'!$R$20&lt;&gt;"",AD$3='Bonding Program'!$R$20),'Bonding Program'!$Q$20,0),0)</f>
        <v>0</v>
      </c>
      <c r="AE161" s="19" t="n">
        <f aca="false">IF(AND('Bonding Program'!$S$20=1,AE$3='Bonding Program'!$H$20),'Bonding Program'!$AA$20,0)-IF(AE$3&lt;='Bonding Program'!$C$8,IF(AND('Bonding Program'!$K$20&lt;&gt;"",AE$3='Bonding Program'!$K$20),'Bonding Program'!$J$20,0)-IF(AND('Bonding Program'!$M$20&lt;&gt;"",AE$3='Bonding Program'!$M$20),'Bonding Program'!$L$20,0)-IF(AND('Bonding Program'!$P$20&lt;&gt;"",AE$3='Bonding Program'!$P$20),'Bonding Program'!$O$20,0)-IF(AND('Bonding Program'!$R$20&lt;&gt;"",AE$3='Bonding Program'!$R$20),'Bonding Program'!$Q$20,0),0)</f>
        <v>0</v>
      </c>
      <c r="AF161" s="19" t="n">
        <f aca="false">IF(AND('Bonding Program'!$S$20=1,AF$3='Bonding Program'!$H$20),'Bonding Program'!$AA$20,0)-IF(AF$3&lt;='Bonding Program'!$C$8,IF(AND('Bonding Program'!$K$20&lt;&gt;"",AF$3='Bonding Program'!$K$20),'Bonding Program'!$J$20,0)-IF(AND('Bonding Program'!$M$20&lt;&gt;"",AF$3='Bonding Program'!$M$20),'Bonding Program'!$L$20,0)-IF(AND('Bonding Program'!$P$20&lt;&gt;"",AF$3='Bonding Program'!$P$20),'Bonding Program'!$O$20,0)-IF(AND('Bonding Program'!$R$20&lt;&gt;"",AF$3='Bonding Program'!$R$20),'Bonding Program'!$Q$20,0),0)</f>
        <v>0</v>
      </c>
      <c r="AG161" s="19" t="n">
        <f aca="false">IF(AND('Bonding Program'!$S$20=1,AG$3='Bonding Program'!$H$20),'Bonding Program'!$AA$20,0)-IF(AG$3&lt;='Bonding Program'!$C$8,IF(AND('Bonding Program'!$K$20&lt;&gt;"",AG$3='Bonding Program'!$K$20),'Bonding Program'!$J$20,0)-IF(AND('Bonding Program'!$M$20&lt;&gt;"",AG$3='Bonding Program'!$M$20),'Bonding Program'!$L$20,0)-IF(AND('Bonding Program'!$P$20&lt;&gt;"",AG$3='Bonding Program'!$P$20),'Bonding Program'!$O$20,0)-IF(AND('Bonding Program'!$R$20&lt;&gt;"",AG$3='Bonding Program'!$R$20),'Bonding Program'!$Q$20,0),0)</f>
        <v>0</v>
      </c>
      <c r="AH161" s="19" t="n">
        <f aca="false">IF(AND('Bonding Program'!$S$20=1,AH$3='Bonding Program'!$H$20),'Bonding Program'!$AA$20,0)-IF(AH$3&lt;='Bonding Program'!$C$8,IF(AND('Bonding Program'!$K$20&lt;&gt;"",AH$3='Bonding Program'!$K$20),'Bonding Program'!$J$20,0)-IF(AND('Bonding Program'!$M$20&lt;&gt;"",AH$3='Bonding Program'!$M$20),'Bonding Program'!$L$20,0)-IF(AND('Bonding Program'!$P$20&lt;&gt;"",AH$3='Bonding Program'!$P$20),'Bonding Program'!$O$20,0)-IF(AND('Bonding Program'!$R$20&lt;&gt;"",AH$3='Bonding Program'!$R$20),'Bonding Program'!$Q$20,0),0)</f>
        <v>0</v>
      </c>
      <c r="AI161" s="19" t="n">
        <f aca="false">IF(AND('Bonding Program'!$S$20=1,AI$3='Bonding Program'!$H$20),'Bonding Program'!$AA$20,0)-IF(AI$3&lt;='Bonding Program'!$C$8,IF(AND('Bonding Program'!$K$20&lt;&gt;"",AI$3='Bonding Program'!$K$20),'Bonding Program'!$J$20,0)-IF(AND('Bonding Program'!$M$20&lt;&gt;"",AI$3='Bonding Program'!$M$20),'Bonding Program'!$L$20,0)-IF(AND('Bonding Program'!$P$20&lt;&gt;"",AI$3='Bonding Program'!$P$20),'Bonding Program'!$O$20,0)-IF(AND('Bonding Program'!$R$20&lt;&gt;"",AI$3='Bonding Program'!$R$20),'Bonding Program'!$Q$20,0),0)</f>
        <v>0</v>
      </c>
      <c r="AJ161" s="19" t="n">
        <f aca="false">IF(AND('Bonding Program'!$S$20=1,AJ$3='Bonding Program'!$H$20),'Bonding Program'!$AA$20,0)-IF(AJ$3&lt;='Bonding Program'!$C$8,IF(AND('Bonding Program'!$K$20&lt;&gt;"",AJ$3='Bonding Program'!$K$20),'Bonding Program'!$J$20,0)-IF(AND('Bonding Program'!$M$20&lt;&gt;"",AJ$3='Bonding Program'!$M$20),'Bonding Program'!$L$20,0)-IF(AND('Bonding Program'!$P$20&lt;&gt;"",AJ$3='Bonding Program'!$P$20),'Bonding Program'!$O$20,0)-IF(AND('Bonding Program'!$R$20&lt;&gt;"",AJ$3='Bonding Program'!$R$20),'Bonding Program'!$Q$20,0),0)</f>
        <v>0</v>
      </c>
      <c r="AK161" s="19" t="n">
        <f aca="false">IF(AND('Bonding Program'!$S$20=1,AK$3='Bonding Program'!$H$20),'Bonding Program'!$AA$20,0)-IF(AK$3&lt;='Bonding Program'!$C$8,IF(AND('Bonding Program'!$K$20&lt;&gt;"",AK$3='Bonding Program'!$K$20),'Bonding Program'!$J$20,0)-IF(AND('Bonding Program'!$M$20&lt;&gt;"",AK$3='Bonding Program'!$M$20),'Bonding Program'!$L$20,0)-IF(AND('Bonding Program'!$P$20&lt;&gt;"",AK$3='Bonding Program'!$P$20),'Bonding Program'!$O$20,0)-IF(AND('Bonding Program'!$R$20&lt;&gt;"",AK$3='Bonding Program'!$R$20),'Bonding Program'!$Q$20,0),0)</f>
        <v>0</v>
      </c>
      <c r="AL161" s="19" t="n">
        <f aca="false">IF(AND('Bonding Program'!$S$20=1,AL$3='Bonding Program'!$H$20),'Bonding Program'!$AA$20,0)-IF(AL$3&lt;='Bonding Program'!$C$8,IF(AND('Bonding Program'!$K$20&lt;&gt;"",AL$3='Bonding Program'!$K$20),'Bonding Program'!$J$20,0)-IF(AND('Bonding Program'!$M$20&lt;&gt;"",AL$3='Bonding Program'!$M$20),'Bonding Program'!$L$20,0)-IF(AND('Bonding Program'!$P$20&lt;&gt;"",AL$3='Bonding Program'!$P$20),'Bonding Program'!$O$20,0)-IF(AND('Bonding Program'!$R$20&lt;&gt;"",AL$3='Bonding Program'!$R$20),'Bonding Program'!$Q$20,0),0)</f>
        <v>0</v>
      </c>
      <c r="AM161" s="19" t="n">
        <f aca="false">IF(AND('Bonding Program'!$S$20=1,AM$3='Bonding Program'!$H$20),'Bonding Program'!$AA$20,0)-IF(AM$3&lt;='Bonding Program'!$C$8,IF(AND('Bonding Program'!$K$20&lt;&gt;"",AM$3='Bonding Program'!$K$20),'Bonding Program'!$J$20,0)-IF(AND('Bonding Program'!$M$20&lt;&gt;"",AM$3='Bonding Program'!$M$20),'Bonding Program'!$L$20,0)-IF(AND('Bonding Program'!$P$20&lt;&gt;"",AM$3='Bonding Program'!$P$20),'Bonding Program'!$O$20,0)-IF(AND('Bonding Program'!$R$20&lt;&gt;"",AM$3='Bonding Program'!$R$20),'Bonding Program'!$Q$20,0),0)</f>
        <v>0</v>
      </c>
      <c r="AN161" s="19" t="n">
        <f aca="false">IF(AND('Bonding Program'!$S$20=1,AN$3='Bonding Program'!$H$20),'Bonding Program'!$AA$20,0)-IF(AN$3&lt;='Bonding Program'!$C$8,IF(AND('Bonding Program'!$K$20&lt;&gt;"",AN$3='Bonding Program'!$K$20),'Bonding Program'!$J$20,0)-IF(AND('Bonding Program'!$M$20&lt;&gt;"",AN$3='Bonding Program'!$M$20),'Bonding Program'!$L$20,0)-IF(AND('Bonding Program'!$P$20&lt;&gt;"",AN$3='Bonding Program'!$P$20),'Bonding Program'!$O$20,0)-IF(AND('Bonding Program'!$R$20&lt;&gt;"",AN$3='Bonding Program'!$R$20),'Bonding Program'!$Q$20,0),0)</f>
        <v>0</v>
      </c>
      <c r="AO161" s="19" t="n">
        <f aca="false">IF(AND('Bonding Program'!$S$20=1,AO$3='Bonding Program'!$H$20),'Bonding Program'!$AA$20,0)-IF(AO$3&lt;='Bonding Program'!$C$8,IF(AND('Bonding Program'!$K$20&lt;&gt;"",AO$3='Bonding Program'!$K$20),'Bonding Program'!$J$20,0)-IF(AND('Bonding Program'!$M$20&lt;&gt;"",AO$3='Bonding Program'!$M$20),'Bonding Program'!$L$20,0)-IF(AND('Bonding Program'!$P$20&lt;&gt;"",AO$3='Bonding Program'!$P$20),'Bonding Program'!$O$20,0)-IF(AND('Bonding Program'!$R$20&lt;&gt;"",AO$3='Bonding Program'!$R$20),'Bonding Program'!$Q$20,0),0)</f>
        <v>0</v>
      </c>
      <c r="AP161" s="19" t="n">
        <f aca="false">IF(AND('Bonding Program'!$S$20=1,AP$3='Bonding Program'!$H$20),'Bonding Program'!$AA$20,0)-IF(AP$3&lt;='Bonding Program'!$C$8,IF(AND('Bonding Program'!$K$20&lt;&gt;"",AP$3='Bonding Program'!$K$20),'Bonding Program'!$J$20,0)-IF(AND('Bonding Program'!$M$20&lt;&gt;"",AP$3='Bonding Program'!$M$20),'Bonding Program'!$L$20,0)-IF(AND('Bonding Program'!$P$20&lt;&gt;"",AP$3='Bonding Program'!$P$20),'Bonding Program'!$O$20,0)-IF(AND('Bonding Program'!$R$20&lt;&gt;"",AP$3='Bonding Program'!$R$20),'Bonding Program'!$Q$20,0),0)</f>
        <v>0</v>
      </c>
      <c r="AQ161" s="19" t="n">
        <f aca="false">IF(AND('Bonding Program'!$S$20=1,AQ$3='Bonding Program'!$H$20),'Bonding Program'!$AA$20,0)-IF(AQ$3&lt;='Bonding Program'!$C$8,IF(AND('Bonding Program'!$K$20&lt;&gt;"",AQ$3='Bonding Program'!$K$20),'Bonding Program'!$J$20,0)-IF(AND('Bonding Program'!$M$20&lt;&gt;"",AQ$3='Bonding Program'!$M$20),'Bonding Program'!$L$20,0)-IF(AND('Bonding Program'!$P$20&lt;&gt;"",AQ$3='Bonding Program'!$P$20),'Bonding Program'!$O$20,0)-IF(AND('Bonding Program'!$R$20&lt;&gt;"",AQ$3='Bonding Program'!$R$20),'Bonding Program'!$Q$20,0),0)</f>
        <v>0</v>
      </c>
      <c r="AR161" s="19" t="n">
        <f aca="false">IF(AND('Bonding Program'!$S$20=1,AR$3='Bonding Program'!$H$20),'Bonding Program'!$AA$20,0)-IF(AR$3&lt;='Bonding Program'!$C$8,IF(AND('Bonding Program'!$K$20&lt;&gt;"",AR$3='Bonding Program'!$K$20),'Bonding Program'!$J$20,0)-IF(AND('Bonding Program'!$M$20&lt;&gt;"",AR$3='Bonding Program'!$M$20),'Bonding Program'!$L$20,0)-IF(AND('Bonding Program'!$P$20&lt;&gt;"",AR$3='Bonding Program'!$P$20),'Bonding Program'!$O$20,0)-IF(AND('Bonding Program'!$R$20&lt;&gt;"",AR$3='Bonding Program'!$R$20),'Bonding Program'!$Q$20,0),0)</f>
        <v>0</v>
      </c>
      <c r="AS161" s="19" t="n">
        <f aca="false">IF(AND('Bonding Program'!$S$20=1,AS$3='Bonding Program'!$H$20),'Bonding Program'!$AA$20,0)-IF(AS$3&lt;='Bonding Program'!$C$8,IF(AND('Bonding Program'!$K$20&lt;&gt;"",AS$3='Bonding Program'!$K$20),'Bonding Program'!$J$20,0)-IF(AND('Bonding Program'!$M$20&lt;&gt;"",AS$3='Bonding Program'!$M$20),'Bonding Program'!$L$20,0)-IF(AND('Bonding Program'!$P$20&lt;&gt;"",AS$3='Bonding Program'!$P$20),'Bonding Program'!$O$20,0)-IF(AND('Bonding Program'!$R$20&lt;&gt;"",AS$3='Bonding Program'!$R$20),'Bonding Program'!$Q$20,0),0)</f>
        <v>0</v>
      </c>
      <c r="AT161" s="19" t="n">
        <f aca="false">IF(AND('Bonding Program'!$S$20=1,AT$3='Bonding Program'!$H$20),'Bonding Program'!$AA$20,0)-IF(AT$3&lt;='Bonding Program'!$C$8,IF(AND('Bonding Program'!$K$20&lt;&gt;"",AT$3='Bonding Program'!$K$20),'Bonding Program'!$J$20,0)-IF(AND('Bonding Program'!$M$20&lt;&gt;"",AT$3='Bonding Program'!$M$20),'Bonding Program'!$L$20,0)-IF(AND('Bonding Program'!$P$20&lt;&gt;"",AT$3='Bonding Program'!$P$20),'Bonding Program'!$O$20,0)-IF(AND('Bonding Program'!$R$20&lt;&gt;"",AT$3='Bonding Program'!$R$20),'Bonding Program'!$Q$20,0),0)</f>
        <v>0</v>
      </c>
      <c r="AU161" s="19" t="n">
        <f aca="false">IF(AND('Bonding Program'!$S$20=1,AU$3='Bonding Program'!$H$20),'Bonding Program'!$AA$20,0)-IF(AU$3&lt;='Bonding Program'!$C$8,IF(AND('Bonding Program'!$K$20&lt;&gt;"",AU$3='Bonding Program'!$K$20),'Bonding Program'!$J$20,0)-IF(AND('Bonding Program'!$M$20&lt;&gt;"",AU$3='Bonding Program'!$M$20),'Bonding Program'!$L$20,0)-IF(AND('Bonding Program'!$P$20&lt;&gt;"",AU$3='Bonding Program'!$P$20),'Bonding Program'!$O$20,0)-IF(AND('Bonding Program'!$R$20&lt;&gt;"",AU$3='Bonding Program'!$R$20),'Bonding Program'!$Q$20,0),0)</f>
        <v>0</v>
      </c>
      <c r="AV161" s="19" t="n">
        <f aca="false">IF(AND('Bonding Program'!$S$20=1,AV$3='Bonding Program'!$H$20),'Bonding Program'!$AA$20,0)-IF(AV$3&lt;='Bonding Program'!$C$8,IF(AND('Bonding Program'!$K$20&lt;&gt;"",AV$3='Bonding Program'!$K$20),'Bonding Program'!$J$20,0)-IF(AND('Bonding Program'!$M$20&lt;&gt;"",AV$3='Bonding Program'!$M$20),'Bonding Program'!$L$20,0)-IF(AND('Bonding Program'!$P$20&lt;&gt;"",AV$3='Bonding Program'!$P$20),'Bonding Program'!$O$20,0)-IF(AND('Bonding Program'!$R$20&lt;&gt;"",AV$3='Bonding Program'!$R$20),'Bonding Program'!$Q$20,0),0)</f>
        <v>0</v>
      </c>
      <c r="AW161" s="19" t="n">
        <f aca="false">IF(AND('Bonding Program'!$S$20=1,AW$3='Bonding Program'!$H$20),'Bonding Program'!$AA$20,0)-IF(AW$3&lt;='Bonding Program'!$C$8,IF(AND('Bonding Program'!$K$20&lt;&gt;"",AW$3='Bonding Program'!$K$20),'Bonding Program'!$J$20,0)-IF(AND('Bonding Program'!$M$20&lt;&gt;"",AW$3='Bonding Program'!$M$20),'Bonding Program'!$L$20,0)-IF(AND('Bonding Program'!$P$20&lt;&gt;"",AW$3='Bonding Program'!$P$20),'Bonding Program'!$O$20,0)-IF(AND('Bonding Program'!$R$20&lt;&gt;"",AW$3='Bonding Program'!$R$20),'Bonding Program'!$Q$20,0),0)</f>
        <v>0</v>
      </c>
      <c r="AX161" s="19" t="n">
        <f aca="false">IF(AND('Bonding Program'!$S$20=1,AX$3='Bonding Program'!$H$20),'Bonding Program'!$AA$20,0)-IF(AX$3&lt;='Bonding Program'!$C$8,IF(AND('Bonding Program'!$K$20&lt;&gt;"",AX$3='Bonding Program'!$K$20),'Bonding Program'!$J$20,0)-IF(AND('Bonding Program'!$M$20&lt;&gt;"",AX$3='Bonding Program'!$M$20),'Bonding Program'!$L$20,0)-IF(AND('Bonding Program'!$P$20&lt;&gt;"",AX$3='Bonding Program'!$P$20),'Bonding Program'!$O$20,0)-IF(AND('Bonding Program'!$R$20&lt;&gt;"",AX$3='Bonding Program'!$R$20),'Bonding Program'!$Q$20,0),0)</f>
        <v>0</v>
      </c>
      <c r="AY161" s="19" t="n">
        <f aca="false">IF(AND('Bonding Program'!$S$20=1,AY$3='Bonding Program'!$H$20),'Bonding Program'!$AA$20,0)-IF(AY$3&lt;='Bonding Program'!$C$8,IF(AND('Bonding Program'!$K$20&lt;&gt;"",AY$3='Bonding Program'!$K$20),'Bonding Program'!$J$20,0)-IF(AND('Bonding Program'!$M$20&lt;&gt;"",AY$3='Bonding Program'!$M$20),'Bonding Program'!$L$20,0)-IF(AND('Bonding Program'!$P$20&lt;&gt;"",AY$3='Bonding Program'!$P$20),'Bonding Program'!$O$20,0)-IF(AND('Bonding Program'!$R$20&lt;&gt;"",AY$3='Bonding Program'!$R$20),'Bonding Program'!$Q$20,0),0)</f>
        <v>0</v>
      </c>
      <c r="AZ161" s="19" t="n">
        <f aca="false">IF(AND('Bonding Program'!$S$20=1,AZ$3='Bonding Program'!$H$20),'Bonding Program'!$AA$20,0)-IF(AZ$3&lt;='Bonding Program'!$C$8,IF(AND('Bonding Program'!$K$20&lt;&gt;"",AZ$3='Bonding Program'!$K$20),'Bonding Program'!$J$20,0)-IF(AND('Bonding Program'!$M$20&lt;&gt;"",AZ$3='Bonding Program'!$M$20),'Bonding Program'!$L$20,0)-IF(AND('Bonding Program'!$P$20&lt;&gt;"",AZ$3='Bonding Program'!$P$20),'Bonding Program'!$O$20,0)-IF(AND('Bonding Program'!$R$20&lt;&gt;"",AZ$3='Bonding Program'!$R$20),'Bonding Program'!$Q$20,0),0)</f>
        <v>0</v>
      </c>
      <c r="BA161" s="19" t="n">
        <f aca="false">IF(AND('Bonding Program'!$S$20=1,BA$3='Bonding Program'!$H$20),'Bonding Program'!$AA$20,0)-IF(BA$3&lt;='Bonding Program'!$C$8,IF(AND('Bonding Program'!$K$20&lt;&gt;"",BA$3='Bonding Program'!$K$20),'Bonding Program'!$J$20,0)-IF(AND('Bonding Program'!$M$20&lt;&gt;"",BA$3='Bonding Program'!$M$20),'Bonding Program'!$L$20,0)-IF(AND('Bonding Program'!$P$20&lt;&gt;"",BA$3='Bonding Program'!$P$20),'Bonding Program'!$O$20,0)-IF(AND('Bonding Program'!$R$20&lt;&gt;"",BA$3='Bonding Program'!$R$20),'Bonding Program'!$Q$20,0),0)</f>
        <v>0</v>
      </c>
      <c r="BB161" s="19" t="n">
        <f aca="false">IF(AND('Bonding Program'!$S$20=1,BB$3='Bonding Program'!$H$20),'Bonding Program'!$AA$20,0)-IF(BB$3&lt;='Bonding Program'!$C$8,IF(AND('Bonding Program'!$K$20&lt;&gt;"",BB$3='Bonding Program'!$K$20),'Bonding Program'!$J$20,0)-IF(AND('Bonding Program'!$M$20&lt;&gt;"",BB$3='Bonding Program'!$M$20),'Bonding Program'!$L$20,0)-IF(AND('Bonding Program'!$P$20&lt;&gt;"",BB$3='Bonding Program'!$P$20),'Bonding Program'!$O$20,0)-IF(AND('Bonding Program'!$R$20&lt;&gt;"",BB$3='Bonding Program'!$R$20),'Bonding Program'!$Q$20,0),0)</f>
        <v>0</v>
      </c>
      <c r="BC161" s="19" t="n">
        <f aca="false">IF(AND('Bonding Program'!$S$20=1,BC$3='Bonding Program'!$H$20),'Bonding Program'!$AA$20,0)-IF(BC$3&lt;='Bonding Program'!$C$8,IF(AND('Bonding Program'!$K$20&lt;&gt;"",BC$3='Bonding Program'!$K$20),'Bonding Program'!$J$20,0)-IF(AND('Bonding Program'!$M$20&lt;&gt;"",BC$3='Bonding Program'!$M$20),'Bonding Program'!$L$20,0)-IF(AND('Bonding Program'!$P$20&lt;&gt;"",BC$3='Bonding Program'!$P$20),'Bonding Program'!$O$20,0)-IF(AND('Bonding Program'!$R$20&lt;&gt;"",BC$3='Bonding Program'!$R$20),'Bonding Program'!$Q$20,0),0)</f>
        <v>0</v>
      </c>
      <c r="BD161" s="19" t="n">
        <f aca="false">IF(AND('Bonding Program'!$S$20=1,BD$3='Bonding Program'!$H$20),'Bonding Program'!$AA$20,0)-IF(BD$3&lt;='Bonding Program'!$C$8,IF(AND('Bonding Program'!$K$20&lt;&gt;"",BD$3='Bonding Program'!$K$20),'Bonding Program'!$J$20,0)-IF(AND('Bonding Program'!$M$20&lt;&gt;"",BD$3='Bonding Program'!$M$20),'Bonding Program'!$L$20,0)-IF(AND('Bonding Program'!$P$20&lt;&gt;"",BD$3='Bonding Program'!$P$20),'Bonding Program'!$O$20,0)-IF(AND('Bonding Program'!$R$20&lt;&gt;"",BD$3='Bonding Program'!$R$20),'Bonding Program'!$Q$20,0),0)</f>
        <v>0</v>
      </c>
      <c r="BE161" s="19" t="n">
        <f aca="false">IF(AND('Bonding Program'!$S$20=1,BE$3='Bonding Program'!$H$20),'Bonding Program'!$AA$20,0)-IF(BE$3&lt;='Bonding Program'!$C$8,IF(AND('Bonding Program'!$K$20&lt;&gt;"",BE$3='Bonding Program'!$K$20),'Bonding Program'!$J$20,0)-IF(AND('Bonding Program'!$M$20&lt;&gt;"",BE$3='Bonding Program'!$M$20),'Bonding Program'!$L$20,0)-IF(AND('Bonding Program'!$P$20&lt;&gt;"",BE$3='Bonding Program'!$P$20),'Bonding Program'!$O$20,0)-IF(AND('Bonding Program'!$R$20&lt;&gt;"",BE$3='Bonding Program'!$R$20),'Bonding Program'!$Q$20,0),0)</f>
        <v>0</v>
      </c>
      <c r="BF161" s="19" t="n">
        <f aca="false">IF(AND('Bonding Program'!$S$20=1,BF$3='Bonding Program'!$H$20),'Bonding Program'!$AA$20,0)-IF(BF$3&lt;='Bonding Program'!$C$8,IF(AND('Bonding Program'!$K$20&lt;&gt;"",BF$3='Bonding Program'!$K$20),'Bonding Program'!$J$20,0)-IF(AND('Bonding Program'!$M$20&lt;&gt;"",BF$3='Bonding Program'!$M$20),'Bonding Program'!$L$20,0)-IF(AND('Bonding Program'!$P$20&lt;&gt;"",BF$3='Bonding Program'!$P$20),'Bonding Program'!$O$20,0)-IF(AND('Bonding Program'!$R$20&lt;&gt;"",BF$3='Bonding Program'!$R$20),'Bonding Program'!$Q$20,0),0)</f>
        <v>0</v>
      </c>
      <c r="BG161" s="19" t="n">
        <f aca="false">IF(AND('Bonding Program'!$S$20=1,BG$3='Bonding Program'!$H$20),'Bonding Program'!$AA$20,0)-IF(BG$3&lt;='Bonding Program'!$C$8,IF(AND('Bonding Program'!$K$20&lt;&gt;"",BG$3='Bonding Program'!$K$20),'Bonding Program'!$J$20,0)-IF(AND('Bonding Program'!$M$20&lt;&gt;"",BG$3='Bonding Program'!$M$20),'Bonding Program'!$L$20,0)-IF(AND('Bonding Program'!$P$20&lt;&gt;"",BG$3='Bonding Program'!$P$20),'Bonding Program'!$O$20,0)-IF(AND('Bonding Program'!$R$20&lt;&gt;"",BG$3='Bonding Program'!$R$20),'Bonding Program'!$Q$20,0),0)</f>
        <v>0</v>
      </c>
      <c r="BH161" s="19" t="n">
        <f aca="false">IF(AND('Bonding Program'!$S$20=1,BH$3='Bonding Program'!$H$20),'Bonding Program'!$AA$20,0)-IF(BH$3&lt;='Bonding Program'!$C$8,IF(AND('Bonding Program'!$K$20&lt;&gt;"",BH$3='Bonding Program'!$K$20),'Bonding Program'!$J$20,0)-IF(AND('Bonding Program'!$M$20&lt;&gt;"",BH$3='Bonding Program'!$M$20),'Bonding Program'!$L$20,0)-IF(AND('Bonding Program'!$P$20&lt;&gt;"",BH$3='Bonding Program'!$P$20),'Bonding Program'!$O$20,0)-IF(AND('Bonding Program'!$R$20&lt;&gt;"",BH$3='Bonding Program'!$R$20),'Bonding Program'!$Q$20,0),0)</f>
        <v>0</v>
      </c>
      <c r="BI161" s="19" t="n">
        <f aca="false">IF(AND('Bonding Program'!$S$20=1,BI$3='Bonding Program'!$H$20),'Bonding Program'!$AA$20,0)-IF(BI$3&lt;='Bonding Program'!$C$8,IF(AND('Bonding Program'!$K$20&lt;&gt;"",BI$3='Bonding Program'!$K$20),'Bonding Program'!$J$20,0)-IF(AND('Bonding Program'!$M$20&lt;&gt;"",BI$3='Bonding Program'!$M$20),'Bonding Program'!$L$20,0)-IF(AND('Bonding Program'!$P$20&lt;&gt;"",BI$3='Bonding Program'!$P$20),'Bonding Program'!$O$20,0)-IF(AND('Bonding Program'!$R$20&lt;&gt;"",BI$3='Bonding Program'!$R$20),'Bonding Program'!$Q$20,0),0)</f>
        <v>0</v>
      </c>
      <c r="BJ161" s="19" t="n">
        <f aca="false">IF(AND('Bonding Program'!$S$20=1,BJ$3='Bonding Program'!$H$20),'Bonding Program'!$AA$20,0)-IF(BJ$3&lt;='Bonding Program'!$C$8,IF(AND('Bonding Program'!$K$20&lt;&gt;"",BJ$3='Bonding Program'!$K$20),'Bonding Program'!$J$20,0)-IF(AND('Bonding Program'!$M$20&lt;&gt;"",BJ$3='Bonding Program'!$M$20),'Bonding Program'!$L$20,0)-IF(AND('Bonding Program'!$P$20&lt;&gt;"",BJ$3='Bonding Program'!$P$20),'Bonding Program'!$O$20,0)-IF(AND('Bonding Program'!$R$20&lt;&gt;"",BJ$3='Bonding Program'!$R$20),'Bonding Program'!$Q$20,0),0)</f>
        <v>0</v>
      </c>
      <c r="BK161" s="19" t="n">
        <f aca="false">IF(AND('Bonding Program'!$S$20=1,BK$3='Bonding Program'!$H$20),'Bonding Program'!$AA$20,0)-IF(BK$3&lt;='Bonding Program'!$C$8,IF(AND('Bonding Program'!$K$20&lt;&gt;"",BK$3='Bonding Program'!$K$20),'Bonding Program'!$J$20,0)-IF(AND('Bonding Program'!$M$20&lt;&gt;"",BK$3='Bonding Program'!$M$20),'Bonding Program'!$L$20,0)-IF(AND('Bonding Program'!$P$20&lt;&gt;"",BK$3='Bonding Program'!$P$20),'Bonding Program'!$O$20,0)-IF(AND('Bonding Program'!$R$20&lt;&gt;"",BK$3='Bonding Program'!$R$20),'Bonding Program'!$Q$20,0),0)</f>
        <v>0</v>
      </c>
      <c r="BL161" s="19" t="n">
        <f aca="false">IF(AND('Bonding Program'!$S$20=1,BL$3='Bonding Program'!$H$20),'Bonding Program'!$AA$20,0)-IF(BL$3&lt;='Bonding Program'!$C$8,IF(AND('Bonding Program'!$K$20&lt;&gt;"",BL$3='Bonding Program'!$K$20),'Bonding Program'!$J$20,0)-IF(AND('Bonding Program'!$M$20&lt;&gt;"",BL$3='Bonding Program'!$M$20),'Bonding Program'!$L$20,0)-IF(AND('Bonding Program'!$P$20&lt;&gt;"",BL$3='Bonding Program'!$P$20),'Bonding Program'!$O$20,0)-IF(AND('Bonding Program'!$R$20&lt;&gt;"",BL$3='Bonding Program'!$R$20),'Bonding Program'!$Q$20,0),0)</f>
        <v>0</v>
      </c>
      <c r="BM161" s="19" t="n">
        <f aca="false">IF(AND('Bonding Program'!$S$20=1,BM$3='Bonding Program'!$H$20),'Bonding Program'!$AA$20,0)-IF(BM$3&lt;='Bonding Program'!$C$8,IF(AND('Bonding Program'!$K$20&lt;&gt;"",BM$3='Bonding Program'!$K$20),'Bonding Program'!$J$20,0)-IF(AND('Bonding Program'!$M$20&lt;&gt;"",BM$3='Bonding Program'!$M$20),'Bonding Program'!$L$20,0)-IF(AND('Bonding Program'!$P$20&lt;&gt;"",BM$3='Bonding Program'!$P$20),'Bonding Program'!$O$20,0)-IF(AND('Bonding Program'!$R$20&lt;&gt;"",BM$3='Bonding Program'!$R$20),'Bonding Program'!$Q$20,0),0)</f>
        <v>0</v>
      </c>
      <c r="BN161" s="19" t="n">
        <f aca="false">IF(AND('Bonding Program'!$S$20=1,BN$3='Bonding Program'!$H$20),'Bonding Program'!$AA$20,0)-IF(BN$3&lt;='Bonding Program'!$C$8,IF(AND('Bonding Program'!$K$20&lt;&gt;"",BN$3='Bonding Program'!$K$20),'Bonding Program'!$J$20,0)-IF(AND('Bonding Program'!$M$20&lt;&gt;"",BN$3='Bonding Program'!$M$20),'Bonding Program'!$L$20,0)-IF(AND('Bonding Program'!$P$20&lt;&gt;"",BN$3='Bonding Program'!$P$20),'Bonding Program'!$O$20,0)-IF(AND('Bonding Program'!$R$20&lt;&gt;"",BN$3='Bonding Program'!$R$20),'Bonding Program'!$Q$20,0),0)</f>
        <v>0</v>
      </c>
      <c r="BO161" s="19" t="n">
        <f aca="false">IF(AND('Bonding Program'!$S$20=1,BO$3='Bonding Program'!$H$20),'Bonding Program'!$AA$20,0)-IF(BO$3&lt;='Bonding Program'!$C$8,IF(AND('Bonding Program'!$K$20&lt;&gt;"",BO$3='Bonding Program'!$K$20),'Bonding Program'!$J$20,0)-IF(AND('Bonding Program'!$M$20&lt;&gt;"",BO$3='Bonding Program'!$M$20),'Bonding Program'!$L$20,0)-IF(AND('Bonding Program'!$P$20&lt;&gt;"",BO$3='Bonding Program'!$P$20),'Bonding Program'!$O$20,0)-IF(AND('Bonding Program'!$R$20&lt;&gt;"",BO$3='Bonding Program'!$R$20),'Bonding Program'!$Q$20,0),0)</f>
        <v>0</v>
      </c>
      <c r="BP161" s="19" t="n">
        <f aca="false">IF(AND('Bonding Program'!$S$20=1,BP$3='Bonding Program'!$H$20),'Bonding Program'!$AA$20,0)-IF(BP$3&lt;='Bonding Program'!$C$8,IF(AND('Bonding Program'!$K$20&lt;&gt;"",BP$3='Bonding Program'!$K$20),'Bonding Program'!$J$20,0)-IF(AND('Bonding Program'!$M$20&lt;&gt;"",BP$3='Bonding Program'!$M$20),'Bonding Program'!$L$20,0)-IF(AND('Bonding Program'!$P$20&lt;&gt;"",BP$3='Bonding Program'!$P$20),'Bonding Program'!$O$20,0)-IF(AND('Bonding Program'!$R$20&lt;&gt;"",BP$3='Bonding Program'!$R$20),'Bonding Program'!$Q$20,0),0)</f>
        <v>0</v>
      </c>
      <c r="BQ161" s="19" t="n">
        <f aca="false">IF(AND('Bonding Program'!$S$20=1,BQ$3='Bonding Program'!$H$20),'Bonding Program'!$AA$20,0)-IF(BQ$3&lt;='Bonding Program'!$C$8,IF(AND('Bonding Program'!$K$20&lt;&gt;"",BQ$3='Bonding Program'!$K$20),'Bonding Program'!$J$20,0)-IF(AND('Bonding Program'!$M$20&lt;&gt;"",BQ$3='Bonding Program'!$M$20),'Bonding Program'!$L$20,0)-IF(AND('Bonding Program'!$P$20&lt;&gt;"",BQ$3='Bonding Program'!$P$20),'Bonding Program'!$O$20,0)-IF(AND('Bonding Program'!$R$20&lt;&gt;"",BQ$3='Bonding Program'!$R$20),'Bonding Program'!$Q$20,0),0)</f>
        <v>0</v>
      </c>
      <c r="BR161" s="19" t="n">
        <f aca="false">IF(AND('Bonding Program'!$S$20=1,BR$3='Bonding Program'!$H$20),'Bonding Program'!$AA$20,0)-IF(BR$3&lt;='Bonding Program'!$C$8,IF(AND('Bonding Program'!$K$20&lt;&gt;"",BR$3='Bonding Program'!$K$20),'Bonding Program'!$J$20,0)-IF(AND('Bonding Program'!$M$20&lt;&gt;"",BR$3='Bonding Program'!$M$20),'Bonding Program'!$L$20,0)-IF(AND('Bonding Program'!$P$20&lt;&gt;"",BR$3='Bonding Program'!$P$20),'Bonding Program'!$O$20,0)-IF(AND('Bonding Program'!$R$20&lt;&gt;"",BR$3='Bonding Program'!$R$20),'Bonding Program'!$Q$20,0),0)</f>
        <v>0</v>
      </c>
      <c r="BS161" s="19" t="n">
        <f aca="false">IF(AND('Bonding Program'!$S$20=1,BS$3='Bonding Program'!$H$20),'Bonding Program'!$AA$20,0)-IF(BS$3&lt;='Bonding Program'!$C$8,IF(AND('Bonding Program'!$K$20&lt;&gt;"",BS$3='Bonding Program'!$K$20),'Bonding Program'!$J$20,0)-IF(AND('Bonding Program'!$M$20&lt;&gt;"",BS$3='Bonding Program'!$M$20),'Bonding Program'!$L$20,0)-IF(AND('Bonding Program'!$P$20&lt;&gt;"",BS$3='Bonding Program'!$P$20),'Bonding Program'!$O$20,0)-IF(AND('Bonding Program'!$R$20&lt;&gt;"",BS$3='Bonding Program'!$R$20),'Bonding Program'!$Q$20,0),0)</f>
        <v>0</v>
      </c>
      <c r="BT161" s="19" t="n">
        <f aca="false">IF(AND('Bonding Program'!$S$20=1,BT$3='Bonding Program'!$H$20),'Bonding Program'!$AA$20,0)-IF(BT$3&lt;='Bonding Program'!$C$8,IF(AND('Bonding Program'!$K$20&lt;&gt;"",BT$3='Bonding Program'!$K$20),'Bonding Program'!$J$20,0)-IF(AND('Bonding Program'!$M$20&lt;&gt;"",BT$3='Bonding Program'!$M$20),'Bonding Program'!$L$20,0)-IF(AND('Bonding Program'!$P$20&lt;&gt;"",BT$3='Bonding Program'!$P$20),'Bonding Program'!$O$20,0)-IF(AND('Bonding Program'!$R$20&lt;&gt;"",BT$3='Bonding Program'!$R$20),'Bonding Program'!$Q$20,0),0)</f>
        <v>0</v>
      </c>
      <c r="BU161" s="19" t="n">
        <f aca="false">IF(AND('Bonding Program'!$S$20=1,BU$3='Bonding Program'!$H$20),'Bonding Program'!$AA$20,0)-IF(BU$3&lt;='Bonding Program'!$C$8,IF(AND('Bonding Program'!$K$20&lt;&gt;"",BU$3='Bonding Program'!$K$20),'Bonding Program'!$J$20,0)-IF(AND('Bonding Program'!$M$20&lt;&gt;"",BU$3='Bonding Program'!$M$20),'Bonding Program'!$L$20,0)-IF(AND('Bonding Program'!$P$20&lt;&gt;"",BU$3='Bonding Program'!$P$20),'Bonding Program'!$O$20,0)-IF(AND('Bonding Program'!$R$20&lt;&gt;"",BU$3='Bonding Program'!$R$20),'Bonding Program'!$Q$20,0),0)</f>
        <v>0</v>
      </c>
      <c r="BV161" s="19" t="n">
        <f aca="false">IF(AND('Bonding Program'!$S$20=1,BV$3='Bonding Program'!$H$20),'Bonding Program'!$AA$20,0)-IF(BV$3&lt;='Bonding Program'!$C$8,IF(AND('Bonding Program'!$K$20&lt;&gt;"",BV$3='Bonding Program'!$K$20),'Bonding Program'!$J$20,0)-IF(AND('Bonding Program'!$M$20&lt;&gt;"",BV$3='Bonding Program'!$M$20),'Bonding Program'!$L$20,0)-IF(AND('Bonding Program'!$P$20&lt;&gt;"",BV$3='Bonding Program'!$P$20),'Bonding Program'!$O$20,0)-IF(AND('Bonding Program'!$R$20&lt;&gt;"",BV$3='Bonding Program'!$R$20),'Bonding Program'!$Q$20,0),0)</f>
        <v>0</v>
      </c>
      <c r="BW161" s="19" t="n">
        <f aca="false">IF(AND('Bonding Program'!$S$20=1,BW$3='Bonding Program'!$H$20),'Bonding Program'!$AA$20,0)-IF(BW$3&lt;='Bonding Program'!$C$8,IF(AND('Bonding Program'!$K$20&lt;&gt;"",BW$3='Bonding Program'!$K$20),'Bonding Program'!$J$20,0)-IF(AND('Bonding Program'!$M$20&lt;&gt;"",BW$3='Bonding Program'!$M$20),'Bonding Program'!$L$20,0)-IF(AND('Bonding Program'!$P$20&lt;&gt;"",BW$3='Bonding Program'!$P$20),'Bonding Program'!$O$20,0)-IF(AND('Bonding Program'!$R$20&lt;&gt;"",BW$3='Bonding Program'!$R$20),'Bonding Program'!$Q$20,0),0)</f>
        <v>0</v>
      </c>
      <c r="BX161" s="19" t="n">
        <f aca="false">IF(AND('Bonding Program'!$S$20=1,BX$3='Bonding Program'!$H$20),'Bonding Program'!$AA$20,0)-IF(BX$3&lt;='Bonding Program'!$C$8,IF(AND('Bonding Program'!$K$20&lt;&gt;"",BX$3='Bonding Program'!$K$20),'Bonding Program'!$J$20,0)-IF(AND('Bonding Program'!$M$20&lt;&gt;"",BX$3='Bonding Program'!$M$20),'Bonding Program'!$L$20,0)-IF(AND('Bonding Program'!$P$20&lt;&gt;"",BX$3='Bonding Program'!$P$20),'Bonding Program'!$O$20,0)-IF(AND('Bonding Program'!$R$20&lt;&gt;"",BX$3='Bonding Program'!$R$20),'Bonding Program'!$Q$20,0),0)</f>
        <v>0</v>
      </c>
      <c r="BY161" s="19" t="n">
        <f aca="false">IF(AND('Bonding Program'!$S$20=1,BY$3='Bonding Program'!$H$20),'Bonding Program'!$AA$20,0)-IF(BY$3&lt;='Bonding Program'!$C$8,IF(AND('Bonding Program'!$K$20&lt;&gt;"",BY$3='Bonding Program'!$K$20),'Bonding Program'!$J$20,0)-IF(AND('Bonding Program'!$M$20&lt;&gt;"",BY$3='Bonding Program'!$M$20),'Bonding Program'!$L$20,0)-IF(AND('Bonding Program'!$P$20&lt;&gt;"",BY$3='Bonding Program'!$P$20),'Bonding Program'!$O$20,0)-IF(AND('Bonding Program'!$R$20&lt;&gt;"",BY$3='Bonding Program'!$R$20),'Bonding Program'!$Q$20,0),0)</f>
        <v>0</v>
      </c>
      <c r="BZ161" s="19" t="n">
        <f aca="false">IF(AND('Bonding Program'!$S$20=1,BZ$3='Bonding Program'!$H$20),'Bonding Program'!$AA$20,0)-IF(BZ$3&lt;='Bonding Program'!$C$8,IF(AND('Bonding Program'!$K$20&lt;&gt;"",BZ$3='Bonding Program'!$K$20),'Bonding Program'!$J$20,0)-IF(AND('Bonding Program'!$M$20&lt;&gt;"",BZ$3='Bonding Program'!$M$20),'Bonding Program'!$L$20,0)-IF(AND('Bonding Program'!$P$20&lt;&gt;"",BZ$3='Bonding Program'!$P$20),'Bonding Program'!$O$20,0)-IF(AND('Bonding Program'!$R$20&lt;&gt;"",BZ$3='Bonding Program'!$R$20),'Bonding Program'!$Q$20,0),0)</f>
        <v>0</v>
      </c>
      <c r="CA161" s="19" t="n">
        <f aca="false">IF(AND('Bonding Program'!$S$20=1,CA$3='Bonding Program'!$H$20),'Bonding Program'!$AA$20,0)-IF(CA$3&lt;='Bonding Program'!$C$8,IF(AND('Bonding Program'!$K$20&lt;&gt;"",CA$3='Bonding Program'!$K$20),'Bonding Program'!$J$20,0)-IF(AND('Bonding Program'!$M$20&lt;&gt;"",CA$3='Bonding Program'!$M$20),'Bonding Program'!$L$20,0)-IF(AND('Bonding Program'!$P$20&lt;&gt;"",CA$3='Bonding Program'!$P$20),'Bonding Program'!$O$20,0)-IF(AND('Bonding Program'!$R$20&lt;&gt;"",CA$3='Bonding Program'!$R$20),'Bonding Program'!$Q$20,0),0)</f>
        <v>0</v>
      </c>
      <c r="CB161" s="19" t="n">
        <f aca="false">IF(AND('Bonding Program'!$S$20=1,CB$3='Bonding Program'!$H$20),'Bonding Program'!$AA$20,0)-IF(CB$3&lt;='Bonding Program'!$C$8,IF(AND('Bonding Program'!$K$20&lt;&gt;"",CB$3='Bonding Program'!$K$20),'Bonding Program'!$J$20,0)-IF(AND('Bonding Program'!$M$20&lt;&gt;"",CB$3='Bonding Program'!$M$20),'Bonding Program'!$L$20,0)-IF(AND('Bonding Program'!$P$20&lt;&gt;"",CB$3='Bonding Program'!$P$20),'Bonding Program'!$O$20,0)-IF(AND('Bonding Program'!$R$20&lt;&gt;"",CB$3='Bonding Program'!$R$20),'Bonding Program'!$Q$20,0),0)</f>
        <v>0</v>
      </c>
      <c r="CC161" s="19" t="n">
        <f aca="false">IF(AND('Bonding Program'!$S$20=1,CC$3='Bonding Program'!$H$20),'Bonding Program'!$AA$20,0)-IF(CC$3&lt;='Bonding Program'!$C$8,IF(AND('Bonding Program'!$K$20&lt;&gt;"",CC$3='Bonding Program'!$K$20),'Bonding Program'!$J$20,0)-IF(AND('Bonding Program'!$M$20&lt;&gt;"",CC$3='Bonding Program'!$M$20),'Bonding Program'!$L$20,0)-IF(AND('Bonding Program'!$P$20&lt;&gt;"",CC$3='Bonding Program'!$P$20),'Bonding Program'!$O$20,0)-IF(AND('Bonding Program'!$R$20&lt;&gt;"",CC$3='Bonding Program'!$R$20),'Bonding Program'!$Q$20,0),0)</f>
        <v>0</v>
      </c>
      <c r="CD161" s="19" t="n">
        <f aca="false">IF(AND('Bonding Program'!$S$20=1,CD$3='Bonding Program'!$H$20),'Bonding Program'!$AA$20,0)-IF(CD$3&lt;='Bonding Program'!$C$8,IF(AND('Bonding Program'!$K$20&lt;&gt;"",CD$3='Bonding Program'!$K$20),'Bonding Program'!$J$20,0)-IF(AND('Bonding Program'!$M$20&lt;&gt;"",CD$3='Bonding Program'!$M$20),'Bonding Program'!$L$20,0)-IF(AND('Bonding Program'!$P$20&lt;&gt;"",CD$3='Bonding Program'!$P$20),'Bonding Program'!$O$20,0)-IF(AND('Bonding Program'!$R$20&lt;&gt;"",CD$3='Bonding Program'!$R$20),'Bonding Program'!$Q$20,0),0)</f>
        <v>0</v>
      </c>
      <c r="CE161" s="19" t="n">
        <f aca="false">IF(AND('Bonding Program'!$S$20=1,CE$3='Bonding Program'!$H$20),'Bonding Program'!$AA$20,0)-IF(CE$3&lt;='Bonding Program'!$C$8,IF(AND('Bonding Program'!$K$20&lt;&gt;"",CE$3='Bonding Program'!$K$20),'Bonding Program'!$J$20,0)-IF(AND('Bonding Program'!$M$20&lt;&gt;"",CE$3='Bonding Program'!$M$20),'Bonding Program'!$L$20,0)-IF(AND('Bonding Program'!$P$20&lt;&gt;"",CE$3='Bonding Program'!$P$20),'Bonding Program'!$O$20,0)-IF(AND('Bonding Program'!$R$20&lt;&gt;"",CE$3='Bonding Program'!$R$20),'Bonding Program'!$Q$20,0),0)</f>
        <v>0</v>
      </c>
      <c r="CF161" s="19" t="n">
        <f aca="false">IF(AND('Bonding Program'!$S$20=1,CF$3='Bonding Program'!$H$20),'Bonding Program'!$AA$20,0)-IF(CF$3&lt;='Bonding Program'!$C$8,IF(AND('Bonding Program'!$K$20&lt;&gt;"",CF$3='Bonding Program'!$K$20),'Bonding Program'!$J$20,0)-IF(AND('Bonding Program'!$M$20&lt;&gt;"",CF$3='Bonding Program'!$M$20),'Bonding Program'!$L$20,0)-IF(AND('Bonding Program'!$P$20&lt;&gt;"",CF$3='Bonding Program'!$P$20),'Bonding Program'!$O$20,0)-IF(AND('Bonding Program'!$R$20&lt;&gt;"",CF$3='Bonding Program'!$R$20),'Bonding Program'!$Q$20,0),0)</f>
        <v>0</v>
      </c>
      <c r="CG161" s="19" t="n">
        <f aca="false">IF(AND('Bonding Program'!$S$20=1,CG$3='Bonding Program'!$H$20),'Bonding Program'!$AA$20,0)-IF(CG$3&lt;='Bonding Program'!$C$8,IF(AND('Bonding Program'!$K$20&lt;&gt;"",CG$3='Bonding Program'!$K$20),'Bonding Program'!$J$20,0)-IF(AND('Bonding Program'!$M$20&lt;&gt;"",CG$3='Bonding Program'!$M$20),'Bonding Program'!$L$20,0)-IF(AND('Bonding Program'!$P$20&lt;&gt;"",CG$3='Bonding Program'!$P$20),'Bonding Program'!$O$20,0)-IF(AND('Bonding Program'!$R$20&lt;&gt;"",CG$3='Bonding Program'!$R$20),'Bonding Program'!$Q$20,0),0)</f>
        <v>0</v>
      </c>
      <c r="CH161" s="19" t="n">
        <f aca="false">IF(AND('Bonding Program'!$S$20=1,CH$3='Bonding Program'!$H$20),'Bonding Program'!$AA$20,0)-IF(CH$3&lt;='Bonding Program'!$C$8,IF(AND('Bonding Program'!$K$20&lt;&gt;"",CH$3='Bonding Program'!$K$20),'Bonding Program'!$J$20,0)-IF(AND('Bonding Program'!$M$20&lt;&gt;"",CH$3='Bonding Program'!$M$20),'Bonding Program'!$L$20,0)-IF(AND('Bonding Program'!$P$20&lt;&gt;"",CH$3='Bonding Program'!$P$20),'Bonding Program'!$O$20,0)-IF(AND('Bonding Program'!$R$20&lt;&gt;"",CH$3='Bonding Program'!$R$20),'Bonding Program'!$Q$20,0),0)</f>
        <v>0</v>
      </c>
      <c r="CI161" s="19" t="n">
        <f aca="false">IF(AND('Bonding Program'!$S$20=1,CI$3='Bonding Program'!$H$20),'Bonding Program'!$AA$20,0)-IF(CI$3&lt;='Bonding Program'!$C$8,IF(AND('Bonding Program'!$K$20&lt;&gt;"",CI$3='Bonding Program'!$K$20),'Bonding Program'!$J$20,0)-IF(AND('Bonding Program'!$M$20&lt;&gt;"",CI$3='Bonding Program'!$M$20),'Bonding Program'!$L$20,0)-IF(AND('Bonding Program'!$P$20&lt;&gt;"",CI$3='Bonding Program'!$P$20),'Bonding Program'!$O$20,0)-IF(AND('Bonding Program'!$R$20&lt;&gt;"",CI$3='Bonding Program'!$R$20),'Bonding Program'!$Q$20,0),0)</f>
        <v>0</v>
      </c>
      <c r="CJ161" s="19" t="n">
        <f aca="false">IF(AND('Bonding Program'!$S$20=1,CJ$3='Bonding Program'!$H$20),'Bonding Program'!$AA$20,0)-IF(CJ$3&lt;='Bonding Program'!$C$8,IF(AND('Bonding Program'!$K$20&lt;&gt;"",CJ$3='Bonding Program'!$K$20),'Bonding Program'!$J$20,0)-IF(AND('Bonding Program'!$M$20&lt;&gt;"",CJ$3='Bonding Program'!$M$20),'Bonding Program'!$L$20,0)-IF(AND('Bonding Program'!$P$20&lt;&gt;"",CJ$3='Bonding Program'!$P$20),'Bonding Program'!$O$20,0)-IF(AND('Bonding Program'!$R$20&lt;&gt;"",CJ$3='Bonding Program'!$R$20),'Bonding Program'!$Q$20,0),0)</f>
        <v>0</v>
      </c>
      <c r="CK161" s="19" t="n">
        <f aca="false">IF(AND('Bonding Program'!$S$20=1,CK$3='Bonding Program'!$H$20),'Bonding Program'!$AA$20,0)-IF(CK$3&lt;='Bonding Program'!$C$8,IF(AND('Bonding Program'!$K$20&lt;&gt;"",CK$3='Bonding Program'!$K$20),'Bonding Program'!$J$20,0)-IF(AND('Bonding Program'!$M$20&lt;&gt;"",CK$3='Bonding Program'!$M$20),'Bonding Program'!$L$20,0)-IF(AND('Bonding Program'!$P$20&lt;&gt;"",CK$3='Bonding Program'!$P$20),'Bonding Program'!$O$20,0)-IF(AND('Bonding Program'!$R$20&lt;&gt;"",CK$3='Bonding Program'!$R$20),'Bonding Program'!$Q$20,0),0)</f>
        <v>0</v>
      </c>
      <c r="CL161" s="19" t="n">
        <f aca="false">IF(AND('Bonding Program'!$S$20=1,CL$3='Bonding Program'!$H$20),'Bonding Program'!$AA$20,0)-IF(CL$3&lt;='Bonding Program'!$C$8,IF(AND('Bonding Program'!$K$20&lt;&gt;"",CL$3='Bonding Program'!$K$20),'Bonding Program'!$J$20,0)-IF(AND('Bonding Program'!$M$20&lt;&gt;"",CL$3='Bonding Program'!$M$20),'Bonding Program'!$L$20,0)-IF(AND('Bonding Program'!$P$20&lt;&gt;"",CL$3='Bonding Program'!$P$20),'Bonding Program'!$O$20,0)-IF(AND('Bonding Program'!$R$20&lt;&gt;"",CL$3='Bonding Program'!$R$20),'Bonding Program'!$Q$20,0),0)</f>
        <v>0</v>
      </c>
      <c r="CM161" s="19" t="n">
        <f aca="false">IF(AND('Bonding Program'!$S$20=1,CM$3='Bonding Program'!$H$20),'Bonding Program'!$AA$20,0)-IF(CM$3&lt;='Bonding Program'!$C$8,IF(AND('Bonding Program'!$K$20&lt;&gt;"",CM$3='Bonding Program'!$K$20),'Bonding Program'!$J$20,0)-IF(AND('Bonding Program'!$M$20&lt;&gt;"",CM$3='Bonding Program'!$M$20),'Bonding Program'!$L$20,0)-IF(AND('Bonding Program'!$P$20&lt;&gt;"",CM$3='Bonding Program'!$P$20),'Bonding Program'!$O$20,0)-IF(AND('Bonding Program'!$R$20&lt;&gt;"",CM$3='Bonding Program'!$R$20),'Bonding Program'!$Q$20,0),0)</f>
        <v>0</v>
      </c>
      <c r="CN161" s="19" t="n">
        <f aca="false">IF(AND('Bonding Program'!$S$20=1,CN$3='Bonding Program'!$H$20),'Bonding Program'!$AA$20,0)-IF(CN$3&lt;='Bonding Program'!$C$8,IF(AND('Bonding Program'!$K$20&lt;&gt;"",CN$3='Bonding Program'!$K$20),'Bonding Program'!$J$20,0)-IF(AND('Bonding Program'!$M$20&lt;&gt;"",CN$3='Bonding Program'!$M$20),'Bonding Program'!$L$20,0)-IF(AND('Bonding Program'!$P$20&lt;&gt;"",CN$3='Bonding Program'!$P$20),'Bonding Program'!$O$20,0)-IF(AND('Bonding Program'!$R$20&lt;&gt;"",CN$3='Bonding Program'!$R$20),'Bonding Program'!$Q$20,0),0)</f>
        <v>0</v>
      </c>
      <c r="CO161" s="19" t="n">
        <f aca="false">IF(AND('Bonding Program'!$S$20=1,CO$3='Bonding Program'!$H$20),'Bonding Program'!$AA$20,0)-IF(CO$3&lt;='Bonding Program'!$C$8,IF(AND('Bonding Program'!$K$20&lt;&gt;"",CO$3='Bonding Program'!$K$20),'Bonding Program'!$J$20,0)-IF(AND('Bonding Program'!$M$20&lt;&gt;"",CO$3='Bonding Program'!$M$20),'Bonding Program'!$L$20,0)-IF(AND('Bonding Program'!$P$20&lt;&gt;"",CO$3='Bonding Program'!$P$20),'Bonding Program'!$O$20,0)-IF(AND('Bonding Program'!$R$20&lt;&gt;"",CO$3='Bonding Program'!$R$20),'Bonding Program'!$Q$20,0),0)</f>
        <v>0</v>
      </c>
      <c r="CP161" s="19" t="n">
        <f aca="false">IF(AND('Bonding Program'!$S$20=1,CP$3='Bonding Program'!$H$20),'Bonding Program'!$AA$20,0)-IF(CP$3&lt;='Bonding Program'!$C$8,IF(AND('Bonding Program'!$K$20&lt;&gt;"",CP$3='Bonding Program'!$K$20),'Bonding Program'!$J$20,0)-IF(AND('Bonding Program'!$M$20&lt;&gt;"",CP$3='Bonding Program'!$M$20),'Bonding Program'!$L$20,0)-IF(AND('Bonding Program'!$P$20&lt;&gt;"",CP$3='Bonding Program'!$P$20),'Bonding Program'!$O$20,0)-IF(AND('Bonding Program'!$R$20&lt;&gt;"",CP$3='Bonding Program'!$R$20),'Bonding Program'!$Q$20,0),0)</f>
        <v>0</v>
      </c>
      <c r="CQ161" s="19" t="n">
        <f aca="false">IF(AND('Bonding Program'!$S$20=1,CQ$3='Bonding Program'!$H$20),'Bonding Program'!$AA$20,0)-IF(CQ$3&lt;='Bonding Program'!$C$8,IF(AND('Bonding Program'!$K$20&lt;&gt;"",CQ$3='Bonding Program'!$K$20),'Bonding Program'!$J$20,0)-IF(AND('Bonding Program'!$M$20&lt;&gt;"",CQ$3='Bonding Program'!$M$20),'Bonding Program'!$L$20,0)-IF(AND('Bonding Program'!$P$20&lt;&gt;"",CQ$3='Bonding Program'!$P$20),'Bonding Program'!$O$20,0)-IF(AND('Bonding Program'!$R$20&lt;&gt;"",CQ$3='Bonding Program'!$R$20),'Bonding Program'!$Q$20,0),0)</f>
        <v>0</v>
      </c>
      <c r="CR161" s="19" t="n">
        <f aca="false">IF(AND('Bonding Program'!$S$20=1,CR$3='Bonding Program'!$H$20),'Bonding Program'!$AA$20,0)-IF(CR$3&lt;='Bonding Program'!$C$8,IF(AND('Bonding Program'!$K$20&lt;&gt;"",CR$3='Bonding Program'!$K$20),'Bonding Program'!$J$20,0)-IF(AND('Bonding Program'!$M$20&lt;&gt;"",CR$3='Bonding Program'!$M$20),'Bonding Program'!$L$20,0)-IF(AND('Bonding Program'!$P$20&lt;&gt;"",CR$3='Bonding Program'!$P$20),'Bonding Program'!$O$20,0)-IF(AND('Bonding Program'!$R$20&lt;&gt;"",CR$3='Bonding Program'!$R$20),'Bonding Program'!$Q$20,0),0)</f>
        <v>0</v>
      </c>
      <c r="CS161" s="19" t="n">
        <f aca="false">IF(AND('Bonding Program'!$S$20=1,CS$3='Bonding Program'!$H$20),'Bonding Program'!$AA$20,0)-IF(CS$3&lt;='Bonding Program'!$C$8,IF(AND('Bonding Program'!$K$20&lt;&gt;"",CS$3='Bonding Program'!$K$20),'Bonding Program'!$J$20,0)-IF(AND('Bonding Program'!$M$20&lt;&gt;"",CS$3='Bonding Program'!$M$20),'Bonding Program'!$L$20,0)-IF(AND('Bonding Program'!$P$20&lt;&gt;"",CS$3='Bonding Program'!$P$20),'Bonding Program'!$O$20,0)-IF(AND('Bonding Program'!$R$20&lt;&gt;"",CS$3='Bonding Program'!$R$20),'Bonding Program'!$Q$20,0),0)</f>
        <v>0</v>
      </c>
      <c r="CT161" s="19" t="n">
        <f aca="false">IF(AND('Bonding Program'!$S$20=1,CT$3='Bonding Program'!$H$20),'Bonding Program'!$AA$20,0)-IF(CT$3&lt;='Bonding Program'!$C$8,IF(AND('Bonding Program'!$K$20&lt;&gt;"",CT$3='Bonding Program'!$K$20),'Bonding Program'!$J$20,0)-IF(AND('Bonding Program'!$M$20&lt;&gt;"",CT$3='Bonding Program'!$M$20),'Bonding Program'!$L$20,0)-IF(AND('Bonding Program'!$P$20&lt;&gt;"",CT$3='Bonding Program'!$P$20),'Bonding Program'!$O$20,0)-IF(AND('Bonding Program'!$R$20&lt;&gt;"",CT$3='Bonding Program'!$R$20),'Bonding Program'!$Q$20,0),0)</f>
        <v>0</v>
      </c>
      <c r="CU161" s="19" t="n">
        <f aca="false">IF(AND('Bonding Program'!$S$20=1,CU$3='Bonding Program'!$H$20),'Bonding Program'!$AA$20,0)-IF(CU$3&lt;='Bonding Program'!$C$8,IF(AND('Bonding Program'!$K$20&lt;&gt;"",CU$3='Bonding Program'!$K$20),'Bonding Program'!$J$20,0)-IF(AND('Bonding Program'!$M$20&lt;&gt;"",CU$3='Bonding Program'!$M$20),'Bonding Program'!$L$20,0)-IF(AND('Bonding Program'!$P$20&lt;&gt;"",CU$3='Bonding Program'!$P$20),'Bonding Program'!$O$20,0)-IF(AND('Bonding Program'!$R$20&lt;&gt;"",CU$3='Bonding Program'!$R$20),'Bonding Program'!$Q$20,0),0)</f>
        <v>0</v>
      </c>
      <c r="CV161" s="19" t="n">
        <f aca="false">IF(AND('Bonding Program'!$S$20=1,CV$3='Bonding Program'!$H$20),'Bonding Program'!$AA$20,0)-IF(CV$3&lt;='Bonding Program'!$C$8,IF(AND('Bonding Program'!$K$20&lt;&gt;"",CV$3='Bonding Program'!$K$20),'Bonding Program'!$J$20,0)-IF(AND('Bonding Program'!$M$20&lt;&gt;"",CV$3='Bonding Program'!$M$20),'Bonding Program'!$L$20,0)-IF(AND('Bonding Program'!$P$20&lt;&gt;"",CV$3='Bonding Program'!$P$20),'Bonding Program'!$O$20,0)-IF(AND('Bonding Program'!$R$20&lt;&gt;"",CV$3='Bonding Program'!$R$20),'Bonding Program'!$Q$20,0),0)</f>
        <v>0</v>
      </c>
      <c r="CW161" s="19" t="n">
        <f aca="false">IF(AND('Bonding Program'!$S$20=1,CW$3='Bonding Program'!$H$20),'Bonding Program'!$AA$20,0)-IF(CW$3&lt;='Bonding Program'!$C$8,IF(AND('Bonding Program'!$K$20&lt;&gt;"",CW$3='Bonding Program'!$K$20),'Bonding Program'!$J$20,0)-IF(AND('Bonding Program'!$M$20&lt;&gt;"",CW$3='Bonding Program'!$M$20),'Bonding Program'!$L$20,0)-IF(AND('Bonding Program'!$P$20&lt;&gt;"",CW$3='Bonding Program'!$P$20),'Bonding Program'!$O$20,0)-IF(AND('Bonding Program'!$R$20&lt;&gt;"",CW$3='Bonding Program'!$R$20),'Bonding Program'!$Q$20,0),0)</f>
        <v>0</v>
      </c>
      <c r="CX161" s="19" t="n">
        <f aca="false">IF(AND('Bonding Program'!$S$20=1,CX$3='Bonding Program'!$H$20),'Bonding Program'!$AA$20,0)-IF(CX$3&lt;='Bonding Program'!$C$8,IF(AND('Bonding Program'!$K$20&lt;&gt;"",CX$3='Bonding Program'!$K$20),'Bonding Program'!$J$20,0)-IF(AND('Bonding Program'!$M$20&lt;&gt;"",CX$3='Bonding Program'!$M$20),'Bonding Program'!$L$20,0)-IF(AND('Bonding Program'!$P$20&lt;&gt;"",CX$3='Bonding Program'!$P$20),'Bonding Program'!$O$20,0)-IF(AND('Bonding Program'!$R$20&lt;&gt;"",CX$3='Bonding Program'!$R$20),'Bonding Program'!$Q$20,0),0)</f>
        <v>0</v>
      </c>
      <c r="CY161" s="19" t="n">
        <f aca="false">IF(AND('Bonding Program'!$S$20=1,CY$3='Bonding Program'!$H$20),'Bonding Program'!$AA$20,0)-IF(CY$3&lt;='Bonding Program'!$C$8,IF(AND('Bonding Program'!$K$20&lt;&gt;"",CY$3='Bonding Program'!$K$20),'Bonding Program'!$J$20,0)-IF(AND('Bonding Program'!$M$20&lt;&gt;"",CY$3='Bonding Program'!$M$20),'Bonding Program'!$L$20,0)-IF(AND('Bonding Program'!$P$20&lt;&gt;"",CY$3='Bonding Program'!$P$20),'Bonding Program'!$O$20,0)-IF(AND('Bonding Program'!$R$20&lt;&gt;"",CY$3='Bonding Program'!$R$20),'Bonding Program'!$Q$20,0),0)</f>
        <v>0</v>
      </c>
      <c r="CZ161" s="19" t="n">
        <f aca="false">IF(AND('Bonding Program'!$S$20=1,CZ$3='Bonding Program'!$H$20),'Bonding Program'!$AA$20,0)-IF(CZ$3&lt;='Bonding Program'!$C$8,IF(AND('Bonding Program'!$K$20&lt;&gt;"",CZ$3='Bonding Program'!$K$20),'Bonding Program'!$J$20,0)-IF(AND('Bonding Program'!$M$20&lt;&gt;"",CZ$3='Bonding Program'!$M$20),'Bonding Program'!$L$20,0)-IF(AND('Bonding Program'!$P$20&lt;&gt;"",CZ$3='Bonding Program'!$P$20),'Bonding Program'!$O$20,0)-IF(AND('Bonding Program'!$R$20&lt;&gt;"",CZ$3='Bonding Program'!$R$20),'Bonding Program'!$Q$20,0),0)</f>
        <v>0</v>
      </c>
      <c r="DA161" s="19" t="n">
        <f aca="false">IF(AND('Bonding Program'!$S$20=1,DA$3='Bonding Program'!$H$20),'Bonding Program'!$AA$20,0)-IF(DA$3&lt;='Bonding Program'!$C$8,IF(AND('Bonding Program'!$K$20&lt;&gt;"",DA$3='Bonding Program'!$K$20),'Bonding Program'!$J$20,0)-IF(AND('Bonding Program'!$M$20&lt;&gt;"",DA$3='Bonding Program'!$M$20),'Bonding Program'!$L$20,0)-IF(AND('Bonding Program'!$P$20&lt;&gt;"",DA$3='Bonding Program'!$P$20),'Bonding Program'!$O$20,0)-IF(AND('Bonding Program'!$R$20&lt;&gt;"",DA$3='Bonding Program'!$R$20),'Bonding Program'!$Q$20,0),0)</f>
        <v>0</v>
      </c>
      <c r="DB161" s="19" t="n">
        <f aca="false">IF(AND('Bonding Program'!$S$20=1,DB$3='Bonding Program'!$H$20),'Bonding Program'!$AA$20,0)-IF(DB$3&lt;='Bonding Program'!$C$8,IF(AND('Bonding Program'!$K$20&lt;&gt;"",DB$3='Bonding Program'!$K$20),'Bonding Program'!$J$20,0)-IF(AND('Bonding Program'!$M$20&lt;&gt;"",DB$3='Bonding Program'!$M$20),'Bonding Program'!$L$20,0)-IF(AND('Bonding Program'!$P$20&lt;&gt;"",DB$3='Bonding Program'!$P$20),'Bonding Program'!$O$20,0)-IF(AND('Bonding Program'!$R$20&lt;&gt;"",DB$3='Bonding Program'!$R$20),'Bonding Program'!$Q$20,0),0)</f>
        <v>0</v>
      </c>
      <c r="DC161" s="19" t="n">
        <f aca="false">IF(AND('Bonding Program'!$S$20=1,DC$3='Bonding Program'!$H$20),'Bonding Program'!$AA$20,0)-IF(DC$3&lt;='Bonding Program'!$C$8,IF(AND('Bonding Program'!$K$20&lt;&gt;"",DC$3='Bonding Program'!$K$20),'Bonding Program'!$J$20,0)-IF(AND('Bonding Program'!$M$20&lt;&gt;"",DC$3='Bonding Program'!$M$20),'Bonding Program'!$L$20,0)-IF(AND('Bonding Program'!$P$20&lt;&gt;"",DC$3='Bonding Program'!$P$20),'Bonding Program'!$O$20,0)-IF(AND('Bonding Program'!$R$20&lt;&gt;"",DC$3='Bonding Program'!$R$20),'Bonding Program'!$Q$20,0),0)</f>
        <v>0</v>
      </c>
      <c r="DD161" s="19" t="n">
        <f aca="false">IF(AND('Bonding Program'!$S$20=1,DD$3='Bonding Program'!$H$20),'Bonding Program'!$AA$20,0)-IF(DD$3&lt;='Bonding Program'!$C$8,IF(AND('Bonding Program'!$K$20&lt;&gt;"",DD$3='Bonding Program'!$K$20),'Bonding Program'!$J$20,0)-IF(AND('Bonding Program'!$M$20&lt;&gt;"",DD$3='Bonding Program'!$M$20),'Bonding Program'!$L$20,0)-IF(AND('Bonding Program'!$P$20&lt;&gt;"",DD$3='Bonding Program'!$P$20),'Bonding Program'!$O$20,0)-IF(AND('Bonding Program'!$R$20&lt;&gt;"",DD$3='Bonding Program'!$R$20),'Bonding Program'!$Q$20,0),0)</f>
        <v>0</v>
      </c>
      <c r="DE161" s="19" t="n">
        <f aca="false">IF(AND('Bonding Program'!$S$20=1,DE$3='Bonding Program'!$H$20),'Bonding Program'!$AA$20,0)-IF(DE$3&lt;='Bonding Program'!$C$8,IF(AND('Bonding Program'!$K$20&lt;&gt;"",DE$3='Bonding Program'!$K$20),'Bonding Program'!$J$20,0)-IF(AND('Bonding Program'!$M$20&lt;&gt;"",DE$3='Bonding Program'!$M$20),'Bonding Program'!$L$20,0)-IF(AND('Bonding Program'!$P$20&lt;&gt;"",DE$3='Bonding Program'!$P$20),'Bonding Program'!$O$20,0)-IF(AND('Bonding Program'!$R$20&lt;&gt;"",DE$3='Bonding Program'!$R$20),'Bonding Program'!$Q$20,0),0)</f>
        <v>0</v>
      </c>
    </row>
    <row r="162" customFormat="false" ht="15" hidden="false" customHeight="true" outlineLevel="1" collapsed="false">
      <c r="A162" s="28" t="s">
        <v>17</v>
      </c>
      <c r="B162" s="19" t="n">
        <f aca="false">IF(AND('Bonding Program'!$S$21=1,B$3='Bonding Program'!$H$21),'Bonding Program'!$AA$21,0)-IF(B$3&lt;='Bonding Program'!$C$8,IF(AND('Bonding Program'!$K$21&lt;&gt;"",B$3='Bonding Program'!$K$21),'Bonding Program'!$J$21,0)-IF(AND('Bonding Program'!$M$21&lt;&gt;"",B$3='Bonding Program'!$M$21),'Bonding Program'!$L$21,0)-IF(AND('Bonding Program'!$P$21&lt;&gt;"",B$3='Bonding Program'!$P$21),'Bonding Program'!$O$21,0)-IF(AND('Bonding Program'!$R$21&lt;&gt;"",B$3='Bonding Program'!$R$21),'Bonding Program'!$Q$21,0),0)</f>
        <v>0</v>
      </c>
      <c r="C162" s="19" t="n">
        <f aca="false">IF(AND('Bonding Program'!$S$21=1,C$3='Bonding Program'!$H$21),'Bonding Program'!$AA$21,0)-IF(C$3&lt;='Bonding Program'!$C$8,IF(AND('Bonding Program'!$K$21&lt;&gt;"",C$3='Bonding Program'!$K$21),'Bonding Program'!$J$21,0)-IF(AND('Bonding Program'!$M$21&lt;&gt;"",C$3='Bonding Program'!$M$21),'Bonding Program'!$L$21,0)-IF(AND('Bonding Program'!$P$21&lt;&gt;"",C$3='Bonding Program'!$P$21),'Bonding Program'!$O$21,0)-IF(AND('Bonding Program'!$R$21&lt;&gt;"",C$3='Bonding Program'!$R$21),'Bonding Program'!$Q$21,0),0)</f>
        <v>0</v>
      </c>
      <c r="D162" s="19" t="n">
        <f aca="false">IF(AND('Bonding Program'!$S$21=1,D$3='Bonding Program'!$H$21),'Bonding Program'!$AA$21,0)-IF(D$3&lt;='Bonding Program'!$C$8,IF(AND('Bonding Program'!$K$21&lt;&gt;"",D$3='Bonding Program'!$K$21),'Bonding Program'!$J$21,0)-IF(AND('Bonding Program'!$M$21&lt;&gt;"",D$3='Bonding Program'!$M$21),'Bonding Program'!$L$21,0)-IF(AND('Bonding Program'!$P$21&lt;&gt;"",D$3='Bonding Program'!$P$21),'Bonding Program'!$O$21,0)-IF(AND('Bonding Program'!$R$21&lt;&gt;"",D$3='Bonding Program'!$R$21),'Bonding Program'!$Q$21,0),0)</f>
        <v>0</v>
      </c>
      <c r="E162" s="19" t="n">
        <f aca="false">IF(AND('Bonding Program'!$S$21=1,E$3='Bonding Program'!$H$21),'Bonding Program'!$AA$21,0)-IF(E$3&lt;='Bonding Program'!$C$8,IF(AND('Bonding Program'!$K$21&lt;&gt;"",E$3='Bonding Program'!$K$21),'Bonding Program'!$J$21,0)-IF(AND('Bonding Program'!$M$21&lt;&gt;"",E$3='Bonding Program'!$M$21),'Bonding Program'!$L$21,0)-IF(AND('Bonding Program'!$P$21&lt;&gt;"",E$3='Bonding Program'!$P$21),'Bonding Program'!$O$21,0)-IF(AND('Bonding Program'!$R$21&lt;&gt;"",E$3='Bonding Program'!$R$21),'Bonding Program'!$Q$21,0),0)</f>
        <v>0</v>
      </c>
      <c r="F162" s="19" t="n">
        <f aca="false">IF(AND('Bonding Program'!$S$21=1,F$3='Bonding Program'!$H$21),'Bonding Program'!$AA$21,0)-IF(F$3&lt;='Bonding Program'!$C$8,IF(AND('Bonding Program'!$K$21&lt;&gt;"",F$3='Bonding Program'!$K$21),'Bonding Program'!$J$21,0)-IF(AND('Bonding Program'!$M$21&lt;&gt;"",F$3='Bonding Program'!$M$21),'Bonding Program'!$L$21,0)-IF(AND('Bonding Program'!$P$21&lt;&gt;"",F$3='Bonding Program'!$P$21),'Bonding Program'!$O$21,0)-IF(AND('Bonding Program'!$R$21&lt;&gt;"",F$3='Bonding Program'!$R$21),'Bonding Program'!$Q$21,0),0)</f>
        <v>0</v>
      </c>
      <c r="G162" s="19" t="n">
        <f aca="false">IF(AND('Bonding Program'!$S$21=1,G$3='Bonding Program'!$H$21),'Bonding Program'!$AA$21,0)-IF(G$3&lt;='Bonding Program'!$C$8,IF(AND('Bonding Program'!$K$21&lt;&gt;"",G$3='Bonding Program'!$K$21),'Bonding Program'!$J$21,0)-IF(AND('Bonding Program'!$M$21&lt;&gt;"",G$3='Bonding Program'!$M$21),'Bonding Program'!$L$21,0)-IF(AND('Bonding Program'!$P$21&lt;&gt;"",G$3='Bonding Program'!$P$21),'Bonding Program'!$O$21,0)-IF(AND('Bonding Program'!$R$21&lt;&gt;"",G$3='Bonding Program'!$R$21),'Bonding Program'!$Q$21,0),0)</f>
        <v>0</v>
      </c>
      <c r="H162" s="19" t="n">
        <f aca="false">IF(AND('Bonding Program'!$S$21=1,H$3='Bonding Program'!$H$21),'Bonding Program'!$AA$21,0)-IF(H$3&lt;='Bonding Program'!$C$8,IF(AND('Bonding Program'!$K$21&lt;&gt;"",H$3='Bonding Program'!$K$21),'Bonding Program'!$J$21,0)-IF(AND('Bonding Program'!$M$21&lt;&gt;"",H$3='Bonding Program'!$M$21),'Bonding Program'!$L$21,0)-IF(AND('Bonding Program'!$P$21&lt;&gt;"",H$3='Bonding Program'!$P$21),'Bonding Program'!$O$21,0)-IF(AND('Bonding Program'!$R$21&lt;&gt;"",H$3='Bonding Program'!$R$21),'Bonding Program'!$Q$21,0),0)</f>
        <v>0</v>
      </c>
      <c r="I162" s="19" t="n">
        <f aca="false">IF(AND('Bonding Program'!$S$21=1,I$3='Bonding Program'!$H$21),'Bonding Program'!$AA$21,0)-IF(I$3&lt;='Bonding Program'!$C$8,IF(AND('Bonding Program'!$K$21&lt;&gt;"",I$3='Bonding Program'!$K$21),'Bonding Program'!$J$21,0)-IF(AND('Bonding Program'!$M$21&lt;&gt;"",I$3='Bonding Program'!$M$21),'Bonding Program'!$L$21,0)-IF(AND('Bonding Program'!$P$21&lt;&gt;"",I$3='Bonding Program'!$P$21),'Bonding Program'!$O$21,0)-IF(AND('Bonding Program'!$R$21&lt;&gt;"",I$3='Bonding Program'!$R$21),'Bonding Program'!$Q$21,0),0)</f>
        <v>0</v>
      </c>
      <c r="J162" s="19" t="n">
        <f aca="false">IF(AND('Bonding Program'!$S$21=1,J$3='Bonding Program'!$H$21),'Bonding Program'!$AA$21,0)-IF(J$3&lt;='Bonding Program'!$C$8,IF(AND('Bonding Program'!$K$21&lt;&gt;"",J$3='Bonding Program'!$K$21),'Bonding Program'!$J$21,0)-IF(AND('Bonding Program'!$M$21&lt;&gt;"",J$3='Bonding Program'!$M$21),'Bonding Program'!$L$21,0)-IF(AND('Bonding Program'!$P$21&lt;&gt;"",J$3='Bonding Program'!$P$21),'Bonding Program'!$O$21,0)-IF(AND('Bonding Program'!$R$21&lt;&gt;"",J$3='Bonding Program'!$R$21),'Bonding Program'!$Q$21,0),0)</f>
        <v>0</v>
      </c>
      <c r="K162" s="19" t="n">
        <f aca="false">IF(AND('Bonding Program'!$S$21=1,K$3='Bonding Program'!$H$21),'Bonding Program'!$AA$21,0)-IF(K$3&lt;='Bonding Program'!$C$8,IF(AND('Bonding Program'!$K$21&lt;&gt;"",K$3='Bonding Program'!$K$21),'Bonding Program'!$J$21,0)-IF(AND('Bonding Program'!$M$21&lt;&gt;"",K$3='Bonding Program'!$M$21),'Bonding Program'!$L$21,0)-IF(AND('Bonding Program'!$P$21&lt;&gt;"",K$3='Bonding Program'!$P$21),'Bonding Program'!$O$21,0)-IF(AND('Bonding Program'!$R$21&lt;&gt;"",K$3='Bonding Program'!$R$21),'Bonding Program'!$Q$21,0),0)</f>
        <v>0</v>
      </c>
      <c r="L162" s="19" t="n">
        <f aca="false">IF(AND('Bonding Program'!$S$21=1,L$3='Bonding Program'!$H$21),'Bonding Program'!$AA$21,0)-IF(L$3&lt;='Bonding Program'!$C$8,IF(AND('Bonding Program'!$K$21&lt;&gt;"",L$3='Bonding Program'!$K$21),'Bonding Program'!$J$21,0)-IF(AND('Bonding Program'!$M$21&lt;&gt;"",L$3='Bonding Program'!$M$21),'Bonding Program'!$L$21,0)-IF(AND('Bonding Program'!$P$21&lt;&gt;"",L$3='Bonding Program'!$P$21),'Bonding Program'!$O$21,0)-IF(AND('Bonding Program'!$R$21&lt;&gt;"",L$3='Bonding Program'!$R$21),'Bonding Program'!$Q$21,0),0)</f>
        <v>0</v>
      </c>
      <c r="M162" s="19" t="n">
        <f aca="false">IF(AND('Bonding Program'!$S$21=1,M$3='Bonding Program'!$H$21),'Bonding Program'!$AA$21,0)-IF(M$3&lt;='Bonding Program'!$C$8,IF(AND('Bonding Program'!$K$21&lt;&gt;"",M$3='Bonding Program'!$K$21),'Bonding Program'!$J$21,0)-IF(AND('Bonding Program'!$M$21&lt;&gt;"",M$3='Bonding Program'!$M$21),'Bonding Program'!$L$21,0)-IF(AND('Bonding Program'!$P$21&lt;&gt;"",M$3='Bonding Program'!$P$21),'Bonding Program'!$O$21,0)-IF(AND('Bonding Program'!$R$21&lt;&gt;"",M$3='Bonding Program'!$R$21),'Bonding Program'!$Q$21,0),0)</f>
        <v>0</v>
      </c>
      <c r="N162" s="19" t="n">
        <f aca="false">IF(AND('Bonding Program'!$S$21=1,N$3='Bonding Program'!$H$21),'Bonding Program'!$AA$21,0)-IF(N$3&lt;='Bonding Program'!$C$8,IF(AND('Bonding Program'!$K$21&lt;&gt;"",N$3='Bonding Program'!$K$21),'Bonding Program'!$J$21,0)-IF(AND('Bonding Program'!$M$21&lt;&gt;"",N$3='Bonding Program'!$M$21),'Bonding Program'!$L$21,0)-IF(AND('Bonding Program'!$P$21&lt;&gt;"",N$3='Bonding Program'!$P$21),'Bonding Program'!$O$21,0)-IF(AND('Bonding Program'!$R$21&lt;&gt;"",N$3='Bonding Program'!$R$21),'Bonding Program'!$Q$21,0),0)</f>
        <v>0</v>
      </c>
      <c r="O162" s="19" t="n">
        <f aca="false">IF(AND('Bonding Program'!$S$21=1,O$3='Bonding Program'!$H$21),'Bonding Program'!$AA$21,0)-IF(O$3&lt;='Bonding Program'!$C$8,IF(AND('Bonding Program'!$K$21&lt;&gt;"",O$3='Bonding Program'!$K$21),'Bonding Program'!$J$21,0)-IF(AND('Bonding Program'!$M$21&lt;&gt;"",O$3='Bonding Program'!$M$21),'Bonding Program'!$L$21,0)-IF(AND('Bonding Program'!$P$21&lt;&gt;"",O$3='Bonding Program'!$P$21),'Bonding Program'!$O$21,0)-IF(AND('Bonding Program'!$R$21&lt;&gt;"",O$3='Bonding Program'!$R$21),'Bonding Program'!$Q$21,0),0)</f>
        <v>0</v>
      </c>
      <c r="P162" s="19" t="n">
        <f aca="false">IF(AND('Bonding Program'!$S$21=1,P$3='Bonding Program'!$H$21),'Bonding Program'!$AA$21,0)-IF(P$3&lt;='Bonding Program'!$C$8,IF(AND('Bonding Program'!$K$21&lt;&gt;"",P$3='Bonding Program'!$K$21),'Bonding Program'!$J$21,0)-IF(AND('Bonding Program'!$M$21&lt;&gt;"",P$3='Bonding Program'!$M$21),'Bonding Program'!$L$21,0)-IF(AND('Bonding Program'!$P$21&lt;&gt;"",P$3='Bonding Program'!$P$21),'Bonding Program'!$O$21,0)-IF(AND('Bonding Program'!$R$21&lt;&gt;"",P$3='Bonding Program'!$R$21),'Bonding Program'!$Q$21,0),0)</f>
        <v>0</v>
      </c>
      <c r="Q162" s="19" t="n">
        <f aca="false">IF(AND('Bonding Program'!$S$21=1,Q$3='Bonding Program'!$H$21),'Bonding Program'!$AA$21,0)-IF(Q$3&lt;='Bonding Program'!$C$8,IF(AND('Bonding Program'!$K$21&lt;&gt;"",Q$3='Bonding Program'!$K$21),'Bonding Program'!$J$21,0)-IF(AND('Bonding Program'!$M$21&lt;&gt;"",Q$3='Bonding Program'!$M$21),'Bonding Program'!$L$21,0)-IF(AND('Bonding Program'!$P$21&lt;&gt;"",Q$3='Bonding Program'!$P$21),'Bonding Program'!$O$21,0)-IF(AND('Bonding Program'!$R$21&lt;&gt;"",Q$3='Bonding Program'!$R$21),'Bonding Program'!$Q$21,0),0)</f>
        <v>0</v>
      </c>
      <c r="R162" s="19" t="n">
        <f aca="false">IF(AND('Bonding Program'!$S$21=1,R$3='Bonding Program'!$H$21),'Bonding Program'!$AA$21,0)-IF(R$3&lt;='Bonding Program'!$C$8,IF(AND('Bonding Program'!$K$21&lt;&gt;"",R$3='Bonding Program'!$K$21),'Bonding Program'!$J$21,0)-IF(AND('Bonding Program'!$M$21&lt;&gt;"",R$3='Bonding Program'!$M$21),'Bonding Program'!$L$21,0)-IF(AND('Bonding Program'!$P$21&lt;&gt;"",R$3='Bonding Program'!$P$21),'Bonding Program'!$O$21,0)-IF(AND('Bonding Program'!$R$21&lt;&gt;"",R$3='Bonding Program'!$R$21),'Bonding Program'!$Q$21,0),0)</f>
        <v>0</v>
      </c>
      <c r="S162" s="19" t="n">
        <f aca="false">IF(AND('Bonding Program'!$S$21=1,S$3='Bonding Program'!$H$21),'Bonding Program'!$AA$21,0)-IF(S$3&lt;='Bonding Program'!$C$8,IF(AND('Bonding Program'!$K$21&lt;&gt;"",S$3='Bonding Program'!$K$21),'Bonding Program'!$J$21,0)-IF(AND('Bonding Program'!$M$21&lt;&gt;"",S$3='Bonding Program'!$M$21),'Bonding Program'!$L$21,0)-IF(AND('Bonding Program'!$P$21&lt;&gt;"",S$3='Bonding Program'!$P$21),'Bonding Program'!$O$21,0)-IF(AND('Bonding Program'!$R$21&lt;&gt;"",S$3='Bonding Program'!$R$21),'Bonding Program'!$Q$21,0),0)</f>
        <v>0</v>
      </c>
      <c r="T162" s="19" t="n">
        <f aca="false">IF(AND('Bonding Program'!$S$21=1,T$3='Bonding Program'!$H$21),'Bonding Program'!$AA$21,0)-IF(T$3&lt;='Bonding Program'!$C$8,IF(AND('Bonding Program'!$K$21&lt;&gt;"",T$3='Bonding Program'!$K$21),'Bonding Program'!$J$21,0)-IF(AND('Bonding Program'!$M$21&lt;&gt;"",T$3='Bonding Program'!$M$21),'Bonding Program'!$L$21,0)-IF(AND('Bonding Program'!$P$21&lt;&gt;"",T$3='Bonding Program'!$P$21),'Bonding Program'!$O$21,0)-IF(AND('Bonding Program'!$R$21&lt;&gt;"",T$3='Bonding Program'!$R$21),'Bonding Program'!$Q$21,0),0)</f>
        <v>0</v>
      </c>
      <c r="U162" s="19" t="n">
        <f aca="false">IF(AND('Bonding Program'!$S$21=1,U$3='Bonding Program'!$H$21),'Bonding Program'!$AA$21,0)-IF(U$3&lt;='Bonding Program'!$C$8,IF(AND('Bonding Program'!$K$21&lt;&gt;"",U$3='Bonding Program'!$K$21),'Bonding Program'!$J$21,0)-IF(AND('Bonding Program'!$M$21&lt;&gt;"",U$3='Bonding Program'!$M$21),'Bonding Program'!$L$21,0)-IF(AND('Bonding Program'!$P$21&lt;&gt;"",U$3='Bonding Program'!$P$21),'Bonding Program'!$O$21,0)-IF(AND('Bonding Program'!$R$21&lt;&gt;"",U$3='Bonding Program'!$R$21),'Bonding Program'!$Q$21,0),0)</f>
        <v>0</v>
      </c>
      <c r="V162" s="19" t="n">
        <f aca="false">IF(AND('Bonding Program'!$S$21=1,V$3='Bonding Program'!$H$21),'Bonding Program'!$AA$21,0)-IF(V$3&lt;='Bonding Program'!$C$8,IF(AND('Bonding Program'!$K$21&lt;&gt;"",V$3='Bonding Program'!$K$21),'Bonding Program'!$J$21,0)-IF(AND('Bonding Program'!$M$21&lt;&gt;"",V$3='Bonding Program'!$M$21),'Bonding Program'!$L$21,0)-IF(AND('Bonding Program'!$P$21&lt;&gt;"",V$3='Bonding Program'!$P$21),'Bonding Program'!$O$21,0)-IF(AND('Bonding Program'!$R$21&lt;&gt;"",V$3='Bonding Program'!$R$21),'Bonding Program'!$Q$21,0),0)</f>
        <v>0</v>
      </c>
      <c r="W162" s="19" t="n">
        <f aca="false">IF(AND('Bonding Program'!$S$21=1,W$3='Bonding Program'!$H$21),'Bonding Program'!$AA$21,0)-IF(W$3&lt;='Bonding Program'!$C$8,IF(AND('Bonding Program'!$K$21&lt;&gt;"",W$3='Bonding Program'!$K$21),'Bonding Program'!$J$21,0)-IF(AND('Bonding Program'!$M$21&lt;&gt;"",W$3='Bonding Program'!$M$21),'Bonding Program'!$L$21,0)-IF(AND('Bonding Program'!$P$21&lt;&gt;"",W$3='Bonding Program'!$P$21),'Bonding Program'!$O$21,0)-IF(AND('Bonding Program'!$R$21&lt;&gt;"",W$3='Bonding Program'!$R$21),'Bonding Program'!$Q$21,0),0)</f>
        <v>0</v>
      </c>
      <c r="X162" s="19" t="n">
        <f aca="false">IF(AND('Bonding Program'!$S$21=1,X$3='Bonding Program'!$H$21),'Bonding Program'!$AA$21,0)-IF(X$3&lt;='Bonding Program'!$C$8,IF(AND('Bonding Program'!$K$21&lt;&gt;"",X$3='Bonding Program'!$K$21),'Bonding Program'!$J$21,0)-IF(AND('Bonding Program'!$M$21&lt;&gt;"",X$3='Bonding Program'!$M$21),'Bonding Program'!$L$21,0)-IF(AND('Bonding Program'!$P$21&lt;&gt;"",X$3='Bonding Program'!$P$21),'Bonding Program'!$O$21,0)-IF(AND('Bonding Program'!$R$21&lt;&gt;"",X$3='Bonding Program'!$R$21),'Bonding Program'!$Q$21,0),0)</f>
        <v>0</v>
      </c>
      <c r="Y162" s="19" t="n">
        <f aca="false">IF(AND('Bonding Program'!$S$21=1,Y$3='Bonding Program'!$H$21),'Bonding Program'!$AA$21,0)-IF(Y$3&lt;='Bonding Program'!$C$8,IF(AND('Bonding Program'!$K$21&lt;&gt;"",Y$3='Bonding Program'!$K$21),'Bonding Program'!$J$21,0)-IF(AND('Bonding Program'!$M$21&lt;&gt;"",Y$3='Bonding Program'!$M$21),'Bonding Program'!$L$21,0)-IF(AND('Bonding Program'!$P$21&lt;&gt;"",Y$3='Bonding Program'!$P$21),'Bonding Program'!$O$21,0)-IF(AND('Bonding Program'!$R$21&lt;&gt;"",Y$3='Bonding Program'!$R$21),'Bonding Program'!$Q$21,0),0)</f>
        <v>0</v>
      </c>
      <c r="Z162" s="19" t="n">
        <f aca="false">IF(AND('Bonding Program'!$S$21=1,Z$3='Bonding Program'!$H$21),'Bonding Program'!$AA$21,0)-IF(Z$3&lt;='Bonding Program'!$C$8,IF(AND('Bonding Program'!$K$21&lt;&gt;"",Z$3='Bonding Program'!$K$21),'Bonding Program'!$J$21,0)-IF(AND('Bonding Program'!$M$21&lt;&gt;"",Z$3='Bonding Program'!$M$21),'Bonding Program'!$L$21,0)-IF(AND('Bonding Program'!$P$21&lt;&gt;"",Z$3='Bonding Program'!$P$21),'Bonding Program'!$O$21,0)-IF(AND('Bonding Program'!$R$21&lt;&gt;"",Z$3='Bonding Program'!$R$21),'Bonding Program'!$Q$21,0),0)</f>
        <v>0</v>
      </c>
      <c r="AA162" s="19" t="n">
        <f aca="false">IF(AND('Bonding Program'!$S$21=1,AA$3='Bonding Program'!$H$21),'Bonding Program'!$AA$21,0)-IF(AA$3&lt;='Bonding Program'!$C$8,IF(AND('Bonding Program'!$K$21&lt;&gt;"",AA$3='Bonding Program'!$K$21),'Bonding Program'!$J$21,0)-IF(AND('Bonding Program'!$M$21&lt;&gt;"",AA$3='Bonding Program'!$M$21),'Bonding Program'!$L$21,0)-IF(AND('Bonding Program'!$P$21&lt;&gt;"",AA$3='Bonding Program'!$P$21),'Bonding Program'!$O$21,0)-IF(AND('Bonding Program'!$R$21&lt;&gt;"",AA$3='Bonding Program'!$R$21),'Bonding Program'!$Q$21,0),0)</f>
        <v>0</v>
      </c>
      <c r="AB162" s="19" t="n">
        <f aca="false">IF(AND('Bonding Program'!$S$21=1,AB$3='Bonding Program'!$H$21),'Bonding Program'!$AA$21,0)-IF(AB$3&lt;='Bonding Program'!$C$8,IF(AND('Bonding Program'!$K$21&lt;&gt;"",AB$3='Bonding Program'!$K$21),'Bonding Program'!$J$21,0)-IF(AND('Bonding Program'!$M$21&lt;&gt;"",AB$3='Bonding Program'!$M$21),'Bonding Program'!$L$21,0)-IF(AND('Bonding Program'!$P$21&lt;&gt;"",AB$3='Bonding Program'!$P$21),'Bonding Program'!$O$21,0)-IF(AND('Bonding Program'!$R$21&lt;&gt;"",AB$3='Bonding Program'!$R$21),'Bonding Program'!$Q$21,0),0)</f>
        <v>0</v>
      </c>
      <c r="AC162" s="19" t="n">
        <f aca="false">IF(AND('Bonding Program'!$S$21=1,AC$3='Bonding Program'!$H$21),'Bonding Program'!$AA$21,0)-IF(AC$3&lt;='Bonding Program'!$C$8,IF(AND('Bonding Program'!$K$21&lt;&gt;"",AC$3='Bonding Program'!$K$21),'Bonding Program'!$J$21,0)-IF(AND('Bonding Program'!$M$21&lt;&gt;"",AC$3='Bonding Program'!$M$21),'Bonding Program'!$L$21,0)-IF(AND('Bonding Program'!$P$21&lt;&gt;"",AC$3='Bonding Program'!$P$21),'Bonding Program'!$O$21,0)-IF(AND('Bonding Program'!$R$21&lt;&gt;"",AC$3='Bonding Program'!$R$21),'Bonding Program'!$Q$21,0),0)</f>
        <v>0</v>
      </c>
      <c r="AD162" s="19" t="n">
        <f aca="false">IF(AND('Bonding Program'!$S$21=1,AD$3='Bonding Program'!$H$21),'Bonding Program'!$AA$21,0)-IF(AD$3&lt;='Bonding Program'!$C$8,IF(AND('Bonding Program'!$K$21&lt;&gt;"",AD$3='Bonding Program'!$K$21),'Bonding Program'!$J$21,0)-IF(AND('Bonding Program'!$M$21&lt;&gt;"",AD$3='Bonding Program'!$M$21),'Bonding Program'!$L$21,0)-IF(AND('Bonding Program'!$P$21&lt;&gt;"",AD$3='Bonding Program'!$P$21),'Bonding Program'!$O$21,0)-IF(AND('Bonding Program'!$R$21&lt;&gt;"",AD$3='Bonding Program'!$R$21),'Bonding Program'!$Q$21,0),0)</f>
        <v>0</v>
      </c>
      <c r="AE162" s="19" t="n">
        <f aca="false">IF(AND('Bonding Program'!$S$21=1,AE$3='Bonding Program'!$H$21),'Bonding Program'!$AA$21,0)-IF(AE$3&lt;='Bonding Program'!$C$8,IF(AND('Bonding Program'!$K$21&lt;&gt;"",AE$3='Bonding Program'!$K$21),'Bonding Program'!$J$21,0)-IF(AND('Bonding Program'!$M$21&lt;&gt;"",AE$3='Bonding Program'!$M$21),'Bonding Program'!$L$21,0)-IF(AND('Bonding Program'!$P$21&lt;&gt;"",AE$3='Bonding Program'!$P$21),'Bonding Program'!$O$21,0)-IF(AND('Bonding Program'!$R$21&lt;&gt;"",AE$3='Bonding Program'!$R$21),'Bonding Program'!$Q$21,0),0)</f>
        <v>0</v>
      </c>
      <c r="AF162" s="19" t="n">
        <f aca="false">IF(AND('Bonding Program'!$S$21=1,AF$3='Bonding Program'!$H$21),'Bonding Program'!$AA$21,0)-IF(AF$3&lt;='Bonding Program'!$C$8,IF(AND('Bonding Program'!$K$21&lt;&gt;"",AF$3='Bonding Program'!$K$21),'Bonding Program'!$J$21,0)-IF(AND('Bonding Program'!$M$21&lt;&gt;"",AF$3='Bonding Program'!$M$21),'Bonding Program'!$L$21,0)-IF(AND('Bonding Program'!$P$21&lt;&gt;"",AF$3='Bonding Program'!$P$21),'Bonding Program'!$O$21,0)-IF(AND('Bonding Program'!$R$21&lt;&gt;"",AF$3='Bonding Program'!$R$21),'Bonding Program'!$Q$21,0),0)</f>
        <v>0</v>
      </c>
      <c r="AG162" s="19" t="n">
        <f aca="false">IF(AND('Bonding Program'!$S$21=1,AG$3='Bonding Program'!$H$21),'Bonding Program'!$AA$21,0)-IF(AG$3&lt;='Bonding Program'!$C$8,IF(AND('Bonding Program'!$K$21&lt;&gt;"",AG$3='Bonding Program'!$K$21),'Bonding Program'!$J$21,0)-IF(AND('Bonding Program'!$M$21&lt;&gt;"",AG$3='Bonding Program'!$M$21),'Bonding Program'!$L$21,0)-IF(AND('Bonding Program'!$P$21&lt;&gt;"",AG$3='Bonding Program'!$P$21),'Bonding Program'!$O$21,0)-IF(AND('Bonding Program'!$R$21&lt;&gt;"",AG$3='Bonding Program'!$R$21),'Bonding Program'!$Q$21,0),0)</f>
        <v>0</v>
      </c>
      <c r="AH162" s="19" t="n">
        <f aca="false">IF(AND('Bonding Program'!$S$21=1,AH$3='Bonding Program'!$H$21),'Bonding Program'!$AA$21,0)-IF(AH$3&lt;='Bonding Program'!$C$8,IF(AND('Bonding Program'!$K$21&lt;&gt;"",AH$3='Bonding Program'!$K$21),'Bonding Program'!$J$21,0)-IF(AND('Bonding Program'!$M$21&lt;&gt;"",AH$3='Bonding Program'!$M$21),'Bonding Program'!$L$21,0)-IF(AND('Bonding Program'!$P$21&lt;&gt;"",AH$3='Bonding Program'!$P$21),'Bonding Program'!$O$21,0)-IF(AND('Bonding Program'!$R$21&lt;&gt;"",AH$3='Bonding Program'!$R$21),'Bonding Program'!$Q$21,0),0)</f>
        <v>0</v>
      </c>
      <c r="AI162" s="19" t="n">
        <f aca="false">IF(AND('Bonding Program'!$S$21=1,AI$3='Bonding Program'!$H$21),'Bonding Program'!$AA$21,0)-IF(AI$3&lt;='Bonding Program'!$C$8,IF(AND('Bonding Program'!$K$21&lt;&gt;"",AI$3='Bonding Program'!$K$21),'Bonding Program'!$J$21,0)-IF(AND('Bonding Program'!$M$21&lt;&gt;"",AI$3='Bonding Program'!$M$21),'Bonding Program'!$L$21,0)-IF(AND('Bonding Program'!$P$21&lt;&gt;"",AI$3='Bonding Program'!$P$21),'Bonding Program'!$O$21,0)-IF(AND('Bonding Program'!$R$21&lt;&gt;"",AI$3='Bonding Program'!$R$21),'Bonding Program'!$Q$21,0),0)</f>
        <v>0</v>
      </c>
      <c r="AJ162" s="19" t="n">
        <f aca="false">IF(AND('Bonding Program'!$S$21=1,AJ$3='Bonding Program'!$H$21),'Bonding Program'!$AA$21,0)-IF(AJ$3&lt;='Bonding Program'!$C$8,IF(AND('Bonding Program'!$K$21&lt;&gt;"",AJ$3='Bonding Program'!$K$21),'Bonding Program'!$J$21,0)-IF(AND('Bonding Program'!$M$21&lt;&gt;"",AJ$3='Bonding Program'!$M$21),'Bonding Program'!$L$21,0)-IF(AND('Bonding Program'!$P$21&lt;&gt;"",AJ$3='Bonding Program'!$P$21),'Bonding Program'!$O$21,0)-IF(AND('Bonding Program'!$R$21&lt;&gt;"",AJ$3='Bonding Program'!$R$21),'Bonding Program'!$Q$21,0),0)</f>
        <v>0</v>
      </c>
      <c r="AK162" s="19" t="n">
        <f aca="false">IF(AND('Bonding Program'!$S$21=1,AK$3='Bonding Program'!$H$21),'Bonding Program'!$AA$21,0)-IF(AK$3&lt;='Bonding Program'!$C$8,IF(AND('Bonding Program'!$K$21&lt;&gt;"",AK$3='Bonding Program'!$K$21),'Bonding Program'!$J$21,0)-IF(AND('Bonding Program'!$M$21&lt;&gt;"",AK$3='Bonding Program'!$M$21),'Bonding Program'!$L$21,0)-IF(AND('Bonding Program'!$P$21&lt;&gt;"",AK$3='Bonding Program'!$P$21),'Bonding Program'!$O$21,0)-IF(AND('Bonding Program'!$R$21&lt;&gt;"",AK$3='Bonding Program'!$R$21),'Bonding Program'!$Q$21,0),0)</f>
        <v>0</v>
      </c>
      <c r="AL162" s="19" t="n">
        <f aca="false">IF(AND('Bonding Program'!$S$21=1,AL$3='Bonding Program'!$H$21),'Bonding Program'!$AA$21,0)-IF(AL$3&lt;='Bonding Program'!$C$8,IF(AND('Bonding Program'!$K$21&lt;&gt;"",AL$3='Bonding Program'!$K$21),'Bonding Program'!$J$21,0)-IF(AND('Bonding Program'!$M$21&lt;&gt;"",AL$3='Bonding Program'!$M$21),'Bonding Program'!$L$21,0)-IF(AND('Bonding Program'!$P$21&lt;&gt;"",AL$3='Bonding Program'!$P$21),'Bonding Program'!$O$21,0)-IF(AND('Bonding Program'!$R$21&lt;&gt;"",AL$3='Bonding Program'!$R$21),'Bonding Program'!$Q$21,0),0)</f>
        <v>0</v>
      </c>
      <c r="AM162" s="19" t="n">
        <f aca="false">IF(AND('Bonding Program'!$S$21=1,AM$3='Bonding Program'!$H$21),'Bonding Program'!$AA$21,0)-IF(AM$3&lt;='Bonding Program'!$C$8,IF(AND('Bonding Program'!$K$21&lt;&gt;"",AM$3='Bonding Program'!$K$21),'Bonding Program'!$J$21,0)-IF(AND('Bonding Program'!$M$21&lt;&gt;"",AM$3='Bonding Program'!$M$21),'Bonding Program'!$L$21,0)-IF(AND('Bonding Program'!$P$21&lt;&gt;"",AM$3='Bonding Program'!$P$21),'Bonding Program'!$O$21,0)-IF(AND('Bonding Program'!$R$21&lt;&gt;"",AM$3='Bonding Program'!$R$21),'Bonding Program'!$Q$21,0),0)</f>
        <v>0</v>
      </c>
      <c r="AN162" s="19" t="n">
        <f aca="false">IF(AND('Bonding Program'!$S$21=1,AN$3='Bonding Program'!$H$21),'Bonding Program'!$AA$21,0)-IF(AN$3&lt;='Bonding Program'!$C$8,IF(AND('Bonding Program'!$K$21&lt;&gt;"",AN$3='Bonding Program'!$K$21),'Bonding Program'!$J$21,0)-IF(AND('Bonding Program'!$M$21&lt;&gt;"",AN$3='Bonding Program'!$M$21),'Bonding Program'!$L$21,0)-IF(AND('Bonding Program'!$P$21&lt;&gt;"",AN$3='Bonding Program'!$P$21),'Bonding Program'!$O$21,0)-IF(AND('Bonding Program'!$R$21&lt;&gt;"",AN$3='Bonding Program'!$R$21),'Bonding Program'!$Q$21,0),0)</f>
        <v>0</v>
      </c>
      <c r="AO162" s="19" t="n">
        <f aca="false">IF(AND('Bonding Program'!$S$21=1,AO$3='Bonding Program'!$H$21),'Bonding Program'!$AA$21,0)-IF(AO$3&lt;='Bonding Program'!$C$8,IF(AND('Bonding Program'!$K$21&lt;&gt;"",AO$3='Bonding Program'!$K$21),'Bonding Program'!$J$21,0)-IF(AND('Bonding Program'!$M$21&lt;&gt;"",AO$3='Bonding Program'!$M$21),'Bonding Program'!$L$21,0)-IF(AND('Bonding Program'!$P$21&lt;&gt;"",AO$3='Bonding Program'!$P$21),'Bonding Program'!$O$21,0)-IF(AND('Bonding Program'!$R$21&lt;&gt;"",AO$3='Bonding Program'!$R$21),'Bonding Program'!$Q$21,0),0)</f>
        <v>0</v>
      </c>
      <c r="AP162" s="19" t="n">
        <f aca="false">IF(AND('Bonding Program'!$S$21=1,AP$3='Bonding Program'!$H$21),'Bonding Program'!$AA$21,0)-IF(AP$3&lt;='Bonding Program'!$C$8,IF(AND('Bonding Program'!$K$21&lt;&gt;"",AP$3='Bonding Program'!$K$21),'Bonding Program'!$J$21,0)-IF(AND('Bonding Program'!$M$21&lt;&gt;"",AP$3='Bonding Program'!$M$21),'Bonding Program'!$L$21,0)-IF(AND('Bonding Program'!$P$21&lt;&gt;"",AP$3='Bonding Program'!$P$21),'Bonding Program'!$O$21,0)-IF(AND('Bonding Program'!$R$21&lt;&gt;"",AP$3='Bonding Program'!$R$21),'Bonding Program'!$Q$21,0),0)</f>
        <v>0</v>
      </c>
      <c r="AQ162" s="19" t="n">
        <f aca="false">IF(AND('Bonding Program'!$S$21=1,AQ$3='Bonding Program'!$H$21),'Bonding Program'!$AA$21,0)-IF(AQ$3&lt;='Bonding Program'!$C$8,IF(AND('Bonding Program'!$K$21&lt;&gt;"",AQ$3='Bonding Program'!$K$21),'Bonding Program'!$J$21,0)-IF(AND('Bonding Program'!$M$21&lt;&gt;"",AQ$3='Bonding Program'!$M$21),'Bonding Program'!$L$21,0)-IF(AND('Bonding Program'!$P$21&lt;&gt;"",AQ$3='Bonding Program'!$P$21),'Bonding Program'!$O$21,0)-IF(AND('Bonding Program'!$R$21&lt;&gt;"",AQ$3='Bonding Program'!$R$21),'Bonding Program'!$Q$21,0),0)</f>
        <v>0</v>
      </c>
      <c r="AR162" s="19" t="n">
        <f aca="false">IF(AND('Bonding Program'!$S$21=1,AR$3='Bonding Program'!$H$21),'Bonding Program'!$AA$21,0)-IF(AR$3&lt;='Bonding Program'!$C$8,IF(AND('Bonding Program'!$K$21&lt;&gt;"",AR$3='Bonding Program'!$K$21),'Bonding Program'!$J$21,0)-IF(AND('Bonding Program'!$M$21&lt;&gt;"",AR$3='Bonding Program'!$M$21),'Bonding Program'!$L$21,0)-IF(AND('Bonding Program'!$P$21&lt;&gt;"",AR$3='Bonding Program'!$P$21),'Bonding Program'!$O$21,0)-IF(AND('Bonding Program'!$R$21&lt;&gt;"",AR$3='Bonding Program'!$R$21),'Bonding Program'!$Q$21,0),0)</f>
        <v>0</v>
      </c>
      <c r="AS162" s="19" t="n">
        <f aca="false">IF(AND('Bonding Program'!$S$21=1,AS$3='Bonding Program'!$H$21),'Bonding Program'!$AA$21,0)-IF(AS$3&lt;='Bonding Program'!$C$8,IF(AND('Bonding Program'!$K$21&lt;&gt;"",AS$3='Bonding Program'!$K$21),'Bonding Program'!$J$21,0)-IF(AND('Bonding Program'!$M$21&lt;&gt;"",AS$3='Bonding Program'!$M$21),'Bonding Program'!$L$21,0)-IF(AND('Bonding Program'!$P$21&lt;&gt;"",AS$3='Bonding Program'!$P$21),'Bonding Program'!$O$21,0)-IF(AND('Bonding Program'!$R$21&lt;&gt;"",AS$3='Bonding Program'!$R$21),'Bonding Program'!$Q$21,0),0)</f>
        <v>0</v>
      </c>
      <c r="AT162" s="19" t="n">
        <f aca="false">IF(AND('Bonding Program'!$S$21=1,AT$3='Bonding Program'!$H$21),'Bonding Program'!$AA$21,0)-IF(AT$3&lt;='Bonding Program'!$C$8,IF(AND('Bonding Program'!$K$21&lt;&gt;"",AT$3='Bonding Program'!$K$21),'Bonding Program'!$J$21,0)-IF(AND('Bonding Program'!$M$21&lt;&gt;"",AT$3='Bonding Program'!$M$21),'Bonding Program'!$L$21,0)-IF(AND('Bonding Program'!$P$21&lt;&gt;"",AT$3='Bonding Program'!$P$21),'Bonding Program'!$O$21,0)-IF(AND('Bonding Program'!$R$21&lt;&gt;"",AT$3='Bonding Program'!$R$21),'Bonding Program'!$Q$21,0),0)</f>
        <v>0</v>
      </c>
      <c r="AU162" s="19" t="n">
        <f aca="false">IF(AND('Bonding Program'!$S$21=1,AU$3='Bonding Program'!$H$21),'Bonding Program'!$AA$21,0)-IF(AU$3&lt;='Bonding Program'!$C$8,IF(AND('Bonding Program'!$K$21&lt;&gt;"",AU$3='Bonding Program'!$K$21),'Bonding Program'!$J$21,0)-IF(AND('Bonding Program'!$M$21&lt;&gt;"",AU$3='Bonding Program'!$M$21),'Bonding Program'!$L$21,0)-IF(AND('Bonding Program'!$P$21&lt;&gt;"",AU$3='Bonding Program'!$P$21),'Bonding Program'!$O$21,0)-IF(AND('Bonding Program'!$R$21&lt;&gt;"",AU$3='Bonding Program'!$R$21),'Bonding Program'!$Q$21,0),0)</f>
        <v>0</v>
      </c>
      <c r="AV162" s="19" t="n">
        <f aca="false">IF(AND('Bonding Program'!$S$21=1,AV$3='Bonding Program'!$H$21),'Bonding Program'!$AA$21,0)-IF(AV$3&lt;='Bonding Program'!$C$8,IF(AND('Bonding Program'!$K$21&lt;&gt;"",AV$3='Bonding Program'!$K$21),'Bonding Program'!$J$21,0)-IF(AND('Bonding Program'!$M$21&lt;&gt;"",AV$3='Bonding Program'!$M$21),'Bonding Program'!$L$21,0)-IF(AND('Bonding Program'!$P$21&lt;&gt;"",AV$3='Bonding Program'!$P$21),'Bonding Program'!$O$21,0)-IF(AND('Bonding Program'!$R$21&lt;&gt;"",AV$3='Bonding Program'!$R$21),'Bonding Program'!$Q$21,0),0)</f>
        <v>0</v>
      </c>
      <c r="AW162" s="19" t="n">
        <f aca="false">IF(AND('Bonding Program'!$S$21=1,AW$3='Bonding Program'!$H$21),'Bonding Program'!$AA$21,0)-IF(AW$3&lt;='Bonding Program'!$C$8,IF(AND('Bonding Program'!$K$21&lt;&gt;"",AW$3='Bonding Program'!$K$21),'Bonding Program'!$J$21,0)-IF(AND('Bonding Program'!$M$21&lt;&gt;"",AW$3='Bonding Program'!$M$21),'Bonding Program'!$L$21,0)-IF(AND('Bonding Program'!$P$21&lt;&gt;"",AW$3='Bonding Program'!$P$21),'Bonding Program'!$O$21,0)-IF(AND('Bonding Program'!$R$21&lt;&gt;"",AW$3='Bonding Program'!$R$21),'Bonding Program'!$Q$21,0),0)</f>
        <v>0</v>
      </c>
      <c r="AX162" s="19" t="n">
        <f aca="false">IF(AND('Bonding Program'!$S$21=1,AX$3='Bonding Program'!$H$21),'Bonding Program'!$AA$21,0)-IF(AX$3&lt;='Bonding Program'!$C$8,IF(AND('Bonding Program'!$K$21&lt;&gt;"",AX$3='Bonding Program'!$K$21),'Bonding Program'!$J$21,0)-IF(AND('Bonding Program'!$M$21&lt;&gt;"",AX$3='Bonding Program'!$M$21),'Bonding Program'!$L$21,0)-IF(AND('Bonding Program'!$P$21&lt;&gt;"",AX$3='Bonding Program'!$P$21),'Bonding Program'!$O$21,0)-IF(AND('Bonding Program'!$R$21&lt;&gt;"",AX$3='Bonding Program'!$R$21),'Bonding Program'!$Q$21,0),0)</f>
        <v>0</v>
      </c>
      <c r="AY162" s="19" t="n">
        <f aca="false">IF(AND('Bonding Program'!$S$21=1,AY$3='Bonding Program'!$H$21),'Bonding Program'!$AA$21,0)-IF(AY$3&lt;='Bonding Program'!$C$8,IF(AND('Bonding Program'!$K$21&lt;&gt;"",AY$3='Bonding Program'!$K$21),'Bonding Program'!$J$21,0)-IF(AND('Bonding Program'!$M$21&lt;&gt;"",AY$3='Bonding Program'!$M$21),'Bonding Program'!$L$21,0)-IF(AND('Bonding Program'!$P$21&lt;&gt;"",AY$3='Bonding Program'!$P$21),'Bonding Program'!$O$21,0)-IF(AND('Bonding Program'!$R$21&lt;&gt;"",AY$3='Bonding Program'!$R$21),'Bonding Program'!$Q$21,0),0)</f>
        <v>0</v>
      </c>
      <c r="AZ162" s="19" t="n">
        <f aca="false">IF(AND('Bonding Program'!$S$21=1,AZ$3='Bonding Program'!$H$21),'Bonding Program'!$AA$21,0)-IF(AZ$3&lt;='Bonding Program'!$C$8,IF(AND('Bonding Program'!$K$21&lt;&gt;"",AZ$3='Bonding Program'!$K$21),'Bonding Program'!$J$21,0)-IF(AND('Bonding Program'!$M$21&lt;&gt;"",AZ$3='Bonding Program'!$M$21),'Bonding Program'!$L$21,0)-IF(AND('Bonding Program'!$P$21&lt;&gt;"",AZ$3='Bonding Program'!$P$21),'Bonding Program'!$O$21,0)-IF(AND('Bonding Program'!$R$21&lt;&gt;"",AZ$3='Bonding Program'!$R$21),'Bonding Program'!$Q$21,0),0)</f>
        <v>0</v>
      </c>
      <c r="BA162" s="19" t="n">
        <f aca="false">IF(AND('Bonding Program'!$S$21=1,BA$3='Bonding Program'!$H$21),'Bonding Program'!$AA$21,0)-IF(BA$3&lt;='Bonding Program'!$C$8,IF(AND('Bonding Program'!$K$21&lt;&gt;"",BA$3='Bonding Program'!$K$21),'Bonding Program'!$J$21,0)-IF(AND('Bonding Program'!$M$21&lt;&gt;"",BA$3='Bonding Program'!$M$21),'Bonding Program'!$L$21,0)-IF(AND('Bonding Program'!$P$21&lt;&gt;"",BA$3='Bonding Program'!$P$21),'Bonding Program'!$O$21,0)-IF(AND('Bonding Program'!$R$21&lt;&gt;"",BA$3='Bonding Program'!$R$21),'Bonding Program'!$Q$21,0),0)</f>
        <v>0</v>
      </c>
      <c r="BB162" s="19" t="n">
        <f aca="false">IF(AND('Bonding Program'!$S$21=1,BB$3='Bonding Program'!$H$21),'Bonding Program'!$AA$21,0)-IF(BB$3&lt;='Bonding Program'!$C$8,IF(AND('Bonding Program'!$K$21&lt;&gt;"",BB$3='Bonding Program'!$K$21),'Bonding Program'!$J$21,0)-IF(AND('Bonding Program'!$M$21&lt;&gt;"",BB$3='Bonding Program'!$M$21),'Bonding Program'!$L$21,0)-IF(AND('Bonding Program'!$P$21&lt;&gt;"",BB$3='Bonding Program'!$P$21),'Bonding Program'!$O$21,0)-IF(AND('Bonding Program'!$R$21&lt;&gt;"",BB$3='Bonding Program'!$R$21),'Bonding Program'!$Q$21,0),0)</f>
        <v>0</v>
      </c>
      <c r="BC162" s="19" t="n">
        <f aca="false">IF(AND('Bonding Program'!$S$21=1,BC$3='Bonding Program'!$H$21),'Bonding Program'!$AA$21,0)-IF(BC$3&lt;='Bonding Program'!$C$8,IF(AND('Bonding Program'!$K$21&lt;&gt;"",BC$3='Bonding Program'!$K$21),'Bonding Program'!$J$21,0)-IF(AND('Bonding Program'!$M$21&lt;&gt;"",BC$3='Bonding Program'!$M$21),'Bonding Program'!$L$21,0)-IF(AND('Bonding Program'!$P$21&lt;&gt;"",BC$3='Bonding Program'!$P$21),'Bonding Program'!$O$21,0)-IF(AND('Bonding Program'!$R$21&lt;&gt;"",BC$3='Bonding Program'!$R$21),'Bonding Program'!$Q$21,0),0)</f>
        <v>0</v>
      </c>
      <c r="BD162" s="19" t="n">
        <f aca="false">IF(AND('Bonding Program'!$S$21=1,BD$3='Bonding Program'!$H$21),'Bonding Program'!$AA$21,0)-IF(BD$3&lt;='Bonding Program'!$C$8,IF(AND('Bonding Program'!$K$21&lt;&gt;"",BD$3='Bonding Program'!$K$21),'Bonding Program'!$J$21,0)-IF(AND('Bonding Program'!$M$21&lt;&gt;"",BD$3='Bonding Program'!$M$21),'Bonding Program'!$L$21,0)-IF(AND('Bonding Program'!$P$21&lt;&gt;"",BD$3='Bonding Program'!$P$21),'Bonding Program'!$O$21,0)-IF(AND('Bonding Program'!$R$21&lt;&gt;"",BD$3='Bonding Program'!$R$21),'Bonding Program'!$Q$21,0),0)</f>
        <v>0</v>
      </c>
      <c r="BE162" s="19" t="n">
        <f aca="false">IF(AND('Bonding Program'!$S$21=1,BE$3='Bonding Program'!$H$21),'Bonding Program'!$AA$21,0)-IF(BE$3&lt;='Bonding Program'!$C$8,IF(AND('Bonding Program'!$K$21&lt;&gt;"",BE$3='Bonding Program'!$K$21),'Bonding Program'!$J$21,0)-IF(AND('Bonding Program'!$M$21&lt;&gt;"",BE$3='Bonding Program'!$M$21),'Bonding Program'!$L$21,0)-IF(AND('Bonding Program'!$P$21&lt;&gt;"",BE$3='Bonding Program'!$P$21),'Bonding Program'!$O$21,0)-IF(AND('Bonding Program'!$R$21&lt;&gt;"",BE$3='Bonding Program'!$R$21),'Bonding Program'!$Q$21,0),0)</f>
        <v>0</v>
      </c>
      <c r="BF162" s="19" t="n">
        <f aca="false">IF(AND('Bonding Program'!$S$21=1,BF$3='Bonding Program'!$H$21),'Bonding Program'!$AA$21,0)-IF(BF$3&lt;='Bonding Program'!$C$8,IF(AND('Bonding Program'!$K$21&lt;&gt;"",BF$3='Bonding Program'!$K$21),'Bonding Program'!$J$21,0)-IF(AND('Bonding Program'!$M$21&lt;&gt;"",BF$3='Bonding Program'!$M$21),'Bonding Program'!$L$21,0)-IF(AND('Bonding Program'!$P$21&lt;&gt;"",BF$3='Bonding Program'!$P$21),'Bonding Program'!$O$21,0)-IF(AND('Bonding Program'!$R$21&lt;&gt;"",BF$3='Bonding Program'!$R$21),'Bonding Program'!$Q$21,0),0)</f>
        <v>0</v>
      </c>
      <c r="BG162" s="19" t="n">
        <f aca="false">IF(AND('Bonding Program'!$S$21=1,BG$3='Bonding Program'!$H$21),'Bonding Program'!$AA$21,0)-IF(BG$3&lt;='Bonding Program'!$C$8,IF(AND('Bonding Program'!$K$21&lt;&gt;"",BG$3='Bonding Program'!$K$21),'Bonding Program'!$J$21,0)-IF(AND('Bonding Program'!$M$21&lt;&gt;"",BG$3='Bonding Program'!$M$21),'Bonding Program'!$L$21,0)-IF(AND('Bonding Program'!$P$21&lt;&gt;"",BG$3='Bonding Program'!$P$21),'Bonding Program'!$O$21,0)-IF(AND('Bonding Program'!$R$21&lt;&gt;"",BG$3='Bonding Program'!$R$21),'Bonding Program'!$Q$21,0),0)</f>
        <v>0</v>
      </c>
      <c r="BH162" s="19" t="n">
        <f aca="false">IF(AND('Bonding Program'!$S$21=1,BH$3='Bonding Program'!$H$21),'Bonding Program'!$AA$21,0)-IF(BH$3&lt;='Bonding Program'!$C$8,IF(AND('Bonding Program'!$K$21&lt;&gt;"",BH$3='Bonding Program'!$K$21),'Bonding Program'!$J$21,0)-IF(AND('Bonding Program'!$M$21&lt;&gt;"",BH$3='Bonding Program'!$M$21),'Bonding Program'!$L$21,0)-IF(AND('Bonding Program'!$P$21&lt;&gt;"",BH$3='Bonding Program'!$P$21),'Bonding Program'!$O$21,0)-IF(AND('Bonding Program'!$R$21&lt;&gt;"",BH$3='Bonding Program'!$R$21),'Bonding Program'!$Q$21,0),0)</f>
        <v>0</v>
      </c>
      <c r="BI162" s="19" t="n">
        <f aca="false">IF(AND('Bonding Program'!$S$21=1,BI$3='Bonding Program'!$H$21),'Bonding Program'!$AA$21,0)-IF(BI$3&lt;='Bonding Program'!$C$8,IF(AND('Bonding Program'!$K$21&lt;&gt;"",BI$3='Bonding Program'!$K$21),'Bonding Program'!$J$21,0)-IF(AND('Bonding Program'!$M$21&lt;&gt;"",BI$3='Bonding Program'!$M$21),'Bonding Program'!$L$21,0)-IF(AND('Bonding Program'!$P$21&lt;&gt;"",BI$3='Bonding Program'!$P$21),'Bonding Program'!$O$21,0)-IF(AND('Bonding Program'!$R$21&lt;&gt;"",BI$3='Bonding Program'!$R$21),'Bonding Program'!$Q$21,0),0)</f>
        <v>0</v>
      </c>
      <c r="BJ162" s="19" t="n">
        <f aca="false">IF(AND('Bonding Program'!$S$21=1,BJ$3='Bonding Program'!$H$21),'Bonding Program'!$AA$21,0)-IF(BJ$3&lt;='Bonding Program'!$C$8,IF(AND('Bonding Program'!$K$21&lt;&gt;"",BJ$3='Bonding Program'!$K$21),'Bonding Program'!$J$21,0)-IF(AND('Bonding Program'!$M$21&lt;&gt;"",BJ$3='Bonding Program'!$M$21),'Bonding Program'!$L$21,0)-IF(AND('Bonding Program'!$P$21&lt;&gt;"",BJ$3='Bonding Program'!$P$21),'Bonding Program'!$O$21,0)-IF(AND('Bonding Program'!$R$21&lt;&gt;"",BJ$3='Bonding Program'!$R$21),'Bonding Program'!$Q$21,0),0)</f>
        <v>0</v>
      </c>
      <c r="BK162" s="19" t="n">
        <f aca="false">IF(AND('Bonding Program'!$S$21=1,BK$3='Bonding Program'!$H$21),'Bonding Program'!$AA$21,0)-IF(BK$3&lt;='Bonding Program'!$C$8,IF(AND('Bonding Program'!$K$21&lt;&gt;"",BK$3='Bonding Program'!$K$21),'Bonding Program'!$J$21,0)-IF(AND('Bonding Program'!$M$21&lt;&gt;"",BK$3='Bonding Program'!$M$21),'Bonding Program'!$L$21,0)-IF(AND('Bonding Program'!$P$21&lt;&gt;"",BK$3='Bonding Program'!$P$21),'Bonding Program'!$O$21,0)-IF(AND('Bonding Program'!$R$21&lt;&gt;"",BK$3='Bonding Program'!$R$21),'Bonding Program'!$Q$21,0),0)</f>
        <v>0</v>
      </c>
      <c r="BL162" s="19" t="n">
        <f aca="false">IF(AND('Bonding Program'!$S$21=1,BL$3='Bonding Program'!$H$21),'Bonding Program'!$AA$21,0)-IF(BL$3&lt;='Bonding Program'!$C$8,IF(AND('Bonding Program'!$K$21&lt;&gt;"",BL$3='Bonding Program'!$K$21),'Bonding Program'!$J$21,0)-IF(AND('Bonding Program'!$M$21&lt;&gt;"",BL$3='Bonding Program'!$M$21),'Bonding Program'!$L$21,0)-IF(AND('Bonding Program'!$P$21&lt;&gt;"",BL$3='Bonding Program'!$P$21),'Bonding Program'!$O$21,0)-IF(AND('Bonding Program'!$R$21&lt;&gt;"",BL$3='Bonding Program'!$R$21),'Bonding Program'!$Q$21,0),0)</f>
        <v>0</v>
      </c>
      <c r="BM162" s="19" t="n">
        <f aca="false">IF(AND('Bonding Program'!$S$21=1,BM$3='Bonding Program'!$H$21),'Bonding Program'!$AA$21,0)-IF(BM$3&lt;='Bonding Program'!$C$8,IF(AND('Bonding Program'!$K$21&lt;&gt;"",BM$3='Bonding Program'!$K$21),'Bonding Program'!$J$21,0)-IF(AND('Bonding Program'!$M$21&lt;&gt;"",BM$3='Bonding Program'!$M$21),'Bonding Program'!$L$21,0)-IF(AND('Bonding Program'!$P$21&lt;&gt;"",BM$3='Bonding Program'!$P$21),'Bonding Program'!$O$21,0)-IF(AND('Bonding Program'!$R$21&lt;&gt;"",BM$3='Bonding Program'!$R$21),'Bonding Program'!$Q$21,0),0)</f>
        <v>0</v>
      </c>
      <c r="BN162" s="19" t="n">
        <f aca="false">IF(AND('Bonding Program'!$S$21=1,BN$3='Bonding Program'!$H$21),'Bonding Program'!$AA$21,0)-IF(BN$3&lt;='Bonding Program'!$C$8,IF(AND('Bonding Program'!$K$21&lt;&gt;"",BN$3='Bonding Program'!$K$21),'Bonding Program'!$J$21,0)-IF(AND('Bonding Program'!$M$21&lt;&gt;"",BN$3='Bonding Program'!$M$21),'Bonding Program'!$L$21,0)-IF(AND('Bonding Program'!$P$21&lt;&gt;"",BN$3='Bonding Program'!$P$21),'Bonding Program'!$O$21,0)-IF(AND('Bonding Program'!$R$21&lt;&gt;"",BN$3='Bonding Program'!$R$21),'Bonding Program'!$Q$21,0),0)</f>
        <v>0</v>
      </c>
      <c r="BO162" s="19" t="n">
        <f aca="false">IF(AND('Bonding Program'!$S$21=1,BO$3='Bonding Program'!$H$21),'Bonding Program'!$AA$21,0)-IF(BO$3&lt;='Bonding Program'!$C$8,IF(AND('Bonding Program'!$K$21&lt;&gt;"",BO$3='Bonding Program'!$K$21),'Bonding Program'!$J$21,0)-IF(AND('Bonding Program'!$M$21&lt;&gt;"",BO$3='Bonding Program'!$M$21),'Bonding Program'!$L$21,0)-IF(AND('Bonding Program'!$P$21&lt;&gt;"",BO$3='Bonding Program'!$P$21),'Bonding Program'!$O$21,0)-IF(AND('Bonding Program'!$R$21&lt;&gt;"",BO$3='Bonding Program'!$R$21),'Bonding Program'!$Q$21,0),0)</f>
        <v>0</v>
      </c>
      <c r="BP162" s="19" t="n">
        <f aca="false">IF(AND('Bonding Program'!$S$21=1,BP$3='Bonding Program'!$H$21),'Bonding Program'!$AA$21,0)-IF(BP$3&lt;='Bonding Program'!$C$8,IF(AND('Bonding Program'!$K$21&lt;&gt;"",BP$3='Bonding Program'!$K$21),'Bonding Program'!$J$21,0)-IF(AND('Bonding Program'!$M$21&lt;&gt;"",BP$3='Bonding Program'!$M$21),'Bonding Program'!$L$21,0)-IF(AND('Bonding Program'!$P$21&lt;&gt;"",BP$3='Bonding Program'!$P$21),'Bonding Program'!$O$21,0)-IF(AND('Bonding Program'!$R$21&lt;&gt;"",BP$3='Bonding Program'!$R$21),'Bonding Program'!$Q$21,0),0)</f>
        <v>0</v>
      </c>
      <c r="BQ162" s="19" t="n">
        <f aca="false">IF(AND('Bonding Program'!$S$21=1,BQ$3='Bonding Program'!$H$21),'Bonding Program'!$AA$21,0)-IF(BQ$3&lt;='Bonding Program'!$C$8,IF(AND('Bonding Program'!$K$21&lt;&gt;"",BQ$3='Bonding Program'!$K$21),'Bonding Program'!$J$21,0)-IF(AND('Bonding Program'!$M$21&lt;&gt;"",BQ$3='Bonding Program'!$M$21),'Bonding Program'!$L$21,0)-IF(AND('Bonding Program'!$P$21&lt;&gt;"",BQ$3='Bonding Program'!$P$21),'Bonding Program'!$O$21,0)-IF(AND('Bonding Program'!$R$21&lt;&gt;"",BQ$3='Bonding Program'!$R$21),'Bonding Program'!$Q$21,0),0)</f>
        <v>0</v>
      </c>
      <c r="BR162" s="19" t="n">
        <f aca="false">IF(AND('Bonding Program'!$S$21=1,BR$3='Bonding Program'!$H$21),'Bonding Program'!$AA$21,0)-IF(BR$3&lt;='Bonding Program'!$C$8,IF(AND('Bonding Program'!$K$21&lt;&gt;"",BR$3='Bonding Program'!$K$21),'Bonding Program'!$J$21,0)-IF(AND('Bonding Program'!$M$21&lt;&gt;"",BR$3='Bonding Program'!$M$21),'Bonding Program'!$L$21,0)-IF(AND('Bonding Program'!$P$21&lt;&gt;"",BR$3='Bonding Program'!$P$21),'Bonding Program'!$O$21,0)-IF(AND('Bonding Program'!$R$21&lt;&gt;"",BR$3='Bonding Program'!$R$21),'Bonding Program'!$Q$21,0),0)</f>
        <v>0</v>
      </c>
      <c r="BS162" s="19" t="n">
        <f aca="false">IF(AND('Bonding Program'!$S$21=1,BS$3='Bonding Program'!$H$21),'Bonding Program'!$AA$21,0)-IF(BS$3&lt;='Bonding Program'!$C$8,IF(AND('Bonding Program'!$K$21&lt;&gt;"",BS$3='Bonding Program'!$K$21),'Bonding Program'!$J$21,0)-IF(AND('Bonding Program'!$M$21&lt;&gt;"",BS$3='Bonding Program'!$M$21),'Bonding Program'!$L$21,0)-IF(AND('Bonding Program'!$P$21&lt;&gt;"",BS$3='Bonding Program'!$P$21),'Bonding Program'!$O$21,0)-IF(AND('Bonding Program'!$R$21&lt;&gt;"",BS$3='Bonding Program'!$R$21),'Bonding Program'!$Q$21,0),0)</f>
        <v>0</v>
      </c>
      <c r="BT162" s="19" t="n">
        <f aca="false">IF(AND('Bonding Program'!$S$21=1,BT$3='Bonding Program'!$H$21),'Bonding Program'!$AA$21,0)-IF(BT$3&lt;='Bonding Program'!$C$8,IF(AND('Bonding Program'!$K$21&lt;&gt;"",BT$3='Bonding Program'!$K$21),'Bonding Program'!$J$21,0)-IF(AND('Bonding Program'!$M$21&lt;&gt;"",BT$3='Bonding Program'!$M$21),'Bonding Program'!$L$21,0)-IF(AND('Bonding Program'!$P$21&lt;&gt;"",BT$3='Bonding Program'!$P$21),'Bonding Program'!$O$21,0)-IF(AND('Bonding Program'!$R$21&lt;&gt;"",BT$3='Bonding Program'!$R$21),'Bonding Program'!$Q$21,0),0)</f>
        <v>0</v>
      </c>
      <c r="BU162" s="19" t="n">
        <f aca="false">IF(AND('Bonding Program'!$S$21=1,BU$3='Bonding Program'!$H$21),'Bonding Program'!$AA$21,0)-IF(BU$3&lt;='Bonding Program'!$C$8,IF(AND('Bonding Program'!$K$21&lt;&gt;"",BU$3='Bonding Program'!$K$21),'Bonding Program'!$J$21,0)-IF(AND('Bonding Program'!$M$21&lt;&gt;"",BU$3='Bonding Program'!$M$21),'Bonding Program'!$L$21,0)-IF(AND('Bonding Program'!$P$21&lt;&gt;"",BU$3='Bonding Program'!$P$21),'Bonding Program'!$O$21,0)-IF(AND('Bonding Program'!$R$21&lt;&gt;"",BU$3='Bonding Program'!$R$21),'Bonding Program'!$Q$21,0),0)</f>
        <v>0</v>
      </c>
      <c r="BV162" s="19" t="n">
        <f aca="false">IF(AND('Bonding Program'!$S$21=1,BV$3='Bonding Program'!$H$21),'Bonding Program'!$AA$21,0)-IF(BV$3&lt;='Bonding Program'!$C$8,IF(AND('Bonding Program'!$K$21&lt;&gt;"",BV$3='Bonding Program'!$K$21),'Bonding Program'!$J$21,0)-IF(AND('Bonding Program'!$M$21&lt;&gt;"",BV$3='Bonding Program'!$M$21),'Bonding Program'!$L$21,0)-IF(AND('Bonding Program'!$P$21&lt;&gt;"",BV$3='Bonding Program'!$P$21),'Bonding Program'!$O$21,0)-IF(AND('Bonding Program'!$R$21&lt;&gt;"",BV$3='Bonding Program'!$R$21),'Bonding Program'!$Q$21,0),0)</f>
        <v>0</v>
      </c>
      <c r="BW162" s="19" t="n">
        <f aca="false">IF(AND('Bonding Program'!$S$21=1,BW$3='Bonding Program'!$H$21),'Bonding Program'!$AA$21,0)-IF(BW$3&lt;='Bonding Program'!$C$8,IF(AND('Bonding Program'!$K$21&lt;&gt;"",BW$3='Bonding Program'!$K$21),'Bonding Program'!$J$21,0)-IF(AND('Bonding Program'!$M$21&lt;&gt;"",BW$3='Bonding Program'!$M$21),'Bonding Program'!$L$21,0)-IF(AND('Bonding Program'!$P$21&lt;&gt;"",BW$3='Bonding Program'!$P$21),'Bonding Program'!$O$21,0)-IF(AND('Bonding Program'!$R$21&lt;&gt;"",BW$3='Bonding Program'!$R$21),'Bonding Program'!$Q$21,0),0)</f>
        <v>0</v>
      </c>
      <c r="BX162" s="19" t="n">
        <f aca="false">IF(AND('Bonding Program'!$S$21=1,BX$3='Bonding Program'!$H$21),'Bonding Program'!$AA$21,0)-IF(BX$3&lt;='Bonding Program'!$C$8,IF(AND('Bonding Program'!$K$21&lt;&gt;"",BX$3='Bonding Program'!$K$21),'Bonding Program'!$J$21,0)-IF(AND('Bonding Program'!$M$21&lt;&gt;"",BX$3='Bonding Program'!$M$21),'Bonding Program'!$L$21,0)-IF(AND('Bonding Program'!$P$21&lt;&gt;"",BX$3='Bonding Program'!$P$21),'Bonding Program'!$O$21,0)-IF(AND('Bonding Program'!$R$21&lt;&gt;"",BX$3='Bonding Program'!$R$21),'Bonding Program'!$Q$21,0),0)</f>
        <v>0</v>
      </c>
      <c r="BY162" s="19" t="n">
        <f aca="false">IF(AND('Bonding Program'!$S$21=1,BY$3='Bonding Program'!$H$21),'Bonding Program'!$AA$21,0)-IF(BY$3&lt;='Bonding Program'!$C$8,IF(AND('Bonding Program'!$K$21&lt;&gt;"",BY$3='Bonding Program'!$K$21),'Bonding Program'!$J$21,0)-IF(AND('Bonding Program'!$M$21&lt;&gt;"",BY$3='Bonding Program'!$M$21),'Bonding Program'!$L$21,0)-IF(AND('Bonding Program'!$P$21&lt;&gt;"",BY$3='Bonding Program'!$P$21),'Bonding Program'!$O$21,0)-IF(AND('Bonding Program'!$R$21&lt;&gt;"",BY$3='Bonding Program'!$R$21),'Bonding Program'!$Q$21,0),0)</f>
        <v>0</v>
      </c>
      <c r="BZ162" s="19" t="n">
        <f aca="false">IF(AND('Bonding Program'!$S$21=1,BZ$3='Bonding Program'!$H$21),'Bonding Program'!$AA$21,0)-IF(BZ$3&lt;='Bonding Program'!$C$8,IF(AND('Bonding Program'!$K$21&lt;&gt;"",BZ$3='Bonding Program'!$K$21),'Bonding Program'!$J$21,0)-IF(AND('Bonding Program'!$M$21&lt;&gt;"",BZ$3='Bonding Program'!$M$21),'Bonding Program'!$L$21,0)-IF(AND('Bonding Program'!$P$21&lt;&gt;"",BZ$3='Bonding Program'!$P$21),'Bonding Program'!$O$21,0)-IF(AND('Bonding Program'!$R$21&lt;&gt;"",BZ$3='Bonding Program'!$R$21),'Bonding Program'!$Q$21,0),0)</f>
        <v>0</v>
      </c>
      <c r="CA162" s="19" t="n">
        <f aca="false">IF(AND('Bonding Program'!$S$21=1,CA$3='Bonding Program'!$H$21),'Bonding Program'!$AA$21,0)-IF(CA$3&lt;='Bonding Program'!$C$8,IF(AND('Bonding Program'!$K$21&lt;&gt;"",CA$3='Bonding Program'!$K$21),'Bonding Program'!$J$21,0)-IF(AND('Bonding Program'!$M$21&lt;&gt;"",CA$3='Bonding Program'!$M$21),'Bonding Program'!$L$21,0)-IF(AND('Bonding Program'!$P$21&lt;&gt;"",CA$3='Bonding Program'!$P$21),'Bonding Program'!$O$21,0)-IF(AND('Bonding Program'!$R$21&lt;&gt;"",CA$3='Bonding Program'!$R$21),'Bonding Program'!$Q$21,0),0)</f>
        <v>0</v>
      </c>
      <c r="CB162" s="19" t="n">
        <f aca="false">IF(AND('Bonding Program'!$S$21=1,CB$3='Bonding Program'!$H$21),'Bonding Program'!$AA$21,0)-IF(CB$3&lt;='Bonding Program'!$C$8,IF(AND('Bonding Program'!$K$21&lt;&gt;"",CB$3='Bonding Program'!$K$21),'Bonding Program'!$J$21,0)-IF(AND('Bonding Program'!$M$21&lt;&gt;"",CB$3='Bonding Program'!$M$21),'Bonding Program'!$L$21,0)-IF(AND('Bonding Program'!$P$21&lt;&gt;"",CB$3='Bonding Program'!$P$21),'Bonding Program'!$O$21,0)-IF(AND('Bonding Program'!$R$21&lt;&gt;"",CB$3='Bonding Program'!$R$21),'Bonding Program'!$Q$21,0),0)</f>
        <v>0</v>
      </c>
      <c r="CC162" s="19" t="n">
        <f aca="false">IF(AND('Bonding Program'!$S$21=1,CC$3='Bonding Program'!$H$21),'Bonding Program'!$AA$21,0)-IF(CC$3&lt;='Bonding Program'!$C$8,IF(AND('Bonding Program'!$K$21&lt;&gt;"",CC$3='Bonding Program'!$K$21),'Bonding Program'!$J$21,0)-IF(AND('Bonding Program'!$M$21&lt;&gt;"",CC$3='Bonding Program'!$M$21),'Bonding Program'!$L$21,0)-IF(AND('Bonding Program'!$P$21&lt;&gt;"",CC$3='Bonding Program'!$P$21),'Bonding Program'!$O$21,0)-IF(AND('Bonding Program'!$R$21&lt;&gt;"",CC$3='Bonding Program'!$R$21),'Bonding Program'!$Q$21,0),0)</f>
        <v>0</v>
      </c>
      <c r="CD162" s="19" t="n">
        <f aca="false">IF(AND('Bonding Program'!$S$21=1,CD$3='Bonding Program'!$H$21),'Bonding Program'!$AA$21,0)-IF(CD$3&lt;='Bonding Program'!$C$8,IF(AND('Bonding Program'!$K$21&lt;&gt;"",CD$3='Bonding Program'!$K$21),'Bonding Program'!$J$21,0)-IF(AND('Bonding Program'!$M$21&lt;&gt;"",CD$3='Bonding Program'!$M$21),'Bonding Program'!$L$21,0)-IF(AND('Bonding Program'!$P$21&lt;&gt;"",CD$3='Bonding Program'!$P$21),'Bonding Program'!$O$21,0)-IF(AND('Bonding Program'!$R$21&lt;&gt;"",CD$3='Bonding Program'!$R$21),'Bonding Program'!$Q$21,0),0)</f>
        <v>0</v>
      </c>
      <c r="CE162" s="19" t="n">
        <f aca="false">IF(AND('Bonding Program'!$S$21=1,CE$3='Bonding Program'!$H$21),'Bonding Program'!$AA$21,0)-IF(CE$3&lt;='Bonding Program'!$C$8,IF(AND('Bonding Program'!$K$21&lt;&gt;"",CE$3='Bonding Program'!$K$21),'Bonding Program'!$J$21,0)-IF(AND('Bonding Program'!$M$21&lt;&gt;"",CE$3='Bonding Program'!$M$21),'Bonding Program'!$L$21,0)-IF(AND('Bonding Program'!$P$21&lt;&gt;"",CE$3='Bonding Program'!$P$21),'Bonding Program'!$O$21,0)-IF(AND('Bonding Program'!$R$21&lt;&gt;"",CE$3='Bonding Program'!$R$21),'Bonding Program'!$Q$21,0),0)</f>
        <v>0</v>
      </c>
      <c r="CF162" s="19" t="n">
        <f aca="false">IF(AND('Bonding Program'!$S$21=1,CF$3='Bonding Program'!$H$21),'Bonding Program'!$AA$21,0)-IF(CF$3&lt;='Bonding Program'!$C$8,IF(AND('Bonding Program'!$K$21&lt;&gt;"",CF$3='Bonding Program'!$K$21),'Bonding Program'!$J$21,0)-IF(AND('Bonding Program'!$M$21&lt;&gt;"",CF$3='Bonding Program'!$M$21),'Bonding Program'!$L$21,0)-IF(AND('Bonding Program'!$P$21&lt;&gt;"",CF$3='Bonding Program'!$P$21),'Bonding Program'!$O$21,0)-IF(AND('Bonding Program'!$R$21&lt;&gt;"",CF$3='Bonding Program'!$R$21),'Bonding Program'!$Q$21,0),0)</f>
        <v>0</v>
      </c>
      <c r="CG162" s="19" t="n">
        <f aca="false">IF(AND('Bonding Program'!$S$21=1,CG$3='Bonding Program'!$H$21),'Bonding Program'!$AA$21,0)-IF(CG$3&lt;='Bonding Program'!$C$8,IF(AND('Bonding Program'!$K$21&lt;&gt;"",CG$3='Bonding Program'!$K$21),'Bonding Program'!$J$21,0)-IF(AND('Bonding Program'!$M$21&lt;&gt;"",CG$3='Bonding Program'!$M$21),'Bonding Program'!$L$21,0)-IF(AND('Bonding Program'!$P$21&lt;&gt;"",CG$3='Bonding Program'!$P$21),'Bonding Program'!$O$21,0)-IF(AND('Bonding Program'!$R$21&lt;&gt;"",CG$3='Bonding Program'!$R$21),'Bonding Program'!$Q$21,0),0)</f>
        <v>0</v>
      </c>
      <c r="CH162" s="19" t="n">
        <f aca="false">IF(AND('Bonding Program'!$S$21=1,CH$3='Bonding Program'!$H$21),'Bonding Program'!$AA$21,0)-IF(CH$3&lt;='Bonding Program'!$C$8,IF(AND('Bonding Program'!$K$21&lt;&gt;"",CH$3='Bonding Program'!$K$21),'Bonding Program'!$J$21,0)-IF(AND('Bonding Program'!$M$21&lt;&gt;"",CH$3='Bonding Program'!$M$21),'Bonding Program'!$L$21,0)-IF(AND('Bonding Program'!$P$21&lt;&gt;"",CH$3='Bonding Program'!$P$21),'Bonding Program'!$O$21,0)-IF(AND('Bonding Program'!$R$21&lt;&gt;"",CH$3='Bonding Program'!$R$21),'Bonding Program'!$Q$21,0),0)</f>
        <v>0</v>
      </c>
      <c r="CI162" s="19" t="n">
        <f aca="false">IF(AND('Bonding Program'!$S$21=1,CI$3='Bonding Program'!$H$21),'Bonding Program'!$AA$21,0)-IF(CI$3&lt;='Bonding Program'!$C$8,IF(AND('Bonding Program'!$K$21&lt;&gt;"",CI$3='Bonding Program'!$K$21),'Bonding Program'!$J$21,0)-IF(AND('Bonding Program'!$M$21&lt;&gt;"",CI$3='Bonding Program'!$M$21),'Bonding Program'!$L$21,0)-IF(AND('Bonding Program'!$P$21&lt;&gt;"",CI$3='Bonding Program'!$P$21),'Bonding Program'!$O$21,0)-IF(AND('Bonding Program'!$R$21&lt;&gt;"",CI$3='Bonding Program'!$R$21),'Bonding Program'!$Q$21,0),0)</f>
        <v>0</v>
      </c>
      <c r="CJ162" s="19" t="n">
        <f aca="false">IF(AND('Bonding Program'!$S$21=1,CJ$3='Bonding Program'!$H$21),'Bonding Program'!$AA$21,0)-IF(CJ$3&lt;='Bonding Program'!$C$8,IF(AND('Bonding Program'!$K$21&lt;&gt;"",CJ$3='Bonding Program'!$K$21),'Bonding Program'!$J$21,0)-IF(AND('Bonding Program'!$M$21&lt;&gt;"",CJ$3='Bonding Program'!$M$21),'Bonding Program'!$L$21,0)-IF(AND('Bonding Program'!$P$21&lt;&gt;"",CJ$3='Bonding Program'!$P$21),'Bonding Program'!$O$21,0)-IF(AND('Bonding Program'!$R$21&lt;&gt;"",CJ$3='Bonding Program'!$R$21),'Bonding Program'!$Q$21,0),0)</f>
        <v>0</v>
      </c>
      <c r="CK162" s="19" t="n">
        <f aca="false">IF(AND('Bonding Program'!$S$21=1,CK$3='Bonding Program'!$H$21),'Bonding Program'!$AA$21,0)-IF(CK$3&lt;='Bonding Program'!$C$8,IF(AND('Bonding Program'!$K$21&lt;&gt;"",CK$3='Bonding Program'!$K$21),'Bonding Program'!$J$21,0)-IF(AND('Bonding Program'!$M$21&lt;&gt;"",CK$3='Bonding Program'!$M$21),'Bonding Program'!$L$21,0)-IF(AND('Bonding Program'!$P$21&lt;&gt;"",CK$3='Bonding Program'!$P$21),'Bonding Program'!$O$21,0)-IF(AND('Bonding Program'!$R$21&lt;&gt;"",CK$3='Bonding Program'!$R$21),'Bonding Program'!$Q$21,0),0)</f>
        <v>0</v>
      </c>
      <c r="CL162" s="19" t="n">
        <f aca="false">IF(AND('Bonding Program'!$S$21=1,CL$3='Bonding Program'!$H$21),'Bonding Program'!$AA$21,0)-IF(CL$3&lt;='Bonding Program'!$C$8,IF(AND('Bonding Program'!$K$21&lt;&gt;"",CL$3='Bonding Program'!$K$21),'Bonding Program'!$J$21,0)-IF(AND('Bonding Program'!$M$21&lt;&gt;"",CL$3='Bonding Program'!$M$21),'Bonding Program'!$L$21,0)-IF(AND('Bonding Program'!$P$21&lt;&gt;"",CL$3='Bonding Program'!$P$21),'Bonding Program'!$O$21,0)-IF(AND('Bonding Program'!$R$21&lt;&gt;"",CL$3='Bonding Program'!$R$21),'Bonding Program'!$Q$21,0),0)</f>
        <v>0</v>
      </c>
      <c r="CM162" s="19" t="n">
        <f aca="false">IF(AND('Bonding Program'!$S$21=1,CM$3='Bonding Program'!$H$21),'Bonding Program'!$AA$21,0)-IF(CM$3&lt;='Bonding Program'!$C$8,IF(AND('Bonding Program'!$K$21&lt;&gt;"",CM$3='Bonding Program'!$K$21),'Bonding Program'!$J$21,0)-IF(AND('Bonding Program'!$M$21&lt;&gt;"",CM$3='Bonding Program'!$M$21),'Bonding Program'!$L$21,0)-IF(AND('Bonding Program'!$P$21&lt;&gt;"",CM$3='Bonding Program'!$P$21),'Bonding Program'!$O$21,0)-IF(AND('Bonding Program'!$R$21&lt;&gt;"",CM$3='Bonding Program'!$R$21),'Bonding Program'!$Q$21,0),0)</f>
        <v>0</v>
      </c>
      <c r="CN162" s="19" t="n">
        <f aca="false">IF(AND('Bonding Program'!$S$21=1,CN$3='Bonding Program'!$H$21),'Bonding Program'!$AA$21,0)-IF(CN$3&lt;='Bonding Program'!$C$8,IF(AND('Bonding Program'!$K$21&lt;&gt;"",CN$3='Bonding Program'!$K$21),'Bonding Program'!$J$21,0)-IF(AND('Bonding Program'!$M$21&lt;&gt;"",CN$3='Bonding Program'!$M$21),'Bonding Program'!$L$21,0)-IF(AND('Bonding Program'!$P$21&lt;&gt;"",CN$3='Bonding Program'!$P$21),'Bonding Program'!$O$21,0)-IF(AND('Bonding Program'!$R$21&lt;&gt;"",CN$3='Bonding Program'!$R$21),'Bonding Program'!$Q$21,0),0)</f>
        <v>0</v>
      </c>
      <c r="CO162" s="19" t="n">
        <f aca="false">IF(AND('Bonding Program'!$S$21=1,CO$3='Bonding Program'!$H$21),'Bonding Program'!$AA$21,0)-IF(CO$3&lt;='Bonding Program'!$C$8,IF(AND('Bonding Program'!$K$21&lt;&gt;"",CO$3='Bonding Program'!$K$21),'Bonding Program'!$J$21,0)-IF(AND('Bonding Program'!$M$21&lt;&gt;"",CO$3='Bonding Program'!$M$21),'Bonding Program'!$L$21,0)-IF(AND('Bonding Program'!$P$21&lt;&gt;"",CO$3='Bonding Program'!$P$21),'Bonding Program'!$O$21,0)-IF(AND('Bonding Program'!$R$21&lt;&gt;"",CO$3='Bonding Program'!$R$21),'Bonding Program'!$Q$21,0),0)</f>
        <v>0</v>
      </c>
      <c r="CP162" s="19" t="n">
        <f aca="false">IF(AND('Bonding Program'!$S$21=1,CP$3='Bonding Program'!$H$21),'Bonding Program'!$AA$21,0)-IF(CP$3&lt;='Bonding Program'!$C$8,IF(AND('Bonding Program'!$K$21&lt;&gt;"",CP$3='Bonding Program'!$K$21),'Bonding Program'!$J$21,0)-IF(AND('Bonding Program'!$M$21&lt;&gt;"",CP$3='Bonding Program'!$M$21),'Bonding Program'!$L$21,0)-IF(AND('Bonding Program'!$P$21&lt;&gt;"",CP$3='Bonding Program'!$P$21),'Bonding Program'!$O$21,0)-IF(AND('Bonding Program'!$R$21&lt;&gt;"",CP$3='Bonding Program'!$R$21),'Bonding Program'!$Q$21,0),0)</f>
        <v>0</v>
      </c>
      <c r="CQ162" s="19" t="n">
        <f aca="false">IF(AND('Bonding Program'!$S$21=1,CQ$3='Bonding Program'!$H$21),'Bonding Program'!$AA$21,0)-IF(CQ$3&lt;='Bonding Program'!$C$8,IF(AND('Bonding Program'!$K$21&lt;&gt;"",CQ$3='Bonding Program'!$K$21),'Bonding Program'!$J$21,0)-IF(AND('Bonding Program'!$M$21&lt;&gt;"",CQ$3='Bonding Program'!$M$21),'Bonding Program'!$L$21,0)-IF(AND('Bonding Program'!$P$21&lt;&gt;"",CQ$3='Bonding Program'!$P$21),'Bonding Program'!$O$21,0)-IF(AND('Bonding Program'!$R$21&lt;&gt;"",CQ$3='Bonding Program'!$R$21),'Bonding Program'!$Q$21,0),0)</f>
        <v>0</v>
      </c>
      <c r="CR162" s="19" t="n">
        <f aca="false">IF(AND('Bonding Program'!$S$21=1,CR$3='Bonding Program'!$H$21),'Bonding Program'!$AA$21,0)-IF(CR$3&lt;='Bonding Program'!$C$8,IF(AND('Bonding Program'!$K$21&lt;&gt;"",CR$3='Bonding Program'!$K$21),'Bonding Program'!$J$21,0)-IF(AND('Bonding Program'!$M$21&lt;&gt;"",CR$3='Bonding Program'!$M$21),'Bonding Program'!$L$21,0)-IF(AND('Bonding Program'!$P$21&lt;&gt;"",CR$3='Bonding Program'!$P$21),'Bonding Program'!$O$21,0)-IF(AND('Bonding Program'!$R$21&lt;&gt;"",CR$3='Bonding Program'!$R$21),'Bonding Program'!$Q$21,0),0)</f>
        <v>0</v>
      </c>
      <c r="CS162" s="19" t="n">
        <f aca="false">IF(AND('Bonding Program'!$S$21=1,CS$3='Bonding Program'!$H$21),'Bonding Program'!$AA$21,0)-IF(CS$3&lt;='Bonding Program'!$C$8,IF(AND('Bonding Program'!$K$21&lt;&gt;"",CS$3='Bonding Program'!$K$21),'Bonding Program'!$J$21,0)-IF(AND('Bonding Program'!$M$21&lt;&gt;"",CS$3='Bonding Program'!$M$21),'Bonding Program'!$L$21,0)-IF(AND('Bonding Program'!$P$21&lt;&gt;"",CS$3='Bonding Program'!$P$21),'Bonding Program'!$O$21,0)-IF(AND('Bonding Program'!$R$21&lt;&gt;"",CS$3='Bonding Program'!$R$21),'Bonding Program'!$Q$21,0),0)</f>
        <v>0</v>
      </c>
      <c r="CT162" s="19" t="n">
        <f aca="false">IF(AND('Bonding Program'!$S$21=1,CT$3='Bonding Program'!$H$21),'Bonding Program'!$AA$21,0)-IF(CT$3&lt;='Bonding Program'!$C$8,IF(AND('Bonding Program'!$K$21&lt;&gt;"",CT$3='Bonding Program'!$K$21),'Bonding Program'!$J$21,0)-IF(AND('Bonding Program'!$M$21&lt;&gt;"",CT$3='Bonding Program'!$M$21),'Bonding Program'!$L$21,0)-IF(AND('Bonding Program'!$P$21&lt;&gt;"",CT$3='Bonding Program'!$P$21),'Bonding Program'!$O$21,0)-IF(AND('Bonding Program'!$R$21&lt;&gt;"",CT$3='Bonding Program'!$R$21),'Bonding Program'!$Q$21,0),0)</f>
        <v>0</v>
      </c>
      <c r="CU162" s="19" t="n">
        <f aca="false">IF(AND('Bonding Program'!$S$21=1,CU$3='Bonding Program'!$H$21),'Bonding Program'!$AA$21,0)-IF(CU$3&lt;='Bonding Program'!$C$8,IF(AND('Bonding Program'!$K$21&lt;&gt;"",CU$3='Bonding Program'!$K$21),'Bonding Program'!$J$21,0)-IF(AND('Bonding Program'!$M$21&lt;&gt;"",CU$3='Bonding Program'!$M$21),'Bonding Program'!$L$21,0)-IF(AND('Bonding Program'!$P$21&lt;&gt;"",CU$3='Bonding Program'!$P$21),'Bonding Program'!$O$21,0)-IF(AND('Bonding Program'!$R$21&lt;&gt;"",CU$3='Bonding Program'!$R$21),'Bonding Program'!$Q$21,0),0)</f>
        <v>0</v>
      </c>
      <c r="CV162" s="19" t="n">
        <f aca="false">IF(AND('Bonding Program'!$S$21=1,CV$3='Bonding Program'!$H$21),'Bonding Program'!$AA$21,0)-IF(CV$3&lt;='Bonding Program'!$C$8,IF(AND('Bonding Program'!$K$21&lt;&gt;"",CV$3='Bonding Program'!$K$21),'Bonding Program'!$J$21,0)-IF(AND('Bonding Program'!$M$21&lt;&gt;"",CV$3='Bonding Program'!$M$21),'Bonding Program'!$L$21,0)-IF(AND('Bonding Program'!$P$21&lt;&gt;"",CV$3='Bonding Program'!$P$21),'Bonding Program'!$O$21,0)-IF(AND('Bonding Program'!$R$21&lt;&gt;"",CV$3='Bonding Program'!$R$21),'Bonding Program'!$Q$21,0),0)</f>
        <v>0</v>
      </c>
      <c r="CW162" s="19" t="n">
        <f aca="false">IF(AND('Bonding Program'!$S$21=1,CW$3='Bonding Program'!$H$21),'Bonding Program'!$AA$21,0)-IF(CW$3&lt;='Bonding Program'!$C$8,IF(AND('Bonding Program'!$K$21&lt;&gt;"",CW$3='Bonding Program'!$K$21),'Bonding Program'!$J$21,0)-IF(AND('Bonding Program'!$M$21&lt;&gt;"",CW$3='Bonding Program'!$M$21),'Bonding Program'!$L$21,0)-IF(AND('Bonding Program'!$P$21&lt;&gt;"",CW$3='Bonding Program'!$P$21),'Bonding Program'!$O$21,0)-IF(AND('Bonding Program'!$R$21&lt;&gt;"",CW$3='Bonding Program'!$R$21),'Bonding Program'!$Q$21,0),0)</f>
        <v>0</v>
      </c>
      <c r="CX162" s="19" t="n">
        <f aca="false">IF(AND('Bonding Program'!$S$21=1,CX$3='Bonding Program'!$H$21),'Bonding Program'!$AA$21,0)-IF(CX$3&lt;='Bonding Program'!$C$8,IF(AND('Bonding Program'!$K$21&lt;&gt;"",CX$3='Bonding Program'!$K$21),'Bonding Program'!$J$21,0)-IF(AND('Bonding Program'!$M$21&lt;&gt;"",CX$3='Bonding Program'!$M$21),'Bonding Program'!$L$21,0)-IF(AND('Bonding Program'!$P$21&lt;&gt;"",CX$3='Bonding Program'!$P$21),'Bonding Program'!$O$21,0)-IF(AND('Bonding Program'!$R$21&lt;&gt;"",CX$3='Bonding Program'!$R$21),'Bonding Program'!$Q$21,0),0)</f>
        <v>0</v>
      </c>
      <c r="CY162" s="19" t="n">
        <f aca="false">IF(AND('Bonding Program'!$S$21=1,CY$3='Bonding Program'!$H$21),'Bonding Program'!$AA$21,0)-IF(CY$3&lt;='Bonding Program'!$C$8,IF(AND('Bonding Program'!$K$21&lt;&gt;"",CY$3='Bonding Program'!$K$21),'Bonding Program'!$J$21,0)-IF(AND('Bonding Program'!$M$21&lt;&gt;"",CY$3='Bonding Program'!$M$21),'Bonding Program'!$L$21,0)-IF(AND('Bonding Program'!$P$21&lt;&gt;"",CY$3='Bonding Program'!$P$21),'Bonding Program'!$O$21,0)-IF(AND('Bonding Program'!$R$21&lt;&gt;"",CY$3='Bonding Program'!$R$21),'Bonding Program'!$Q$21,0),0)</f>
        <v>0</v>
      </c>
      <c r="CZ162" s="19" t="n">
        <f aca="false">IF(AND('Bonding Program'!$S$21=1,CZ$3='Bonding Program'!$H$21),'Bonding Program'!$AA$21,0)-IF(CZ$3&lt;='Bonding Program'!$C$8,IF(AND('Bonding Program'!$K$21&lt;&gt;"",CZ$3='Bonding Program'!$K$21),'Bonding Program'!$J$21,0)-IF(AND('Bonding Program'!$M$21&lt;&gt;"",CZ$3='Bonding Program'!$M$21),'Bonding Program'!$L$21,0)-IF(AND('Bonding Program'!$P$21&lt;&gt;"",CZ$3='Bonding Program'!$P$21),'Bonding Program'!$O$21,0)-IF(AND('Bonding Program'!$R$21&lt;&gt;"",CZ$3='Bonding Program'!$R$21),'Bonding Program'!$Q$21,0),0)</f>
        <v>0</v>
      </c>
      <c r="DA162" s="19" t="n">
        <f aca="false">IF(AND('Bonding Program'!$S$21=1,DA$3='Bonding Program'!$H$21),'Bonding Program'!$AA$21,0)-IF(DA$3&lt;='Bonding Program'!$C$8,IF(AND('Bonding Program'!$K$21&lt;&gt;"",DA$3='Bonding Program'!$K$21),'Bonding Program'!$J$21,0)-IF(AND('Bonding Program'!$M$21&lt;&gt;"",DA$3='Bonding Program'!$M$21),'Bonding Program'!$L$21,0)-IF(AND('Bonding Program'!$P$21&lt;&gt;"",DA$3='Bonding Program'!$P$21),'Bonding Program'!$O$21,0)-IF(AND('Bonding Program'!$R$21&lt;&gt;"",DA$3='Bonding Program'!$R$21),'Bonding Program'!$Q$21,0),0)</f>
        <v>0</v>
      </c>
      <c r="DB162" s="19" t="n">
        <f aca="false">IF(AND('Bonding Program'!$S$21=1,DB$3='Bonding Program'!$H$21),'Bonding Program'!$AA$21,0)-IF(DB$3&lt;='Bonding Program'!$C$8,IF(AND('Bonding Program'!$K$21&lt;&gt;"",DB$3='Bonding Program'!$K$21),'Bonding Program'!$J$21,0)-IF(AND('Bonding Program'!$M$21&lt;&gt;"",DB$3='Bonding Program'!$M$21),'Bonding Program'!$L$21,0)-IF(AND('Bonding Program'!$P$21&lt;&gt;"",DB$3='Bonding Program'!$P$21),'Bonding Program'!$O$21,0)-IF(AND('Bonding Program'!$R$21&lt;&gt;"",DB$3='Bonding Program'!$R$21),'Bonding Program'!$Q$21,0),0)</f>
        <v>0</v>
      </c>
      <c r="DC162" s="19" t="n">
        <f aca="false">IF(AND('Bonding Program'!$S$21=1,DC$3='Bonding Program'!$H$21),'Bonding Program'!$AA$21,0)-IF(DC$3&lt;='Bonding Program'!$C$8,IF(AND('Bonding Program'!$K$21&lt;&gt;"",DC$3='Bonding Program'!$K$21),'Bonding Program'!$J$21,0)-IF(AND('Bonding Program'!$M$21&lt;&gt;"",DC$3='Bonding Program'!$M$21),'Bonding Program'!$L$21,0)-IF(AND('Bonding Program'!$P$21&lt;&gt;"",DC$3='Bonding Program'!$P$21),'Bonding Program'!$O$21,0)-IF(AND('Bonding Program'!$R$21&lt;&gt;"",DC$3='Bonding Program'!$R$21),'Bonding Program'!$Q$21,0),0)</f>
        <v>0</v>
      </c>
      <c r="DD162" s="19" t="n">
        <f aca="false">IF(AND('Bonding Program'!$S$21=1,DD$3='Bonding Program'!$H$21),'Bonding Program'!$AA$21,0)-IF(DD$3&lt;='Bonding Program'!$C$8,IF(AND('Bonding Program'!$K$21&lt;&gt;"",DD$3='Bonding Program'!$K$21),'Bonding Program'!$J$21,0)-IF(AND('Bonding Program'!$M$21&lt;&gt;"",DD$3='Bonding Program'!$M$21),'Bonding Program'!$L$21,0)-IF(AND('Bonding Program'!$P$21&lt;&gt;"",DD$3='Bonding Program'!$P$21),'Bonding Program'!$O$21,0)-IF(AND('Bonding Program'!$R$21&lt;&gt;"",DD$3='Bonding Program'!$R$21),'Bonding Program'!$Q$21,0),0)</f>
        <v>0</v>
      </c>
      <c r="DE162" s="19" t="n">
        <f aca="false">IF(AND('Bonding Program'!$S$21=1,DE$3='Bonding Program'!$H$21),'Bonding Program'!$AA$21,0)-IF(DE$3&lt;='Bonding Program'!$C$8,IF(AND('Bonding Program'!$K$21&lt;&gt;"",DE$3='Bonding Program'!$K$21),'Bonding Program'!$J$21,0)-IF(AND('Bonding Program'!$M$21&lt;&gt;"",DE$3='Bonding Program'!$M$21),'Bonding Program'!$L$21,0)-IF(AND('Bonding Program'!$P$21&lt;&gt;"",DE$3='Bonding Program'!$P$21),'Bonding Program'!$O$21,0)-IF(AND('Bonding Program'!$R$21&lt;&gt;"",DE$3='Bonding Program'!$R$21),'Bonding Program'!$Q$21,0),0)</f>
        <v>0</v>
      </c>
    </row>
    <row r="163" customFormat="false" ht="15" hidden="false" customHeight="true" outlineLevel="1" collapsed="false">
      <c r="A163" s="28" t="s">
        <v>18</v>
      </c>
      <c r="B163" s="19" t="n">
        <f aca="false">IF(AND('Bonding Program'!$S$22=1,B$3='Bonding Program'!$H$22),'Bonding Program'!$AA$22,0)-IF(B$3&lt;='Bonding Program'!$C$8,IF(AND('Bonding Program'!$K$22&lt;&gt;"",B$3='Bonding Program'!$K$22),'Bonding Program'!$J$22,0)-IF(AND('Bonding Program'!$M$22&lt;&gt;"",B$3='Bonding Program'!$M$22),'Bonding Program'!$L$22,0)-IF(AND('Bonding Program'!$P$22&lt;&gt;"",B$3='Bonding Program'!$P$22),'Bonding Program'!$O$22,0)-IF(AND('Bonding Program'!$R$22&lt;&gt;"",B$3='Bonding Program'!$R$22),'Bonding Program'!$Q$22,0),0)</f>
        <v>0</v>
      </c>
      <c r="C163" s="19" t="n">
        <f aca="false">IF(AND('Bonding Program'!$S$22=1,C$3='Bonding Program'!$H$22),'Bonding Program'!$AA$22,0)-IF(C$3&lt;='Bonding Program'!$C$8,IF(AND('Bonding Program'!$K$22&lt;&gt;"",C$3='Bonding Program'!$K$22),'Bonding Program'!$J$22,0)-IF(AND('Bonding Program'!$M$22&lt;&gt;"",C$3='Bonding Program'!$M$22),'Bonding Program'!$L$22,0)-IF(AND('Bonding Program'!$P$22&lt;&gt;"",C$3='Bonding Program'!$P$22),'Bonding Program'!$O$22,0)-IF(AND('Bonding Program'!$R$22&lt;&gt;"",C$3='Bonding Program'!$R$22),'Bonding Program'!$Q$22,0),0)</f>
        <v>0</v>
      </c>
      <c r="D163" s="19" t="n">
        <f aca="false">IF(AND('Bonding Program'!$S$22=1,D$3='Bonding Program'!$H$22),'Bonding Program'!$AA$22,0)-IF(D$3&lt;='Bonding Program'!$C$8,IF(AND('Bonding Program'!$K$22&lt;&gt;"",D$3='Bonding Program'!$K$22),'Bonding Program'!$J$22,0)-IF(AND('Bonding Program'!$M$22&lt;&gt;"",D$3='Bonding Program'!$M$22),'Bonding Program'!$L$22,0)-IF(AND('Bonding Program'!$P$22&lt;&gt;"",D$3='Bonding Program'!$P$22),'Bonding Program'!$O$22,0)-IF(AND('Bonding Program'!$R$22&lt;&gt;"",D$3='Bonding Program'!$R$22),'Bonding Program'!$Q$22,0),0)</f>
        <v>0</v>
      </c>
      <c r="E163" s="19" t="n">
        <f aca="false">IF(AND('Bonding Program'!$S$22=1,E$3='Bonding Program'!$H$22),'Bonding Program'!$AA$22,0)-IF(E$3&lt;='Bonding Program'!$C$8,IF(AND('Bonding Program'!$K$22&lt;&gt;"",E$3='Bonding Program'!$K$22),'Bonding Program'!$J$22,0)-IF(AND('Bonding Program'!$M$22&lt;&gt;"",E$3='Bonding Program'!$M$22),'Bonding Program'!$L$22,0)-IF(AND('Bonding Program'!$P$22&lt;&gt;"",E$3='Bonding Program'!$P$22),'Bonding Program'!$O$22,0)-IF(AND('Bonding Program'!$R$22&lt;&gt;"",E$3='Bonding Program'!$R$22),'Bonding Program'!$Q$22,0),0)</f>
        <v>0</v>
      </c>
      <c r="F163" s="19" t="n">
        <f aca="false">IF(AND('Bonding Program'!$S$22=1,F$3='Bonding Program'!$H$22),'Bonding Program'!$AA$22,0)-IF(F$3&lt;='Bonding Program'!$C$8,IF(AND('Bonding Program'!$K$22&lt;&gt;"",F$3='Bonding Program'!$K$22),'Bonding Program'!$J$22,0)-IF(AND('Bonding Program'!$M$22&lt;&gt;"",F$3='Bonding Program'!$M$22),'Bonding Program'!$L$22,0)-IF(AND('Bonding Program'!$P$22&lt;&gt;"",F$3='Bonding Program'!$P$22),'Bonding Program'!$O$22,0)-IF(AND('Bonding Program'!$R$22&lt;&gt;"",F$3='Bonding Program'!$R$22),'Bonding Program'!$Q$22,0),0)</f>
        <v>0</v>
      </c>
      <c r="G163" s="19" t="n">
        <f aca="false">IF(AND('Bonding Program'!$S$22=1,G$3='Bonding Program'!$H$22),'Bonding Program'!$AA$22,0)-IF(G$3&lt;='Bonding Program'!$C$8,IF(AND('Bonding Program'!$K$22&lt;&gt;"",G$3='Bonding Program'!$K$22),'Bonding Program'!$J$22,0)-IF(AND('Bonding Program'!$M$22&lt;&gt;"",G$3='Bonding Program'!$M$22),'Bonding Program'!$L$22,0)-IF(AND('Bonding Program'!$P$22&lt;&gt;"",G$3='Bonding Program'!$P$22),'Bonding Program'!$O$22,0)-IF(AND('Bonding Program'!$R$22&lt;&gt;"",G$3='Bonding Program'!$R$22),'Bonding Program'!$Q$22,0),0)</f>
        <v>0</v>
      </c>
      <c r="H163" s="19" t="n">
        <f aca="false">IF(AND('Bonding Program'!$S$22=1,H$3='Bonding Program'!$H$22),'Bonding Program'!$AA$22,0)-IF(H$3&lt;='Bonding Program'!$C$8,IF(AND('Bonding Program'!$K$22&lt;&gt;"",H$3='Bonding Program'!$K$22),'Bonding Program'!$J$22,0)-IF(AND('Bonding Program'!$M$22&lt;&gt;"",H$3='Bonding Program'!$M$22),'Bonding Program'!$L$22,0)-IF(AND('Bonding Program'!$P$22&lt;&gt;"",H$3='Bonding Program'!$P$22),'Bonding Program'!$O$22,0)-IF(AND('Bonding Program'!$R$22&lt;&gt;"",H$3='Bonding Program'!$R$22),'Bonding Program'!$Q$22,0),0)</f>
        <v>0</v>
      </c>
      <c r="I163" s="19" t="n">
        <f aca="false">IF(AND('Bonding Program'!$S$22=1,I$3='Bonding Program'!$H$22),'Bonding Program'!$AA$22,0)-IF(I$3&lt;='Bonding Program'!$C$8,IF(AND('Bonding Program'!$K$22&lt;&gt;"",I$3='Bonding Program'!$K$22),'Bonding Program'!$J$22,0)-IF(AND('Bonding Program'!$M$22&lt;&gt;"",I$3='Bonding Program'!$M$22),'Bonding Program'!$L$22,0)-IF(AND('Bonding Program'!$P$22&lt;&gt;"",I$3='Bonding Program'!$P$22),'Bonding Program'!$O$22,0)-IF(AND('Bonding Program'!$R$22&lt;&gt;"",I$3='Bonding Program'!$R$22),'Bonding Program'!$Q$22,0),0)</f>
        <v>0</v>
      </c>
      <c r="J163" s="19" t="n">
        <f aca="false">IF(AND('Bonding Program'!$S$22=1,J$3='Bonding Program'!$H$22),'Bonding Program'!$AA$22,0)-IF(J$3&lt;='Bonding Program'!$C$8,IF(AND('Bonding Program'!$K$22&lt;&gt;"",J$3='Bonding Program'!$K$22),'Bonding Program'!$J$22,0)-IF(AND('Bonding Program'!$M$22&lt;&gt;"",J$3='Bonding Program'!$M$22),'Bonding Program'!$L$22,0)-IF(AND('Bonding Program'!$P$22&lt;&gt;"",J$3='Bonding Program'!$P$22),'Bonding Program'!$O$22,0)-IF(AND('Bonding Program'!$R$22&lt;&gt;"",J$3='Bonding Program'!$R$22),'Bonding Program'!$Q$22,0),0)</f>
        <v>0</v>
      </c>
      <c r="K163" s="19" t="n">
        <f aca="false">IF(AND('Bonding Program'!$S$22=1,K$3='Bonding Program'!$H$22),'Bonding Program'!$AA$22,0)-IF(K$3&lt;='Bonding Program'!$C$8,IF(AND('Bonding Program'!$K$22&lt;&gt;"",K$3='Bonding Program'!$K$22),'Bonding Program'!$J$22,0)-IF(AND('Bonding Program'!$M$22&lt;&gt;"",K$3='Bonding Program'!$M$22),'Bonding Program'!$L$22,0)-IF(AND('Bonding Program'!$P$22&lt;&gt;"",K$3='Bonding Program'!$P$22),'Bonding Program'!$O$22,0)-IF(AND('Bonding Program'!$R$22&lt;&gt;"",K$3='Bonding Program'!$R$22),'Bonding Program'!$Q$22,0),0)</f>
        <v>0</v>
      </c>
      <c r="L163" s="19" t="n">
        <f aca="false">IF(AND('Bonding Program'!$S$22=1,L$3='Bonding Program'!$H$22),'Bonding Program'!$AA$22,0)-IF(L$3&lt;='Bonding Program'!$C$8,IF(AND('Bonding Program'!$K$22&lt;&gt;"",L$3='Bonding Program'!$K$22),'Bonding Program'!$J$22,0)-IF(AND('Bonding Program'!$M$22&lt;&gt;"",L$3='Bonding Program'!$M$22),'Bonding Program'!$L$22,0)-IF(AND('Bonding Program'!$P$22&lt;&gt;"",L$3='Bonding Program'!$P$22),'Bonding Program'!$O$22,0)-IF(AND('Bonding Program'!$R$22&lt;&gt;"",L$3='Bonding Program'!$R$22),'Bonding Program'!$Q$22,0),0)</f>
        <v>0</v>
      </c>
      <c r="M163" s="19" t="n">
        <f aca="false">IF(AND('Bonding Program'!$S$22=1,M$3='Bonding Program'!$H$22),'Bonding Program'!$AA$22,0)-IF(M$3&lt;='Bonding Program'!$C$8,IF(AND('Bonding Program'!$K$22&lt;&gt;"",M$3='Bonding Program'!$K$22),'Bonding Program'!$J$22,0)-IF(AND('Bonding Program'!$M$22&lt;&gt;"",M$3='Bonding Program'!$M$22),'Bonding Program'!$L$22,0)-IF(AND('Bonding Program'!$P$22&lt;&gt;"",M$3='Bonding Program'!$P$22),'Bonding Program'!$O$22,0)-IF(AND('Bonding Program'!$R$22&lt;&gt;"",M$3='Bonding Program'!$R$22),'Bonding Program'!$Q$22,0),0)</f>
        <v>0</v>
      </c>
      <c r="N163" s="19" t="n">
        <f aca="false">IF(AND('Bonding Program'!$S$22=1,N$3='Bonding Program'!$H$22),'Bonding Program'!$AA$22,0)-IF(N$3&lt;='Bonding Program'!$C$8,IF(AND('Bonding Program'!$K$22&lt;&gt;"",N$3='Bonding Program'!$K$22),'Bonding Program'!$J$22,0)-IF(AND('Bonding Program'!$M$22&lt;&gt;"",N$3='Bonding Program'!$M$22),'Bonding Program'!$L$22,0)-IF(AND('Bonding Program'!$P$22&lt;&gt;"",N$3='Bonding Program'!$P$22),'Bonding Program'!$O$22,0)-IF(AND('Bonding Program'!$R$22&lt;&gt;"",N$3='Bonding Program'!$R$22),'Bonding Program'!$Q$22,0),0)</f>
        <v>0</v>
      </c>
      <c r="O163" s="19" t="n">
        <f aca="false">IF(AND('Bonding Program'!$S$22=1,O$3='Bonding Program'!$H$22),'Bonding Program'!$AA$22,0)-IF(O$3&lt;='Bonding Program'!$C$8,IF(AND('Bonding Program'!$K$22&lt;&gt;"",O$3='Bonding Program'!$K$22),'Bonding Program'!$J$22,0)-IF(AND('Bonding Program'!$M$22&lt;&gt;"",O$3='Bonding Program'!$M$22),'Bonding Program'!$L$22,0)-IF(AND('Bonding Program'!$P$22&lt;&gt;"",O$3='Bonding Program'!$P$22),'Bonding Program'!$O$22,0)-IF(AND('Bonding Program'!$R$22&lt;&gt;"",O$3='Bonding Program'!$R$22),'Bonding Program'!$Q$22,0),0)</f>
        <v>0</v>
      </c>
      <c r="P163" s="19" t="n">
        <f aca="false">IF(AND('Bonding Program'!$S$22=1,P$3='Bonding Program'!$H$22),'Bonding Program'!$AA$22,0)-IF(P$3&lt;='Bonding Program'!$C$8,IF(AND('Bonding Program'!$K$22&lt;&gt;"",P$3='Bonding Program'!$K$22),'Bonding Program'!$J$22,0)-IF(AND('Bonding Program'!$M$22&lt;&gt;"",P$3='Bonding Program'!$M$22),'Bonding Program'!$L$22,0)-IF(AND('Bonding Program'!$P$22&lt;&gt;"",P$3='Bonding Program'!$P$22),'Bonding Program'!$O$22,0)-IF(AND('Bonding Program'!$R$22&lt;&gt;"",P$3='Bonding Program'!$R$22),'Bonding Program'!$Q$22,0),0)</f>
        <v>0</v>
      </c>
      <c r="Q163" s="19" t="n">
        <f aca="false">IF(AND('Bonding Program'!$S$22=1,Q$3='Bonding Program'!$H$22),'Bonding Program'!$AA$22,0)-IF(Q$3&lt;='Bonding Program'!$C$8,IF(AND('Bonding Program'!$K$22&lt;&gt;"",Q$3='Bonding Program'!$K$22),'Bonding Program'!$J$22,0)-IF(AND('Bonding Program'!$M$22&lt;&gt;"",Q$3='Bonding Program'!$M$22),'Bonding Program'!$L$22,0)-IF(AND('Bonding Program'!$P$22&lt;&gt;"",Q$3='Bonding Program'!$P$22),'Bonding Program'!$O$22,0)-IF(AND('Bonding Program'!$R$22&lt;&gt;"",Q$3='Bonding Program'!$R$22),'Bonding Program'!$Q$22,0),0)</f>
        <v>-802202.980665025</v>
      </c>
      <c r="R163" s="19" t="n">
        <f aca="false">IF(AND('Bonding Program'!$S$22=1,R$3='Bonding Program'!$H$22),'Bonding Program'!$AA$22,0)-IF(R$3&lt;='Bonding Program'!$C$8,IF(AND('Bonding Program'!$K$22&lt;&gt;"",R$3='Bonding Program'!$K$22),'Bonding Program'!$J$22,0)-IF(AND('Bonding Program'!$M$22&lt;&gt;"",R$3='Bonding Program'!$M$22),'Bonding Program'!$L$22,0)-IF(AND('Bonding Program'!$P$22&lt;&gt;"",R$3='Bonding Program'!$P$22),'Bonding Program'!$O$22,0)-IF(AND('Bonding Program'!$R$22&lt;&gt;"",R$3='Bonding Program'!$R$22),'Bonding Program'!$Q$22,0),0)</f>
        <v>0</v>
      </c>
      <c r="S163" s="19" t="n">
        <f aca="false">IF(AND('Bonding Program'!$S$22=1,S$3='Bonding Program'!$H$22),'Bonding Program'!$AA$22,0)-IF(S$3&lt;='Bonding Program'!$C$8,IF(AND('Bonding Program'!$K$22&lt;&gt;"",S$3='Bonding Program'!$K$22),'Bonding Program'!$J$22,0)-IF(AND('Bonding Program'!$M$22&lt;&gt;"",S$3='Bonding Program'!$M$22),'Bonding Program'!$L$22,0)-IF(AND('Bonding Program'!$P$22&lt;&gt;"",S$3='Bonding Program'!$P$22),'Bonding Program'!$O$22,0)-IF(AND('Bonding Program'!$R$22&lt;&gt;"",S$3='Bonding Program'!$R$22),'Bonding Program'!$Q$22,0),0)</f>
        <v>0</v>
      </c>
      <c r="T163" s="19" t="n">
        <f aca="false">IF(AND('Bonding Program'!$S$22=1,T$3='Bonding Program'!$H$22),'Bonding Program'!$AA$22,0)-IF(T$3&lt;='Bonding Program'!$C$8,IF(AND('Bonding Program'!$K$22&lt;&gt;"",T$3='Bonding Program'!$K$22),'Bonding Program'!$J$22,0)-IF(AND('Bonding Program'!$M$22&lt;&gt;"",T$3='Bonding Program'!$M$22),'Bonding Program'!$L$22,0)-IF(AND('Bonding Program'!$P$22&lt;&gt;"",T$3='Bonding Program'!$P$22),'Bonding Program'!$O$22,0)-IF(AND('Bonding Program'!$R$22&lt;&gt;"",T$3='Bonding Program'!$R$22),'Bonding Program'!$Q$22,0),0)</f>
        <v>0</v>
      </c>
      <c r="U163" s="19" t="n">
        <f aca="false">IF(AND('Bonding Program'!$S$22=1,U$3='Bonding Program'!$H$22),'Bonding Program'!$AA$22,0)-IF(U$3&lt;='Bonding Program'!$C$8,IF(AND('Bonding Program'!$K$22&lt;&gt;"",U$3='Bonding Program'!$K$22),'Bonding Program'!$J$22,0)-IF(AND('Bonding Program'!$M$22&lt;&gt;"",U$3='Bonding Program'!$M$22),'Bonding Program'!$L$22,0)-IF(AND('Bonding Program'!$P$22&lt;&gt;"",U$3='Bonding Program'!$P$22),'Bonding Program'!$O$22,0)-IF(AND('Bonding Program'!$R$22&lt;&gt;"",U$3='Bonding Program'!$R$22),'Bonding Program'!$Q$22,0),0)</f>
        <v>0</v>
      </c>
      <c r="V163" s="19" t="n">
        <f aca="false">IF(AND('Bonding Program'!$S$22=1,V$3='Bonding Program'!$H$22),'Bonding Program'!$AA$22,0)-IF(V$3&lt;='Bonding Program'!$C$8,IF(AND('Bonding Program'!$K$22&lt;&gt;"",V$3='Bonding Program'!$K$22),'Bonding Program'!$J$22,0)-IF(AND('Bonding Program'!$M$22&lt;&gt;"",V$3='Bonding Program'!$M$22),'Bonding Program'!$L$22,0)-IF(AND('Bonding Program'!$P$22&lt;&gt;"",V$3='Bonding Program'!$P$22),'Bonding Program'!$O$22,0)-IF(AND('Bonding Program'!$R$22&lt;&gt;"",V$3='Bonding Program'!$R$22),'Bonding Program'!$Q$22,0),0)</f>
        <v>0</v>
      </c>
      <c r="W163" s="19" t="n">
        <f aca="false">IF(AND('Bonding Program'!$S$22=1,W$3='Bonding Program'!$H$22),'Bonding Program'!$AA$22,0)-IF(W$3&lt;='Bonding Program'!$C$8,IF(AND('Bonding Program'!$K$22&lt;&gt;"",W$3='Bonding Program'!$K$22),'Bonding Program'!$J$22,0)-IF(AND('Bonding Program'!$M$22&lt;&gt;"",W$3='Bonding Program'!$M$22),'Bonding Program'!$L$22,0)-IF(AND('Bonding Program'!$P$22&lt;&gt;"",W$3='Bonding Program'!$P$22),'Bonding Program'!$O$22,0)-IF(AND('Bonding Program'!$R$22&lt;&gt;"",W$3='Bonding Program'!$R$22),'Bonding Program'!$Q$22,0),0)</f>
        <v>0</v>
      </c>
      <c r="X163" s="19" t="n">
        <f aca="false">IF(AND('Bonding Program'!$S$22=1,X$3='Bonding Program'!$H$22),'Bonding Program'!$AA$22,0)-IF(X$3&lt;='Bonding Program'!$C$8,IF(AND('Bonding Program'!$K$22&lt;&gt;"",X$3='Bonding Program'!$K$22),'Bonding Program'!$J$22,0)-IF(AND('Bonding Program'!$M$22&lt;&gt;"",X$3='Bonding Program'!$M$22),'Bonding Program'!$L$22,0)-IF(AND('Bonding Program'!$P$22&lt;&gt;"",X$3='Bonding Program'!$P$22),'Bonding Program'!$O$22,0)-IF(AND('Bonding Program'!$R$22&lt;&gt;"",X$3='Bonding Program'!$R$22),'Bonding Program'!$Q$22,0),0)</f>
        <v>0</v>
      </c>
      <c r="Y163" s="19" t="n">
        <f aca="false">IF(AND('Bonding Program'!$S$22=1,Y$3='Bonding Program'!$H$22),'Bonding Program'!$AA$22,0)-IF(Y$3&lt;='Bonding Program'!$C$8,IF(AND('Bonding Program'!$K$22&lt;&gt;"",Y$3='Bonding Program'!$K$22),'Bonding Program'!$J$22,0)-IF(AND('Bonding Program'!$M$22&lt;&gt;"",Y$3='Bonding Program'!$M$22),'Bonding Program'!$L$22,0)-IF(AND('Bonding Program'!$P$22&lt;&gt;"",Y$3='Bonding Program'!$P$22),'Bonding Program'!$O$22,0)-IF(AND('Bonding Program'!$R$22&lt;&gt;"",Y$3='Bonding Program'!$R$22),'Bonding Program'!$Q$22,0),0)</f>
        <v>0</v>
      </c>
      <c r="Z163" s="19" t="n">
        <f aca="false">IF(AND('Bonding Program'!$S$22=1,Z$3='Bonding Program'!$H$22),'Bonding Program'!$AA$22,0)-IF(Z$3&lt;='Bonding Program'!$C$8,IF(AND('Bonding Program'!$K$22&lt;&gt;"",Z$3='Bonding Program'!$K$22),'Bonding Program'!$J$22,0)-IF(AND('Bonding Program'!$M$22&lt;&gt;"",Z$3='Bonding Program'!$M$22),'Bonding Program'!$L$22,0)-IF(AND('Bonding Program'!$P$22&lt;&gt;"",Z$3='Bonding Program'!$P$22),'Bonding Program'!$O$22,0)-IF(AND('Bonding Program'!$R$22&lt;&gt;"",Z$3='Bonding Program'!$R$22),'Bonding Program'!$Q$22,0),0)</f>
        <v>0</v>
      </c>
      <c r="AA163" s="19" t="n">
        <f aca="false">IF(AND('Bonding Program'!$S$22=1,AA$3='Bonding Program'!$H$22),'Bonding Program'!$AA$22,0)-IF(AA$3&lt;='Bonding Program'!$C$8,IF(AND('Bonding Program'!$K$22&lt;&gt;"",AA$3='Bonding Program'!$K$22),'Bonding Program'!$J$22,0)-IF(AND('Bonding Program'!$M$22&lt;&gt;"",AA$3='Bonding Program'!$M$22),'Bonding Program'!$L$22,0)-IF(AND('Bonding Program'!$P$22&lt;&gt;"",AA$3='Bonding Program'!$P$22),'Bonding Program'!$O$22,0)-IF(AND('Bonding Program'!$R$22&lt;&gt;"",AA$3='Bonding Program'!$R$22),'Bonding Program'!$Q$22,0),0)</f>
        <v>0</v>
      </c>
      <c r="AB163" s="19" t="n">
        <f aca="false">IF(AND('Bonding Program'!$S$22=1,AB$3='Bonding Program'!$H$22),'Bonding Program'!$AA$22,0)-IF(AB$3&lt;='Bonding Program'!$C$8,IF(AND('Bonding Program'!$K$22&lt;&gt;"",AB$3='Bonding Program'!$K$22),'Bonding Program'!$J$22,0)-IF(AND('Bonding Program'!$M$22&lt;&gt;"",AB$3='Bonding Program'!$M$22),'Bonding Program'!$L$22,0)-IF(AND('Bonding Program'!$P$22&lt;&gt;"",AB$3='Bonding Program'!$P$22),'Bonding Program'!$O$22,0)-IF(AND('Bonding Program'!$R$22&lt;&gt;"",AB$3='Bonding Program'!$R$22),'Bonding Program'!$Q$22,0),0)</f>
        <v>0</v>
      </c>
      <c r="AC163" s="19" t="n">
        <f aca="false">IF(AND('Bonding Program'!$S$22=1,AC$3='Bonding Program'!$H$22),'Bonding Program'!$AA$22,0)-IF(AC$3&lt;='Bonding Program'!$C$8,IF(AND('Bonding Program'!$K$22&lt;&gt;"",AC$3='Bonding Program'!$K$22),'Bonding Program'!$J$22,0)-IF(AND('Bonding Program'!$M$22&lt;&gt;"",AC$3='Bonding Program'!$M$22),'Bonding Program'!$L$22,0)-IF(AND('Bonding Program'!$P$22&lt;&gt;"",AC$3='Bonding Program'!$P$22),'Bonding Program'!$O$22,0)-IF(AND('Bonding Program'!$R$22&lt;&gt;"",AC$3='Bonding Program'!$R$22),'Bonding Program'!$Q$22,0),0)</f>
        <v>0</v>
      </c>
      <c r="AD163" s="19" t="n">
        <f aca="false">IF(AND('Bonding Program'!$S$22=1,AD$3='Bonding Program'!$H$22),'Bonding Program'!$AA$22,0)-IF(AD$3&lt;='Bonding Program'!$C$8,IF(AND('Bonding Program'!$K$22&lt;&gt;"",AD$3='Bonding Program'!$K$22),'Bonding Program'!$J$22,0)-IF(AND('Bonding Program'!$M$22&lt;&gt;"",AD$3='Bonding Program'!$M$22),'Bonding Program'!$L$22,0)-IF(AND('Bonding Program'!$P$22&lt;&gt;"",AD$3='Bonding Program'!$P$22),'Bonding Program'!$O$22,0)-IF(AND('Bonding Program'!$R$22&lt;&gt;"",AD$3='Bonding Program'!$R$22),'Bonding Program'!$Q$22,0),0)</f>
        <v>0</v>
      </c>
      <c r="AE163" s="19" t="n">
        <f aca="false">IF(AND('Bonding Program'!$S$22=1,AE$3='Bonding Program'!$H$22),'Bonding Program'!$AA$22,0)-IF(AE$3&lt;='Bonding Program'!$C$8,IF(AND('Bonding Program'!$K$22&lt;&gt;"",AE$3='Bonding Program'!$K$22),'Bonding Program'!$J$22,0)-IF(AND('Bonding Program'!$M$22&lt;&gt;"",AE$3='Bonding Program'!$M$22),'Bonding Program'!$L$22,0)-IF(AND('Bonding Program'!$P$22&lt;&gt;"",AE$3='Bonding Program'!$P$22),'Bonding Program'!$O$22,0)-IF(AND('Bonding Program'!$R$22&lt;&gt;"",AE$3='Bonding Program'!$R$22),'Bonding Program'!$Q$22,0),0)</f>
        <v>0</v>
      </c>
      <c r="AF163" s="19" t="n">
        <f aca="false">IF(AND('Bonding Program'!$S$22=1,AF$3='Bonding Program'!$H$22),'Bonding Program'!$AA$22,0)-IF(AF$3&lt;='Bonding Program'!$C$8,IF(AND('Bonding Program'!$K$22&lt;&gt;"",AF$3='Bonding Program'!$K$22),'Bonding Program'!$J$22,0)-IF(AND('Bonding Program'!$M$22&lt;&gt;"",AF$3='Bonding Program'!$M$22),'Bonding Program'!$L$22,0)-IF(AND('Bonding Program'!$P$22&lt;&gt;"",AF$3='Bonding Program'!$P$22),'Bonding Program'!$O$22,0)-IF(AND('Bonding Program'!$R$22&lt;&gt;"",AF$3='Bonding Program'!$R$22),'Bonding Program'!$Q$22,0),0)</f>
        <v>0</v>
      </c>
      <c r="AG163" s="19" t="n">
        <f aca="false">IF(AND('Bonding Program'!$S$22=1,AG$3='Bonding Program'!$H$22),'Bonding Program'!$AA$22,0)-IF(AG$3&lt;='Bonding Program'!$C$8,IF(AND('Bonding Program'!$K$22&lt;&gt;"",AG$3='Bonding Program'!$K$22),'Bonding Program'!$J$22,0)-IF(AND('Bonding Program'!$M$22&lt;&gt;"",AG$3='Bonding Program'!$M$22),'Bonding Program'!$L$22,0)-IF(AND('Bonding Program'!$P$22&lt;&gt;"",AG$3='Bonding Program'!$P$22),'Bonding Program'!$O$22,0)-IF(AND('Bonding Program'!$R$22&lt;&gt;"",AG$3='Bonding Program'!$R$22),'Bonding Program'!$Q$22,0),0)</f>
        <v>0</v>
      </c>
      <c r="AH163" s="19" t="n">
        <f aca="false">IF(AND('Bonding Program'!$S$22=1,AH$3='Bonding Program'!$H$22),'Bonding Program'!$AA$22,0)-IF(AH$3&lt;='Bonding Program'!$C$8,IF(AND('Bonding Program'!$K$22&lt;&gt;"",AH$3='Bonding Program'!$K$22),'Bonding Program'!$J$22,0)-IF(AND('Bonding Program'!$M$22&lt;&gt;"",AH$3='Bonding Program'!$M$22),'Bonding Program'!$L$22,0)-IF(AND('Bonding Program'!$P$22&lt;&gt;"",AH$3='Bonding Program'!$P$22),'Bonding Program'!$O$22,0)-IF(AND('Bonding Program'!$R$22&lt;&gt;"",AH$3='Bonding Program'!$R$22),'Bonding Program'!$Q$22,0),0)</f>
        <v>0</v>
      </c>
      <c r="AI163" s="19" t="n">
        <f aca="false">IF(AND('Bonding Program'!$S$22=1,AI$3='Bonding Program'!$H$22),'Bonding Program'!$AA$22,0)-IF(AI$3&lt;='Bonding Program'!$C$8,IF(AND('Bonding Program'!$K$22&lt;&gt;"",AI$3='Bonding Program'!$K$22),'Bonding Program'!$J$22,0)-IF(AND('Bonding Program'!$M$22&lt;&gt;"",AI$3='Bonding Program'!$M$22),'Bonding Program'!$L$22,0)-IF(AND('Bonding Program'!$P$22&lt;&gt;"",AI$3='Bonding Program'!$P$22),'Bonding Program'!$O$22,0)-IF(AND('Bonding Program'!$R$22&lt;&gt;"",AI$3='Bonding Program'!$R$22),'Bonding Program'!$Q$22,0),0)</f>
        <v>0</v>
      </c>
      <c r="AJ163" s="19" t="n">
        <f aca="false">IF(AND('Bonding Program'!$S$22=1,AJ$3='Bonding Program'!$H$22),'Bonding Program'!$AA$22,0)-IF(AJ$3&lt;='Bonding Program'!$C$8,IF(AND('Bonding Program'!$K$22&lt;&gt;"",AJ$3='Bonding Program'!$K$22),'Bonding Program'!$J$22,0)-IF(AND('Bonding Program'!$M$22&lt;&gt;"",AJ$3='Bonding Program'!$M$22),'Bonding Program'!$L$22,0)-IF(AND('Bonding Program'!$P$22&lt;&gt;"",AJ$3='Bonding Program'!$P$22),'Bonding Program'!$O$22,0)-IF(AND('Bonding Program'!$R$22&lt;&gt;"",AJ$3='Bonding Program'!$R$22),'Bonding Program'!$Q$22,0),0)</f>
        <v>0</v>
      </c>
      <c r="AK163" s="19" t="n">
        <f aca="false">IF(AND('Bonding Program'!$S$22=1,AK$3='Bonding Program'!$H$22),'Bonding Program'!$AA$22,0)-IF(AK$3&lt;='Bonding Program'!$C$8,IF(AND('Bonding Program'!$K$22&lt;&gt;"",AK$3='Bonding Program'!$K$22),'Bonding Program'!$J$22,0)-IF(AND('Bonding Program'!$M$22&lt;&gt;"",AK$3='Bonding Program'!$M$22),'Bonding Program'!$L$22,0)-IF(AND('Bonding Program'!$P$22&lt;&gt;"",AK$3='Bonding Program'!$P$22),'Bonding Program'!$O$22,0)-IF(AND('Bonding Program'!$R$22&lt;&gt;"",AK$3='Bonding Program'!$R$22),'Bonding Program'!$Q$22,0),0)</f>
        <v>0</v>
      </c>
      <c r="AL163" s="19" t="n">
        <f aca="false">IF(AND('Bonding Program'!$S$22=1,AL$3='Bonding Program'!$H$22),'Bonding Program'!$AA$22,0)-IF(AL$3&lt;='Bonding Program'!$C$8,IF(AND('Bonding Program'!$K$22&lt;&gt;"",AL$3='Bonding Program'!$K$22),'Bonding Program'!$J$22,0)-IF(AND('Bonding Program'!$M$22&lt;&gt;"",AL$3='Bonding Program'!$M$22),'Bonding Program'!$L$22,0)-IF(AND('Bonding Program'!$P$22&lt;&gt;"",AL$3='Bonding Program'!$P$22),'Bonding Program'!$O$22,0)-IF(AND('Bonding Program'!$R$22&lt;&gt;"",AL$3='Bonding Program'!$R$22),'Bonding Program'!$Q$22,0),0)</f>
        <v>0</v>
      </c>
      <c r="AM163" s="19" t="n">
        <f aca="false">IF(AND('Bonding Program'!$S$22=1,AM$3='Bonding Program'!$H$22),'Bonding Program'!$AA$22,0)-IF(AM$3&lt;='Bonding Program'!$C$8,IF(AND('Bonding Program'!$K$22&lt;&gt;"",AM$3='Bonding Program'!$K$22),'Bonding Program'!$J$22,0)-IF(AND('Bonding Program'!$M$22&lt;&gt;"",AM$3='Bonding Program'!$M$22),'Bonding Program'!$L$22,0)-IF(AND('Bonding Program'!$P$22&lt;&gt;"",AM$3='Bonding Program'!$P$22),'Bonding Program'!$O$22,0)-IF(AND('Bonding Program'!$R$22&lt;&gt;"",AM$3='Bonding Program'!$R$22),'Bonding Program'!$Q$22,0),0)</f>
        <v>0</v>
      </c>
      <c r="AN163" s="19" t="n">
        <f aca="false">IF(AND('Bonding Program'!$S$22=1,AN$3='Bonding Program'!$H$22),'Bonding Program'!$AA$22,0)-IF(AN$3&lt;='Bonding Program'!$C$8,IF(AND('Bonding Program'!$K$22&lt;&gt;"",AN$3='Bonding Program'!$K$22),'Bonding Program'!$J$22,0)-IF(AND('Bonding Program'!$M$22&lt;&gt;"",AN$3='Bonding Program'!$M$22),'Bonding Program'!$L$22,0)-IF(AND('Bonding Program'!$P$22&lt;&gt;"",AN$3='Bonding Program'!$P$22),'Bonding Program'!$O$22,0)-IF(AND('Bonding Program'!$R$22&lt;&gt;"",AN$3='Bonding Program'!$R$22),'Bonding Program'!$Q$22,0),0)</f>
        <v>0</v>
      </c>
      <c r="AO163" s="19" t="n">
        <f aca="false">IF(AND('Bonding Program'!$S$22=1,AO$3='Bonding Program'!$H$22),'Bonding Program'!$AA$22,0)-IF(AO$3&lt;='Bonding Program'!$C$8,IF(AND('Bonding Program'!$K$22&lt;&gt;"",AO$3='Bonding Program'!$K$22),'Bonding Program'!$J$22,0)-IF(AND('Bonding Program'!$M$22&lt;&gt;"",AO$3='Bonding Program'!$M$22),'Bonding Program'!$L$22,0)-IF(AND('Bonding Program'!$P$22&lt;&gt;"",AO$3='Bonding Program'!$P$22),'Bonding Program'!$O$22,0)-IF(AND('Bonding Program'!$R$22&lt;&gt;"",AO$3='Bonding Program'!$R$22),'Bonding Program'!$Q$22,0),0)</f>
        <v>0</v>
      </c>
      <c r="AP163" s="19" t="n">
        <f aca="false">IF(AND('Bonding Program'!$S$22=1,AP$3='Bonding Program'!$H$22),'Bonding Program'!$AA$22,0)-IF(AP$3&lt;='Bonding Program'!$C$8,IF(AND('Bonding Program'!$K$22&lt;&gt;"",AP$3='Bonding Program'!$K$22),'Bonding Program'!$J$22,0)-IF(AND('Bonding Program'!$M$22&lt;&gt;"",AP$3='Bonding Program'!$M$22),'Bonding Program'!$L$22,0)-IF(AND('Bonding Program'!$P$22&lt;&gt;"",AP$3='Bonding Program'!$P$22),'Bonding Program'!$O$22,0)-IF(AND('Bonding Program'!$R$22&lt;&gt;"",AP$3='Bonding Program'!$R$22),'Bonding Program'!$Q$22,0),0)</f>
        <v>0</v>
      </c>
      <c r="AQ163" s="19" t="n">
        <f aca="false">IF(AND('Bonding Program'!$S$22=1,AQ$3='Bonding Program'!$H$22),'Bonding Program'!$AA$22,0)-IF(AQ$3&lt;='Bonding Program'!$C$8,IF(AND('Bonding Program'!$K$22&lt;&gt;"",AQ$3='Bonding Program'!$K$22),'Bonding Program'!$J$22,0)-IF(AND('Bonding Program'!$M$22&lt;&gt;"",AQ$3='Bonding Program'!$M$22),'Bonding Program'!$L$22,0)-IF(AND('Bonding Program'!$P$22&lt;&gt;"",AQ$3='Bonding Program'!$P$22),'Bonding Program'!$O$22,0)-IF(AND('Bonding Program'!$R$22&lt;&gt;"",AQ$3='Bonding Program'!$R$22),'Bonding Program'!$Q$22,0),0)</f>
        <v>0</v>
      </c>
      <c r="AR163" s="19" t="n">
        <f aca="false">IF(AND('Bonding Program'!$S$22=1,AR$3='Bonding Program'!$H$22),'Bonding Program'!$AA$22,0)-IF(AR$3&lt;='Bonding Program'!$C$8,IF(AND('Bonding Program'!$K$22&lt;&gt;"",AR$3='Bonding Program'!$K$22),'Bonding Program'!$J$22,0)-IF(AND('Bonding Program'!$M$22&lt;&gt;"",AR$3='Bonding Program'!$M$22),'Bonding Program'!$L$22,0)-IF(AND('Bonding Program'!$P$22&lt;&gt;"",AR$3='Bonding Program'!$P$22),'Bonding Program'!$O$22,0)-IF(AND('Bonding Program'!$R$22&lt;&gt;"",AR$3='Bonding Program'!$R$22),'Bonding Program'!$Q$22,0),0)</f>
        <v>0</v>
      </c>
      <c r="AS163" s="19" t="n">
        <f aca="false">IF(AND('Bonding Program'!$S$22=1,AS$3='Bonding Program'!$H$22),'Bonding Program'!$AA$22,0)-IF(AS$3&lt;='Bonding Program'!$C$8,IF(AND('Bonding Program'!$K$22&lt;&gt;"",AS$3='Bonding Program'!$K$22),'Bonding Program'!$J$22,0)-IF(AND('Bonding Program'!$M$22&lt;&gt;"",AS$3='Bonding Program'!$M$22),'Bonding Program'!$L$22,0)-IF(AND('Bonding Program'!$P$22&lt;&gt;"",AS$3='Bonding Program'!$P$22),'Bonding Program'!$O$22,0)-IF(AND('Bonding Program'!$R$22&lt;&gt;"",AS$3='Bonding Program'!$R$22),'Bonding Program'!$Q$22,0),0)</f>
        <v>0</v>
      </c>
      <c r="AT163" s="19" t="n">
        <f aca="false">IF(AND('Bonding Program'!$S$22=1,AT$3='Bonding Program'!$H$22),'Bonding Program'!$AA$22,0)-IF(AT$3&lt;='Bonding Program'!$C$8,IF(AND('Bonding Program'!$K$22&lt;&gt;"",AT$3='Bonding Program'!$K$22),'Bonding Program'!$J$22,0)-IF(AND('Bonding Program'!$M$22&lt;&gt;"",AT$3='Bonding Program'!$M$22),'Bonding Program'!$L$22,0)-IF(AND('Bonding Program'!$P$22&lt;&gt;"",AT$3='Bonding Program'!$P$22),'Bonding Program'!$O$22,0)-IF(AND('Bonding Program'!$R$22&lt;&gt;"",AT$3='Bonding Program'!$R$22),'Bonding Program'!$Q$22,0),0)</f>
        <v>0</v>
      </c>
      <c r="AU163" s="19" t="n">
        <f aca="false">IF(AND('Bonding Program'!$S$22=1,AU$3='Bonding Program'!$H$22),'Bonding Program'!$AA$22,0)-IF(AU$3&lt;='Bonding Program'!$C$8,IF(AND('Bonding Program'!$K$22&lt;&gt;"",AU$3='Bonding Program'!$K$22),'Bonding Program'!$J$22,0)-IF(AND('Bonding Program'!$M$22&lt;&gt;"",AU$3='Bonding Program'!$M$22),'Bonding Program'!$L$22,0)-IF(AND('Bonding Program'!$P$22&lt;&gt;"",AU$3='Bonding Program'!$P$22),'Bonding Program'!$O$22,0)-IF(AND('Bonding Program'!$R$22&lt;&gt;"",AU$3='Bonding Program'!$R$22),'Bonding Program'!$Q$22,0),0)</f>
        <v>0</v>
      </c>
      <c r="AV163" s="19" t="n">
        <f aca="false">IF(AND('Bonding Program'!$S$22=1,AV$3='Bonding Program'!$H$22),'Bonding Program'!$AA$22,0)-IF(AV$3&lt;='Bonding Program'!$C$8,IF(AND('Bonding Program'!$K$22&lt;&gt;"",AV$3='Bonding Program'!$K$22),'Bonding Program'!$J$22,0)-IF(AND('Bonding Program'!$M$22&lt;&gt;"",AV$3='Bonding Program'!$M$22),'Bonding Program'!$L$22,0)-IF(AND('Bonding Program'!$P$22&lt;&gt;"",AV$3='Bonding Program'!$P$22),'Bonding Program'!$O$22,0)-IF(AND('Bonding Program'!$R$22&lt;&gt;"",AV$3='Bonding Program'!$R$22),'Bonding Program'!$Q$22,0),0)</f>
        <v>0</v>
      </c>
      <c r="AW163" s="19" t="n">
        <f aca="false">IF(AND('Bonding Program'!$S$22=1,AW$3='Bonding Program'!$H$22),'Bonding Program'!$AA$22,0)-IF(AW$3&lt;='Bonding Program'!$C$8,IF(AND('Bonding Program'!$K$22&lt;&gt;"",AW$3='Bonding Program'!$K$22),'Bonding Program'!$J$22,0)-IF(AND('Bonding Program'!$M$22&lt;&gt;"",AW$3='Bonding Program'!$M$22),'Bonding Program'!$L$22,0)-IF(AND('Bonding Program'!$P$22&lt;&gt;"",AW$3='Bonding Program'!$P$22),'Bonding Program'!$O$22,0)-IF(AND('Bonding Program'!$R$22&lt;&gt;"",AW$3='Bonding Program'!$R$22),'Bonding Program'!$Q$22,0),0)</f>
        <v>0</v>
      </c>
      <c r="AX163" s="19" t="n">
        <f aca="false">IF(AND('Bonding Program'!$S$22=1,AX$3='Bonding Program'!$H$22),'Bonding Program'!$AA$22,0)-IF(AX$3&lt;='Bonding Program'!$C$8,IF(AND('Bonding Program'!$K$22&lt;&gt;"",AX$3='Bonding Program'!$K$22),'Bonding Program'!$J$22,0)-IF(AND('Bonding Program'!$M$22&lt;&gt;"",AX$3='Bonding Program'!$M$22),'Bonding Program'!$L$22,0)-IF(AND('Bonding Program'!$P$22&lt;&gt;"",AX$3='Bonding Program'!$P$22),'Bonding Program'!$O$22,0)-IF(AND('Bonding Program'!$R$22&lt;&gt;"",AX$3='Bonding Program'!$R$22),'Bonding Program'!$Q$22,0),0)</f>
        <v>0</v>
      </c>
      <c r="AY163" s="19" t="n">
        <f aca="false">IF(AND('Bonding Program'!$S$22=1,AY$3='Bonding Program'!$H$22),'Bonding Program'!$AA$22,0)-IF(AY$3&lt;='Bonding Program'!$C$8,IF(AND('Bonding Program'!$K$22&lt;&gt;"",AY$3='Bonding Program'!$K$22),'Bonding Program'!$J$22,0)-IF(AND('Bonding Program'!$M$22&lt;&gt;"",AY$3='Bonding Program'!$M$22),'Bonding Program'!$L$22,0)-IF(AND('Bonding Program'!$P$22&lt;&gt;"",AY$3='Bonding Program'!$P$22),'Bonding Program'!$O$22,0)-IF(AND('Bonding Program'!$R$22&lt;&gt;"",AY$3='Bonding Program'!$R$22),'Bonding Program'!$Q$22,0),0)</f>
        <v>0</v>
      </c>
      <c r="AZ163" s="19" t="n">
        <f aca="false">IF(AND('Bonding Program'!$S$22=1,AZ$3='Bonding Program'!$H$22),'Bonding Program'!$AA$22,0)-IF(AZ$3&lt;='Bonding Program'!$C$8,IF(AND('Bonding Program'!$K$22&lt;&gt;"",AZ$3='Bonding Program'!$K$22),'Bonding Program'!$J$22,0)-IF(AND('Bonding Program'!$M$22&lt;&gt;"",AZ$3='Bonding Program'!$M$22),'Bonding Program'!$L$22,0)-IF(AND('Bonding Program'!$P$22&lt;&gt;"",AZ$3='Bonding Program'!$P$22),'Bonding Program'!$O$22,0)-IF(AND('Bonding Program'!$R$22&lt;&gt;"",AZ$3='Bonding Program'!$R$22),'Bonding Program'!$Q$22,0),0)</f>
        <v>0</v>
      </c>
      <c r="BA163" s="19" t="n">
        <f aca="false">IF(AND('Bonding Program'!$S$22=1,BA$3='Bonding Program'!$H$22),'Bonding Program'!$AA$22,0)-IF(BA$3&lt;='Bonding Program'!$C$8,IF(AND('Bonding Program'!$K$22&lt;&gt;"",BA$3='Bonding Program'!$K$22),'Bonding Program'!$J$22,0)-IF(AND('Bonding Program'!$M$22&lt;&gt;"",BA$3='Bonding Program'!$M$22),'Bonding Program'!$L$22,0)-IF(AND('Bonding Program'!$P$22&lt;&gt;"",BA$3='Bonding Program'!$P$22),'Bonding Program'!$O$22,0)-IF(AND('Bonding Program'!$R$22&lt;&gt;"",BA$3='Bonding Program'!$R$22),'Bonding Program'!$Q$22,0),0)</f>
        <v>0</v>
      </c>
      <c r="BB163" s="19" t="n">
        <f aca="false">IF(AND('Bonding Program'!$S$22=1,BB$3='Bonding Program'!$H$22),'Bonding Program'!$AA$22,0)-IF(BB$3&lt;='Bonding Program'!$C$8,IF(AND('Bonding Program'!$K$22&lt;&gt;"",BB$3='Bonding Program'!$K$22),'Bonding Program'!$J$22,0)-IF(AND('Bonding Program'!$M$22&lt;&gt;"",BB$3='Bonding Program'!$M$22),'Bonding Program'!$L$22,0)-IF(AND('Bonding Program'!$P$22&lt;&gt;"",BB$3='Bonding Program'!$P$22),'Bonding Program'!$O$22,0)-IF(AND('Bonding Program'!$R$22&lt;&gt;"",BB$3='Bonding Program'!$R$22),'Bonding Program'!$Q$22,0),0)</f>
        <v>0</v>
      </c>
      <c r="BC163" s="19" t="n">
        <f aca="false">IF(AND('Bonding Program'!$S$22=1,BC$3='Bonding Program'!$H$22),'Bonding Program'!$AA$22,0)-IF(BC$3&lt;='Bonding Program'!$C$8,IF(AND('Bonding Program'!$K$22&lt;&gt;"",BC$3='Bonding Program'!$K$22),'Bonding Program'!$J$22,0)-IF(AND('Bonding Program'!$M$22&lt;&gt;"",BC$3='Bonding Program'!$M$22),'Bonding Program'!$L$22,0)-IF(AND('Bonding Program'!$P$22&lt;&gt;"",BC$3='Bonding Program'!$P$22),'Bonding Program'!$O$22,0)-IF(AND('Bonding Program'!$R$22&lt;&gt;"",BC$3='Bonding Program'!$R$22),'Bonding Program'!$Q$22,0),0)</f>
        <v>0</v>
      </c>
      <c r="BD163" s="19" t="n">
        <f aca="false">IF(AND('Bonding Program'!$S$22=1,BD$3='Bonding Program'!$H$22),'Bonding Program'!$AA$22,0)-IF(BD$3&lt;='Bonding Program'!$C$8,IF(AND('Bonding Program'!$K$22&lt;&gt;"",BD$3='Bonding Program'!$K$22),'Bonding Program'!$J$22,0)-IF(AND('Bonding Program'!$M$22&lt;&gt;"",BD$3='Bonding Program'!$M$22),'Bonding Program'!$L$22,0)-IF(AND('Bonding Program'!$P$22&lt;&gt;"",BD$3='Bonding Program'!$P$22),'Bonding Program'!$O$22,0)-IF(AND('Bonding Program'!$R$22&lt;&gt;"",BD$3='Bonding Program'!$R$22),'Bonding Program'!$Q$22,0),0)</f>
        <v>0</v>
      </c>
      <c r="BE163" s="19" t="n">
        <f aca="false">IF(AND('Bonding Program'!$S$22=1,BE$3='Bonding Program'!$H$22),'Bonding Program'!$AA$22,0)-IF(BE$3&lt;='Bonding Program'!$C$8,IF(AND('Bonding Program'!$K$22&lt;&gt;"",BE$3='Bonding Program'!$K$22),'Bonding Program'!$J$22,0)-IF(AND('Bonding Program'!$M$22&lt;&gt;"",BE$3='Bonding Program'!$M$22),'Bonding Program'!$L$22,0)-IF(AND('Bonding Program'!$P$22&lt;&gt;"",BE$3='Bonding Program'!$P$22),'Bonding Program'!$O$22,0)-IF(AND('Bonding Program'!$R$22&lt;&gt;"",BE$3='Bonding Program'!$R$22),'Bonding Program'!$Q$22,0),0)</f>
        <v>0</v>
      </c>
      <c r="BF163" s="19" t="n">
        <f aca="false">IF(AND('Bonding Program'!$S$22=1,BF$3='Bonding Program'!$H$22),'Bonding Program'!$AA$22,0)-IF(BF$3&lt;='Bonding Program'!$C$8,IF(AND('Bonding Program'!$K$22&lt;&gt;"",BF$3='Bonding Program'!$K$22),'Bonding Program'!$J$22,0)-IF(AND('Bonding Program'!$M$22&lt;&gt;"",BF$3='Bonding Program'!$M$22),'Bonding Program'!$L$22,0)-IF(AND('Bonding Program'!$P$22&lt;&gt;"",BF$3='Bonding Program'!$P$22),'Bonding Program'!$O$22,0)-IF(AND('Bonding Program'!$R$22&lt;&gt;"",BF$3='Bonding Program'!$R$22),'Bonding Program'!$Q$22,0),0)</f>
        <v>0</v>
      </c>
      <c r="BG163" s="19" t="n">
        <f aca="false">IF(AND('Bonding Program'!$S$22=1,BG$3='Bonding Program'!$H$22),'Bonding Program'!$AA$22,0)-IF(BG$3&lt;='Bonding Program'!$C$8,IF(AND('Bonding Program'!$K$22&lt;&gt;"",BG$3='Bonding Program'!$K$22),'Bonding Program'!$J$22,0)-IF(AND('Bonding Program'!$M$22&lt;&gt;"",BG$3='Bonding Program'!$M$22),'Bonding Program'!$L$22,0)-IF(AND('Bonding Program'!$P$22&lt;&gt;"",BG$3='Bonding Program'!$P$22),'Bonding Program'!$O$22,0)-IF(AND('Bonding Program'!$R$22&lt;&gt;"",BG$3='Bonding Program'!$R$22),'Bonding Program'!$Q$22,0),0)</f>
        <v>0</v>
      </c>
      <c r="BH163" s="19" t="n">
        <f aca="false">IF(AND('Bonding Program'!$S$22=1,BH$3='Bonding Program'!$H$22),'Bonding Program'!$AA$22,0)-IF(BH$3&lt;='Bonding Program'!$C$8,IF(AND('Bonding Program'!$K$22&lt;&gt;"",BH$3='Bonding Program'!$K$22),'Bonding Program'!$J$22,0)-IF(AND('Bonding Program'!$M$22&lt;&gt;"",BH$3='Bonding Program'!$M$22),'Bonding Program'!$L$22,0)-IF(AND('Bonding Program'!$P$22&lt;&gt;"",BH$3='Bonding Program'!$P$22),'Bonding Program'!$O$22,0)-IF(AND('Bonding Program'!$R$22&lt;&gt;"",BH$3='Bonding Program'!$R$22),'Bonding Program'!$Q$22,0),0)</f>
        <v>0</v>
      </c>
      <c r="BI163" s="19" t="n">
        <f aca="false">IF(AND('Bonding Program'!$S$22=1,BI$3='Bonding Program'!$H$22),'Bonding Program'!$AA$22,0)-IF(BI$3&lt;='Bonding Program'!$C$8,IF(AND('Bonding Program'!$K$22&lt;&gt;"",BI$3='Bonding Program'!$K$22),'Bonding Program'!$J$22,0)-IF(AND('Bonding Program'!$M$22&lt;&gt;"",BI$3='Bonding Program'!$M$22),'Bonding Program'!$L$22,0)-IF(AND('Bonding Program'!$P$22&lt;&gt;"",BI$3='Bonding Program'!$P$22),'Bonding Program'!$O$22,0)-IF(AND('Bonding Program'!$R$22&lt;&gt;"",BI$3='Bonding Program'!$R$22),'Bonding Program'!$Q$22,0),0)</f>
        <v>0</v>
      </c>
      <c r="BJ163" s="19" t="n">
        <f aca="false">IF(AND('Bonding Program'!$S$22=1,BJ$3='Bonding Program'!$H$22),'Bonding Program'!$AA$22,0)-IF(BJ$3&lt;='Bonding Program'!$C$8,IF(AND('Bonding Program'!$K$22&lt;&gt;"",BJ$3='Bonding Program'!$K$22),'Bonding Program'!$J$22,0)-IF(AND('Bonding Program'!$M$22&lt;&gt;"",BJ$3='Bonding Program'!$M$22),'Bonding Program'!$L$22,0)-IF(AND('Bonding Program'!$P$22&lt;&gt;"",BJ$3='Bonding Program'!$P$22),'Bonding Program'!$O$22,0)-IF(AND('Bonding Program'!$R$22&lt;&gt;"",BJ$3='Bonding Program'!$R$22),'Bonding Program'!$Q$22,0),0)</f>
        <v>0</v>
      </c>
      <c r="BK163" s="19" t="n">
        <f aca="false">IF(AND('Bonding Program'!$S$22=1,BK$3='Bonding Program'!$H$22),'Bonding Program'!$AA$22,0)-IF(BK$3&lt;='Bonding Program'!$C$8,IF(AND('Bonding Program'!$K$22&lt;&gt;"",BK$3='Bonding Program'!$K$22),'Bonding Program'!$J$22,0)-IF(AND('Bonding Program'!$M$22&lt;&gt;"",BK$3='Bonding Program'!$M$22),'Bonding Program'!$L$22,0)-IF(AND('Bonding Program'!$P$22&lt;&gt;"",BK$3='Bonding Program'!$P$22),'Bonding Program'!$O$22,0)-IF(AND('Bonding Program'!$R$22&lt;&gt;"",BK$3='Bonding Program'!$R$22),'Bonding Program'!$Q$22,0),0)</f>
        <v>0</v>
      </c>
      <c r="BL163" s="19" t="n">
        <f aca="false">IF(AND('Bonding Program'!$S$22=1,BL$3='Bonding Program'!$H$22),'Bonding Program'!$AA$22,0)-IF(BL$3&lt;='Bonding Program'!$C$8,IF(AND('Bonding Program'!$K$22&lt;&gt;"",BL$3='Bonding Program'!$K$22),'Bonding Program'!$J$22,0)-IF(AND('Bonding Program'!$M$22&lt;&gt;"",BL$3='Bonding Program'!$M$22),'Bonding Program'!$L$22,0)-IF(AND('Bonding Program'!$P$22&lt;&gt;"",BL$3='Bonding Program'!$P$22),'Bonding Program'!$O$22,0)-IF(AND('Bonding Program'!$R$22&lt;&gt;"",BL$3='Bonding Program'!$R$22),'Bonding Program'!$Q$22,0),0)</f>
        <v>0</v>
      </c>
      <c r="BM163" s="19" t="n">
        <f aca="false">IF(AND('Bonding Program'!$S$22=1,BM$3='Bonding Program'!$H$22),'Bonding Program'!$AA$22,0)-IF(BM$3&lt;='Bonding Program'!$C$8,IF(AND('Bonding Program'!$K$22&lt;&gt;"",BM$3='Bonding Program'!$K$22),'Bonding Program'!$J$22,0)-IF(AND('Bonding Program'!$M$22&lt;&gt;"",BM$3='Bonding Program'!$M$22),'Bonding Program'!$L$22,0)-IF(AND('Bonding Program'!$P$22&lt;&gt;"",BM$3='Bonding Program'!$P$22),'Bonding Program'!$O$22,0)-IF(AND('Bonding Program'!$R$22&lt;&gt;"",BM$3='Bonding Program'!$R$22),'Bonding Program'!$Q$22,0),0)</f>
        <v>0</v>
      </c>
      <c r="BN163" s="19" t="n">
        <f aca="false">IF(AND('Bonding Program'!$S$22=1,BN$3='Bonding Program'!$H$22),'Bonding Program'!$AA$22,0)-IF(BN$3&lt;='Bonding Program'!$C$8,IF(AND('Bonding Program'!$K$22&lt;&gt;"",BN$3='Bonding Program'!$K$22),'Bonding Program'!$J$22,0)-IF(AND('Bonding Program'!$M$22&lt;&gt;"",BN$3='Bonding Program'!$M$22),'Bonding Program'!$L$22,0)-IF(AND('Bonding Program'!$P$22&lt;&gt;"",BN$3='Bonding Program'!$P$22),'Bonding Program'!$O$22,0)-IF(AND('Bonding Program'!$R$22&lt;&gt;"",BN$3='Bonding Program'!$R$22),'Bonding Program'!$Q$22,0),0)</f>
        <v>0</v>
      </c>
      <c r="BO163" s="19" t="n">
        <f aca="false">IF(AND('Bonding Program'!$S$22=1,BO$3='Bonding Program'!$H$22),'Bonding Program'!$AA$22,0)-IF(BO$3&lt;='Bonding Program'!$C$8,IF(AND('Bonding Program'!$K$22&lt;&gt;"",BO$3='Bonding Program'!$K$22),'Bonding Program'!$J$22,0)-IF(AND('Bonding Program'!$M$22&lt;&gt;"",BO$3='Bonding Program'!$M$22),'Bonding Program'!$L$22,0)-IF(AND('Bonding Program'!$P$22&lt;&gt;"",BO$3='Bonding Program'!$P$22),'Bonding Program'!$O$22,0)-IF(AND('Bonding Program'!$R$22&lt;&gt;"",BO$3='Bonding Program'!$R$22),'Bonding Program'!$Q$22,0),0)</f>
        <v>0</v>
      </c>
      <c r="BP163" s="19" t="n">
        <f aca="false">IF(AND('Bonding Program'!$S$22=1,BP$3='Bonding Program'!$H$22),'Bonding Program'!$AA$22,0)-IF(BP$3&lt;='Bonding Program'!$C$8,IF(AND('Bonding Program'!$K$22&lt;&gt;"",BP$3='Bonding Program'!$K$22),'Bonding Program'!$J$22,0)-IF(AND('Bonding Program'!$M$22&lt;&gt;"",BP$3='Bonding Program'!$M$22),'Bonding Program'!$L$22,0)-IF(AND('Bonding Program'!$P$22&lt;&gt;"",BP$3='Bonding Program'!$P$22),'Bonding Program'!$O$22,0)-IF(AND('Bonding Program'!$R$22&lt;&gt;"",BP$3='Bonding Program'!$R$22),'Bonding Program'!$Q$22,0),0)</f>
        <v>0</v>
      </c>
      <c r="BQ163" s="19" t="n">
        <f aca="false">IF(AND('Bonding Program'!$S$22=1,BQ$3='Bonding Program'!$H$22),'Bonding Program'!$AA$22,0)-IF(BQ$3&lt;='Bonding Program'!$C$8,IF(AND('Bonding Program'!$K$22&lt;&gt;"",BQ$3='Bonding Program'!$K$22),'Bonding Program'!$J$22,0)-IF(AND('Bonding Program'!$M$22&lt;&gt;"",BQ$3='Bonding Program'!$M$22),'Bonding Program'!$L$22,0)-IF(AND('Bonding Program'!$P$22&lt;&gt;"",BQ$3='Bonding Program'!$P$22),'Bonding Program'!$O$22,0)-IF(AND('Bonding Program'!$R$22&lt;&gt;"",BQ$3='Bonding Program'!$R$22),'Bonding Program'!$Q$22,0),0)</f>
        <v>0</v>
      </c>
      <c r="BR163" s="19" t="n">
        <f aca="false">IF(AND('Bonding Program'!$S$22=1,BR$3='Bonding Program'!$H$22),'Bonding Program'!$AA$22,0)-IF(BR$3&lt;='Bonding Program'!$C$8,IF(AND('Bonding Program'!$K$22&lt;&gt;"",BR$3='Bonding Program'!$K$22),'Bonding Program'!$J$22,0)-IF(AND('Bonding Program'!$M$22&lt;&gt;"",BR$3='Bonding Program'!$M$22),'Bonding Program'!$L$22,0)-IF(AND('Bonding Program'!$P$22&lt;&gt;"",BR$3='Bonding Program'!$P$22),'Bonding Program'!$O$22,0)-IF(AND('Bonding Program'!$R$22&lt;&gt;"",BR$3='Bonding Program'!$R$22),'Bonding Program'!$Q$22,0),0)</f>
        <v>0</v>
      </c>
      <c r="BS163" s="19" t="n">
        <f aca="false">IF(AND('Bonding Program'!$S$22=1,BS$3='Bonding Program'!$H$22),'Bonding Program'!$AA$22,0)-IF(BS$3&lt;='Bonding Program'!$C$8,IF(AND('Bonding Program'!$K$22&lt;&gt;"",BS$3='Bonding Program'!$K$22),'Bonding Program'!$J$22,0)-IF(AND('Bonding Program'!$M$22&lt;&gt;"",BS$3='Bonding Program'!$M$22),'Bonding Program'!$L$22,0)-IF(AND('Bonding Program'!$P$22&lt;&gt;"",BS$3='Bonding Program'!$P$22),'Bonding Program'!$O$22,0)-IF(AND('Bonding Program'!$R$22&lt;&gt;"",BS$3='Bonding Program'!$R$22),'Bonding Program'!$Q$22,0),0)</f>
        <v>0</v>
      </c>
      <c r="BT163" s="19" t="n">
        <f aca="false">IF(AND('Bonding Program'!$S$22=1,BT$3='Bonding Program'!$H$22),'Bonding Program'!$AA$22,0)-IF(BT$3&lt;='Bonding Program'!$C$8,IF(AND('Bonding Program'!$K$22&lt;&gt;"",BT$3='Bonding Program'!$K$22),'Bonding Program'!$J$22,0)-IF(AND('Bonding Program'!$M$22&lt;&gt;"",BT$3='Bonding Program'!$M$22),'Bonding Program'!$L$22,0)-IF(AND('Bonding Program'!$P$22&lt;&gt;"",BT$3='Bonding Program'!$P$22),'Bonding Program'!$O$22,0)-IF(AND('Bonding Program'!$R$22&lt;&gt;"",BT$3='Bonding Program'!$R$22),'Bonding Program'!$Q$22,0),0)</f>
        <v>0</v>
      </c>
      <c r="BU163" s="19" t="n">
        <f aca="false">IF(AND('Bonding Program'!$S$22=1,BU$3='Bonding Program'!$H$22),'Bonding Program'!$AA$22,0)-IF(BU$3&lt;='Bonding Program'!$C$8,IF(AND('Bonding Program'!$K$22&lt;&gt;"",BU$3='Bonding Program'!$K$22),'Bonding Program'!$J$22,0)-IF(AND('Bonding Program'!$M$22&lt;&gt;"",BU$3='Bonding Program'!$M$22),'Bonding Program'!$L$22,0)-IF(AND('Bonding Program'!$P$22&lt;&gt;"",BU$3='Bonding Program'!$P$22),'Bonding Program'!$O$22,0)-IF(AND('Bonding Program'!$R$22&lt;&gt;"",BU$3='Bonding Program'!$R$22),'Bonding Program'!$Q$22,0),0)</f>
        <v>0</v>
      </c>
      <c r="BV163" s="19" t="n">
        <f aca="false">IF(AND('Bonding Program'!$S$22=1,BV$3='Bonding Program'!$H$22),'Bonding Program'!$AA$22,0)-IF(BV$3&lt;='Bonding Program'!$C$8,IF(AND('Bonding Program'!$K$22&lt;&gt;"",BV$3='Bonding Program'!$K$22),'Bonding Program'!$J$22,0)-IF(AND('Bonding Program'!$M$22&lt;&gt;"",BV$3='Bonding Program'!$M$22),'Bonding Program'!$L$22,0)-IF(AND('Bonding Program'!$P$22&lt;&gt;"",BV$3='Bonding Program'!$P$22),'Bonding Program'!$O$22,0)-IF(AND('Bonding Program'!$R$22&lt;&gt;"",BV$3='Bonding Program'!$R$22),'Bonding Program'!$Q$22,0),0)</f>
        <v>0</v>
      </c>
      <c r="BW163" s="19" t="n">
        <f aca="false">IF(AND('Bonding Program'!$S$22=1,BW$3='Bonding Program'!$H$22),'Bonding Program'!$AA$22,0)-IF(BW$3&lt;='Bonding Program'!$C$8,IF(AND('Bonding Program'!$K$22&lt;&gt;"",BW$3='Bonding Program'!$K$22),'Bonding Program'!$J$22,0)-IF(AND('Bonding Program'!$M$22&lt;&gt;"",BW$3='Bonding Program'!$M$22),'Bonding Program'!$L$22,0)-IF(AND('Bonding Program'!$P$22&lt;&gt;"",BW$3='Bonding Program'!$P$22),'Bonding Program'!$O$22,0)-IF(AND('Bonding Program'!$R$22&lt;&gt;"",BW$3='Bonding Program'!$R$22),'Bonding Program'!$Q$22,0),0)</f>
        <v>0</v>
      </c>
      <c r="BX163" s="19" t="n">
        <f aca="false">IF(AND('Bonding Program'!$S$22=1,BX$3='Bonding Program'!$H$22),'Bonding Program'!$AA$22,0)-IF(BX$3&lt;='Bonding Program'!$C$8,IF(AND('Bonding Program'!$K$22&lt;&gt;"",BX$3='Bonding Program'!$K$22),'Bonding Program'!$J$22,0)-IF(AND('Bonding Program'!$M$22&lt;&gt;"",BX$3='Bonding Program'!$M$22),'Bonding Program'!$L$22,0)-IF(AND('Bonding Program'!$P$22&lt;&gt;"",BX$3='Bonding Program'!$P$22),'Bonding Program'!$O$22,0)-IF(AND('Bonding Program'!$R$22&lt;&gt;"",BX$3='Bonding Program'!$R$22),'Bonding Program'!$Q$22,0),0)</f>
        <v>0</v>
      </c>
      <c r="BY163" s="19" t="n">
        <f aca="false">IF(AND('Bonding Program'!$S$22=1,BY$3='Bonding Program'!$H$22),'Bonding Program'!$AA$22,0)-IF(BY$3&lt;='Bonding Program'!$C$8,IF(AND('Bonding Program'!$K$22&lt;&gt;"",BY$3='Bonding Program'!$K$22),'Bonding Program'!$J$22,0)-IF(AND('Bonding Program'!$M$22&lt;&gt;"",BY$3='Bonding Program'!$M$22),'Bonding Program'!$L$22,0)-IF(AND('Bonding Program'!$P$22&lt;&gt;"",BY$3='Bonding Program'!$P$22),'Bonding Program'!$O$22,0)-IF(AND('Bonding Program'!$R$22&lt;&gt;"",BY$3='Bonding Program'!$R$22),'Bonding Program'!$Q$22,0),0)</f>
        <v>0</v>
      </c>
      <c r="BZ163" s="19" t="n">
        <f aca="false">IF(AND('Bonding Program'!$S$22=1,BZ$3='Bonding Program'!$H$22),'Bonding Program'!$AA$22,0)-IF(BZ$3&lt;='Bonding Program'!$C$8,IF(AND('Bonding Program'!$K$22&lt;&gt;"",BZ$3='Bonding Program'!$K$22),'Bonding Program'!$J$22,0)-IF(AND('Bonding Program'!$M$22&lt;&gt;"",BZ$3='Bonding Program'!$M$22),'Bonding Program'!$L$22,0)-IF(AND('Bonding Program'!$P$22&lt;&gt;"",BZ$3='Bonding Program'!$P$22),'Bonding Program'!$O$22,0)-IF(AND('Bonding Program'!$R$22&lt;&gt;"",BZ$3='Bonding Program'!$R$22),'Bonding Program'!$Q$22,0),0)</f>
        <v>0</v>
      </c>
      <c r="CA163" s="19" t="n">
        <f aca="false">IF(AND('Bonding Program'!$S$22=1,CA$3='Bonding Program'!$H$22),'Bonding Program'!$AA$22,0)-IF(CA$3&lt;='Bonding Program'!$C$8,IF(AND('Bonding Program'!$K$22&lt;&gt;"",CA$3='Bonding Program'!$K$22),'Bonding Program'!$J$22,0)-IF(AND('Bonding Program'!$M$22&lt;&gt;"",CA$3='Bonding Program'!$M$22),'Bonding Program'!$L$22,0)-IF(AND('Bonding Program'!$P$22&lt;&gt;"",CA$3='Bonding Program'!$P$22),'Bonding Program'!$O$22,0)-IF(AND('Bonding Program'!$R$22&lt;&gt;"",CA$3='Bonding Program'!$R$22),'Bonding Program'!$Q$22,0),0)</f>
        <v>0</v>
      </c>
      <c r="CB163" s="19" t="n">
        <f aca="false">IF(AND('Bonding Program'!$S$22=1,CB$3='Bonding Program'!$H$22),'Bonding Program'!$AA$22,0)-IF(CB$3&lt;='Bonding Program'!$C$8,IF(AND('Bonding Program'!$K$22&lt;&gt;"",CB$3='Bonding Program'!$K$22),'Bonding Program'!$J$22,0)-IF(AND('Bonding Program'!$M$22&lt;&gt;"",CB$3='Bonding Program'!$M$22),'Bonding Program'!$L$22,0)-IF(AND('Bonding Program'!$P$22&lt;&gt;"",CB$3='Bonding Program'!$P$22),'Bonding Program'!$O$22,0)-IF(AND('Bonding Program'!$R$22&lt;&gt;"",CB$3='Bonding Program'!$R$22),'Bonding Program'!$Q$22,0),0)</f>
        <v>0</v>
      </c>
      <c r="CC163" s="19" t="n">
        <f aca="false">IF(AND('Bonding Program'!$S$22=1,CC$3='Bonding Program'!$H$22),'Bonding Program'!$AA$22,0)-IF(CC$3&lt;='Bonding Program'!$C$8,IF(AND('Bonding Program'!$K$22&lt;&gt;"",CC$3='Bonding Program'!$K$22),'Bonding Program'!$J$22,0)-IF(AND('Bonding Program'!$M$22&lt;&gt;"",CC$3='Bonding Program'!$M$22),'Bonding Program'!$L$22,0)-IF(AND('Bonding Program'!$P$22&lt;&gt;"",CC$3='Bonding Program'!$P$22),'Bonding Program'!$O$22,0)-IF(AND('Bonding Program'!$R$22&lt;&gt;"",CC$3='Bonding Program'!$R$22),'Bonding Program'!$Q$22,0),0)</f>
        <v>0</v>
      </c>
      <c r="CD163" s="19" t="n">
        <f aca="false">IF(AND('Bonding Program'!$S$22=1,CD$3='Bonding Program'!$H$22),'Bonding Program'!$AA$22,0)-IF(CD$3&lt;='Bonding Program'!$C$8,IF(AND('Bonding Program'!$K$22&lt;&gt;"",CD$3='Bonding Program'!$K$22),'Bonding Program'!$J$22,0)-IF(AND('Bonding Program'!$M$22&lt;&gt;"",CD$3='Bonding Program'!$M$22),'Bonding Program'!$L$22,0)-IF(AND('Bonding Program'!$P$22&lt;&gt;"",CD$3='Bonding Program'!$P$22),'Bonding Program'!$O$22,0)-IF(AND('Bonding Program'!$R$22&lt;&gt;"",CD$3='Bonding Program'!$R$22),'Bonding Program'!$Q$22,0),0)</f>
        <v>0</v>
      </c>
      <c r="CE163" s="19" t="n">
        <f aca="false">IF(AND('Bonding Program'!$S$22=1,CE$3='Bonding Program'!$H$22),'Bonding Program'!$AA$22,0)-IF(CE$3&lt;='Bonding Program'!$C$8,IF(AND('Bonding Program'!$K$22&lt;&gt;"",CE$3='Bonding Program'!$K$22),'Bonding Program'!$J$22,0)-IF(AND('Bonding Program'!$M$22&lt;&gt;"",CE$3='Bonding Program'!$M$22),'Bonding Program'!$L$22,0)-IF(AND('Bonding Program'!$P$22&lt;&gt;"",CE$3='Bonding Program'!$P$22),'Bonding Program'!$O$22,0)-IF(AND('Bonding Program'!$R$22&lt;&gt;"",CE$3='Bonding Program'!$R$22),'Bonding Program'!$Q$22,0),0)</f>
        <v>0</v>
      </c>
      <c r="CF163" s="19" t="n">
        <f aca="false">IF(AND('Bonding Program'!$S$22=1,CF$3='Bonding Program'!$H$22),'Bonding Program'!$AA$22,0)-IF(CF$3&lt;='Bonding Program'!$C$8,IF(AND('Bonding Program'!$K$22&lt;&gt;"",CF$3='Bonding Program'!$K$22),'Bonding Program'!$J$22,0)-IF(AND('Bonding Program'!$M$22&lt;&gt;"",CF$3='Bonding Program'!$M$22),'Bonding Program'!$L$22,0)-IF(AND('Bonding Program'!$P$22&lt;&gt;"",CF$3='Bonding Program'!$P$22),'Bonding Program'!$O$22,0)-IF(AND('Bonding Program'!$R$22&lt;&gt;"",CF$3='Bonding Program'!$R$22),'Bonding Program'!$Q$22,0),0)</f>
        <v>0</v>
      </c>
      <c r="CG163" s="19" t="n">
        <f aca="false">IF(AND('Bonding Program'!$S$22=1,CG$3='Bonding Program'!$H$22),'Bonding Program'!$AA$22,0)-IF(CG$3&lt;='Bonding Program'!$C$8,IF(AND('Bonding Program'!$K$22&lt;&gt;"",CG$3='Bonding Program'!$K$22),'Bonding Program'!$J$22,0)-IF(AND('Bonding Program'!$M$22&lt;&gt;"",CG$3='Bonding Program'!$M$22),'Bonding Program'!$L$22,0)-IF(AND('Bonding Program'!$P$22&lt;&gt;"",CG$3='Bonding Program'!$P$22),'Bonding Program'!$O$22,0)-IF(AND('Bonding Program'!$R$22&lt;&gt;"",CG$3='Bonding Program'!$R$22),'Bonding Program'!$Q$22,0),0)</f>
        <v>0</v>
      </c>
      <c r="CH163" s="19" t="n">
        <f aca="false">IF(AND('Bonding Program'!$S$22=1,CH$3='Bonding Program'!$H$22),'Bonding Program'!$AA$22,0)-IF(CH$3&lt;='Bonding Program'!$C$8,IF(AND('Bonding Program'!$K$22&lt;&gt;"",CH$3='Bonding Program'!$K$22),'Bonding Program'!$J$22,0)-IF(AND('Bonding Program'!$M$22&lt;&gt;"",CH$3='Bonding Program'!$M$22),'Bonding Program'!$L$22,0)-IF(AND('Bonding Program'!$P$22&lt;&gt;"",CH$3='Bonding Program'!$P$22),'Bonding Program'!$O$22,0)-IF(AND('Bonding Program'!$R$22&lt;&gt;"",CH$3='Bonding Program'!$R$22),'Bonding Program'!$Q$22,0),0)</f>
        <v>0</v>
      </c>
      <c r="CI163" s="19" t="n">
        <f aca="false">IF(AND('Bonding Program'!$S$22=1,CI$3='Bonding Program'!$H$22),'Bonding Program'!$AA$22,0)-IF(CI$3&lt;='Bonding Program'!$C$8,IF(AND('Bonding Program'!$K$22&lt;&gt;"",CI$3='Bonding Program'!$K$22),'Bonding Program'!$J$22,0)-IF(AND('Bonding Program'!$M$22&lt;&gt;"",CI$3='Bonding Program'!$M$22),'Bonding Program'!$L$22,0)-IF(AND('Bonding Program'!$P$22&lt;&gt;"",CI$3='Bonding Program'!$P$22),'Bonding Program'!$O$22,0)-IF(AND('Bonding Program'!$R$22&lt;&gt;"",CI$3='Bonding Program'!$R$22),'Bonding Program'!$Q$22,0),0)</f>
        <v>0</v>
      </c>
      <c r="CJ163" s="19" t="n">
        <f aca="false">IF(AND('Bonding Program'!$S$22=1,CJ$3='Bonding Program'!$H$22),'Bonding Program'!$AA$22,0)-IF(CJ$3&lt;='Bonding Program'!$C$8,IF(AND('Bonding Program'!$K$22&lt;&gt;"",CJ$3='Bonding Program'!$K$22),'Bonding Program'!$J$22,0)-IF(AND('Bonding Program'!$M$22&lt;&gt;"",CJ$3='Bonding Program'!$M$22),'Bonding Program'!$L$22,0)-IF(AND('Bonding Program'!$P$22&lt;&gt;"",CJ$3='Bonding Program'!$P$22),'Bonding Program'!$O$22,0)-IF(AND('Bonding Program'!$R$22&lt;&gt;"",CJ$3='Bonding Program'!$R$22),'Bonding Program'!$Q$22,0),0)</f>
        <v>0</v>
      </c>
      <c r="CK163" s="19" t="n">
        <f aca="false">IF(AND('Bonding Program'!$S$22=1,CK$3='Bonding Program'!$H$22),'Bonding Program'!$AA$22,0)-IF(CK$3&lt;='Bonding Program'!$C$8,IF(AND('Bonding Program'!$K$22&lt;&gt;"",CK$3='Bonding Program'!$K$22),'Bonding Program'!$J$22,0)-IF(AND('Bonding Program'!$M$22&lt;&gt;"",CK$3='Bonding Program'!$M$22),'Bonding Program'!$L$22,0)-IF(AND('Bonding Program'!$P$22&lt;&gt;"",CK$3='Bonding Program'!$P$22),'Bonding Program'!$O$22,0)-IF(AND('Bonding Program'!$R$22&lt;&gt;"",CK$3='Bonding Program'!$R$22),'Bonding Program'!$Q$22,0),0)</f>
        <v>0</v>
      </c>
      <c r="CL163" s="19" t="n">
        <f aca="false">IF(AND('Bonding Program'!$S$22=1,CL$3='Bonding Program'!$H$22),'Bonding Program'!$AA$22,0)-IF(CL$3&lt;='Bonding Program'!$C$8,IF(AND('Bonding Program'!$K$22&lt;&gt;"",CL$3='Bonding Program'!$K$22),'Bonding Program'!$J$22,0)-IF(AND('Bonding Program'!$M$22&lt;&gt;"",CL$3='Bonding Program'!$M$22),'Bonding Program'!$L$22,0)-IF(AND('Bonding Program'!$P$22&lt;&gt;"",CL$3='Bonding Program'!$P$22),'Bonding Program'!$O$22,0)-IF(AND('Bonding Program'!$R$22&lt;&gt;"",CL$3='Bonding Program'!$R$22),'Bonding Program'!$Q$22,0),0)</f>
        <v>0</v>
      </c>
      <c r="CM163" s="19" t="n">
        <f aca="false">IF(AND('Bonding Program'!$S$22=1,CM$3='Bonding Program'!$H$22),'Bonding Program'!$AA$22,0)-IF(CM$3&lt;='Bonding Program'!$C$8,IF(AND('Bonding Program'!$K$22&lt;&gt;"",CM$3='Bonding Program'!$K$22),'Bonding Program'!$J$22,0)-IF(AND('Bonding Program'!$M$22&lt;&gt;"",CM$3='Bonding Program'!$M$22),'Bonding Program'!$L$22,0)-IF(AND('Bonding Program'!$P$22&lt;&gt;"",CM$3='Bonding Program'!$P$22),'Bonding Program'!$O$22,0)-IF(AND('Bonding Program'!$R$22&lt;&gt;"",CM$3='Bonding Program'!$R$22),'Bonding Program'!$Q$22,0),0)</f>
        <v>0</v>
      </c>
      <c r="CN163" s="19" t="n">
        <f aca="false">IF(AND('Bonding Program'!$S$22=1,CN$3='Bonding Program'!$H$22),'Bonding Program'!$AA$22,0)-IF(CN$3&lt;='Bonding Program'!$C$8,IF(AND('Bonding Program'!$K$22&lt;&gt;"",CN$3='Bonding Program'!$K$22),'Bonding Program'!$J$22,0)-IF(AND('Bonding Program'!$M$22&lt;&gt;"",CN$3='Bonding Program'!$M$22),'Bonding Program'!$L$22,0)-IF(AND('Bonding Program'!$P$22&lt;&gt;"",CN$3='Bonding Program'!$P$22),'Bonding Program'!$O$22,0)-IF(AND('Bonding Program'!$R$22&lt;&gt;"",CN$3='Bonding Program'!$R$22),'Bonding Program'!$Q$22,0),0)</f>
        <v>0</v>
      </c>
      <c r="CO163" s="19" t="n">
        <f aca="false">IF(AND('Bonding Program'!$S$22=1,CO$3='Bonding Program'!$H$22),'Bonding Program'!$AA$22,0)-IF(CO$3&lt;='Bonding Program'!$C$8,IF(AND('Bonding Program'!$K$22&lt;&gt;"",CO$3='Bonding Program'!$K$22),'Bonding Program'!$J$22,0)-IF(AND('Bonding Program'!$M$22&lt;&gt;"",CO$3='Bonding Program'!$M$22),'Bonding Program'!$L$22,0)-IF(AND('Bonding Program'!$P$22&lt;&gt;"",CO$3='Bonding Program'!$P$22),'Bonding Program'!$O$22,0)-IF(AND('Bonding Program'!$R$22&lt;&gt;"",CO$3='Bonding Program'!$R$22),'Bonding Program'!$Q$22,0),0)</f>
        <v>0</v>
      </c>
      <c r="CP163" s="19" t="n">
        <f aca="false">IF(AND('Bonding Program'!$S$22=1,CP$3='Bonding Program'!$H$22),'Bonding Program'!$AA$22,0)-IF(CP$3&lt;='Bonding Program'!$C$8,IF(AND('Bonding Program'!$K$22&lt;&gt;"",CP$3='Bonding Program'!$K$22),'Bonding Program'!$J$22,0)-IF(AND('Bonding Program'!$M$22&lt;&gt;"",CP$3='Bonding Program'!$M$22),'Bonding Program'!$L$22,0)-IF(AND('Bonding Program'!$P$22&lt;&gt;"",CP$3='Bonding Program'!$P$22),'Bonding Program'!$O$22,0)-IF(AND('Bonding Program'!$R$22&lt;&gt;"",CP$3='Bonding Program'!$R$22),'Bonding Program'!$Q$22,0),0)</f>
        <v>0</v>
      </c>
      <c r="CQ163" s="19" t="n">
        <f aca="false">IF(AND('Bonding Program'!$S$22=1,CQ$3='Bonding Program'!$H$22),'Bonding Program'!$AA$22,0)-IF(CQ$3&lt;='Bonding Program'!$C$8,IF(AND('Bonding Program'!$K$22&lt;&gt;"",CQ$3='Bonding Program'!$K$22),'Bonding Program'!$J$22,0)-IF(AND('Bonding Program'!$M$22&lt;&gt;"",CQ$3='Bonding Program'!$M$22),'Bonding Program'!$L$22,0)-IF(AND('Bonding Program'!$P$22&lt;&gt;"",CQ$3='Bonding Program'!$P$22),'Bonding Program'!$O$22,0)-IF(AND('Bonding Program'!$R$22&lt;&gt;"",CQ$3='Bonding Program'!$R$22),'Bonding Program'!$Q$22,0),0)</f>
        <v>0</v>
      </c>
      <c r="CR163" s="19" t="n">
        <f aca="false">IF(AND('Bonding Program'!$S$22=1,CR$3='Bonding Program'!$H$22),'Bonding Program'!$AA$22,0)-IF(CR$3&lt;='Bonding Program'!$C$8,IF(AND('Bonding Program'!$K$22&lt;&gt;"",CR$3='Bonding Program'!$K$22),'Bonding Program'!$J$22,0)-IF(AND('Bonding Program'!$M$22&lt;&gt;"",CR$3='Bonding Program'!$M$22),'Bonding Program'!$L$22,0)-IF(AND('Bonding Program'!$P$22&lt;&gt;"",CR$3='Bonding Program'!$P$22),'Bonding Program'!$O$22,0)-IF(AND('Bonding Program'!$R$22&lt;&gt;"",CR$3='Bonding Program'!$R$22),'Bonding Program'!$Q$22,0),0)</f>
        <v>0</v>
      </c>
      <c r="CS163" s="19" t="n">
        <f aca="false">IF(AND('Bonding Program'!$S$22=1,CS$3='Bonding Program'!$H$22),'Bonding Program'!$AA$22,0)-IF(CS$3&lt;='Bonding Program'!$C$8,IF(AND('Bonding Program'!$K$22&lt;&gt;"",CS$3='Bonding Program'!$K$22),'Bonding Program'!$J$22,0)-IF(AND('Bonding Program'!$M$22&lt;&gt;"",CS$3='Bonding Program'!$M$22),'Bonding Program'!$L$22,0)-IF(AND('Bonding Program'!$P$22&lt;&gt;"",CS$3='Bonding Program'!$P$22),'Bonding Program'!$O$22,0)-IF(AND('Bonding Program'!$R$22&lt;&gt;"",CS$3='Bonding Program'!$R$22),'Bonding Program'!$Q$22,0),0)</f>
        <v>0</v>
      </c>
      <c r="CT163" s="19" t="n">
        <f aca="false">IF(AND('Bonding Program'!$S$22=1,CT$3='Bonding Program'!$H$22),'Bonding Program'!$AA$22,0)-IF(CT$3&lt;='Bonding Program'!$C$8,IF(AND('Bonding Program'!$K$22&lt;&gt;"",CT$3='Bonding Program'!$K$22),'Bonding Program'!$J$22,0)-IF(AND('Bonding Program'!$M$22&lt;&gt;"",CT$3='Bonding Program'!$M$22),'Bonding Program'!$L$22,0)-IF(AND('Bonding Program'!$P$22&lt;&gt;"",CT$3='Bonding Program'!$P$22),'Bonding Program'!$O$22,0)-IF(AND('Bonding Program'!$R$22&lt;&gt;"",CT$3='Bonding Program'!$R$22),'Bonding Program'!$Q$22,0),0)</f>
        <v>0</v>
      </c>
      <c r="CU163" s="19" t="n">
        <f aca="false">IF(AND('Bonding Program'!$S$22=1,CU$3='Bonding Program'!$H$22),'Bonding Program'!$AA$22,0)-IF(CU$3&lt;='Bonding Program'!$C$8,IF(AND('Bonding Program'!$K$22&lt;&gt;"",CU$3='Bonding Program'!$K$22),'Bonding Program'!$J$22,0)-IF(AND('Bonding Program'!$M$22&lt;&gt;"",CU$3='Bonding Program'!$M$22),'Bonding Program'!$L$22,0)-IF(AND('Bonding Program'!$P$22&lt;&gt;"",CU$3='Bonding Program'!$P$22),'Bonding Program'!$O$22,0)-IF(AND('Bonding Program'!$R$22&lt;&gt;"",CU$3='Bonding Program'!$R$22),'Bonding Program'!$Q$22,0),0)</f>
        <v>0</v>
      </c>
      <c r="CV163" s="19" t="n">
        <f aca="false">IF(AND('Bonding Program'!$S$22=1,CV$3='Bonding Program'!$H$22),'Bonding Program'!$AA$22,0)-IF(CV$3&lt;='Bonding Program'!$C$8,IF(AND('Bonding Program'!$K$22&lt;&gt;"",CV$3='Bonding Program'!$K$22),'Bonding Program'!$J$22,0)-IF(AND('Bonding Program'!$M$22&lt;&gt;"",CV$3='Bonding Program'!$M$22),'Bonding Program'!$L$22,0)-IF(AND('Bonding Program'!$P$22&lt;&gt;"",CV$3='Bonding Program'!$P$22),'Bonding Program'!$O$22,0)-IF(AND('Bonding Program'!$R$22&lt;&gt;"",CV$3='Bonding Program'!$R$22),'Bonding Program'!$Q$22,0),0)</f>
        <v>0</v>
      </c>
      <c r="CW163" s="19" t="n">
        <f aca="false">IF(AND('Bonding Program'!$S$22=1,CW$3='Bonding Program'!$H$22),'Bonding Program'!$AA$22,0)-IF(CW$3&lt;='Bonding Program'!$C$8,IF(AND('Bonding Program'!$K$22&lt;&gt;"",CW$3='Bonding Program'!$K$22),'Bonding Program'!$J$22,0)-IF(AND('Bonding Program'!$M$22&lt;&gt;"",CW$3='Bonding Program'!$M$22),'Bonding Program'!$L$22,0)-IF(AND('Bonding Program'!$P$22&lt;&gt;"",CW$3='Bonding Program'!$P$22),'Bonding Program'!$O$22,0)-IF(AND('Bonding Program'!$R$22&lt;&gt;"",CW$3='Bonding Program'!$R$22),'Bonding Program'!$Q$22,0),0)</f>
        <v>0</v>
      </c>
      <c r="CX163" s="19" t="n">
        <f aca="false">IF(AND('Bonding Program'!$S$22=1,CX$3='Bonding Program'!$H$22),'Bonding Program'!$AA$22,0)-IF(CX$3&lt;='Bonding Program'!$C$8,IF(AND('Bonding Program'!$K$22&lt;&gt;"",CX$3='Bonding Program'!$K$22),'Bonding Program'!$J$22,0)-IF(AND('Bonding Program'!$M$22&lt;&gt;"",CX$3='Bonding Program'!$M$22),'Bonding Program'!$L$22,0)-IF(AND('Bonding Program'!$P$22&lt;&gt;"",CX$3='Bonding Program'!$P$22),'Bonding Program'!$O$22,0)-IF(AND('Bonding Program'!$R$22&lt;&gt;"",CX$3='Bonding Program'!$R$22),'Bonding Program'!$Q$22,0),0)</f>
        <v>0</v>
      </c>
      <c r="CY163" s="19" t="n">
        <f aca="false">IF(AND('Bonding Program'!$S$22=1,CY$3='Bonding Program'!$H$22),'Bonding Program'!$AA$22,0)-IF(CY$3&lt;='Bonding Program'!$C$8,IF(AND('Bonding Program'!$K$22&lt;&gt;"",CY$3='Bonding Program'!$K$22),'Bonding Program'!$J$22,0)-IF(AND('Bonding Program'!$M$22&lt;&gt;"",CY$3='Bonding Program'!$M$22),'Bonding Program'!$L$22,0)-IF(AND('Bonding Program'!$P$22&lt;&gt;"",CY$3='Bonding Program'!$P$22),'Bonding Program'!$O$22,0)-IF(AND('Bonding Program'!$R$22&lt;&gt;"",CY$3='Bonding Program'!$R$22),'Bonding Program'!$Q$22,0),0)</f>
        <v>0</v>
      </c>
      <c r="CZ163" s="19" t="n">
        <f aca="false">IF(AND('Bonding Program'!$S$22=1,CZ$3='Bonding Program'!$H$22),'Bonding Program'!$AA$22,0)-IF(CZ$3&lt;='Bonding Program'!$C$8,IF(AND('Bonding Program'!$K$22&lt;&gt;"",CZ$3='Bonding Program'!$K$22),'Bonding Program'!$J$22,0)-IF(AND('Bonding Program'!$M$22&lt;&gt;"",CZ$3='Bonding Program'!$M$22),'Bonding Program'!$L$22,0)-IF(AND('Bonding Program'!$P$22&lt;&gt;"",CZ$3='Bonding Program'!$P$22),'Bonding Program'!$O$22,0)-IF(AND('Bonding Program'!$R$22&lt;&gt;"",CZ$3='Bonding Program'!$R$22),'Bonding Program'!$Q$22,0),0)</f>
        <v>0</v>
      </c>
      <c r="DA163" s="19" t="n">
        <f aca="false">IF(AND('Bonding Program'!$S$22=1,DA$3='Bonding Program'!$H$22),'Bonding Program'!$AA$22,0)-IF(DA$3&lt;='Bonding Program'!$C$8,IF(AND('Bonding Program'!$K$22&lt;&gt;"",DA$3='Bonding Program'!$K$22),'Bonding Program'!$J$22,0)-IF(AND('Bonding Program'!$M$22&lt;&gt;"",DA$3='Bonding Program'!$M$22),'Bonding Program'!$L$22,0)-IF(AND('Bonding Program'!$P$22&lt;&gt;"",DA$3='Bonding Program'!$P$22),'Bonding Program'!$O$22,0)-IF(AND('Bonding Program'!$R$22&lt;&gt;"",DA$3='Bonding Program'!$R$22),'Bonding Program'!$Q$22,0),0)</f>
        <v>0</v>
      </c>
      <c r="DB163" s="19" t="n">
        <f aca="false">IF(AND('Bonding Program'!$S$22=1,DB$3='Bonding Program'!$H$22),'Bonding Program'!$AA$22,0)-IF(DB$3&lt;='Bonding Program'!$C$8,IF(AND('Bonding Program'!$K$22&lt;&gt;"",DB$3='Bonding Program'!$K$22),'Bonding Program'!$J$22,0)-IF(AND('Bonding Program'!$M$22&lt;&gt;"",DB$3='Bonding Program'!$M$22),'Bonding Program'!$L$22,0)-IF(AND('Bonding Program'!$P$22&lt;&gt;"",DB$3='Bonding Program'!$P$22),'Bonding Program'!$O$22,0)-IF(AND('Bonding Program'!$R$22&lt;&gt;"",DB$3='Bonding Program'!$R$22),'Bonding Program'!$Q$22,0),0)</f>
        <v>0</v>
      </c>
      <c r="DC163" s="19" t="n">
        <f aca="false">IF(AND('Bonding Program'!$S$22=1,DC$3='Bonding Program'!$H$22),'Bonding Program'!$AA$22,0)-IF(DC$3&lt;='Bonding Program'!$C$8,IF(AND('Bonding Program'!$K$22&lt;&gt;"",DC$3='Bonding Program'!$K$22),'Bonding Program'!$J$22,0)-IF(AND('Bonding Program'!$M$22&lt;&gt;"",DC$3='Bonding Program'!$M$22),'Bonding Program'!$L$22,0)-IF(AND('Bonding Program'!$P$22&lt;&gt;"",DC$3='Bonding Program'!$P$22),'Bonding Program'!$O$22,0)-IF(AND('Bonding Program'!$R$22&lt;&gt;"",DC$3='Bonding Program'!$R$22),'Bonding Program'!$Q$22,0),0)</f>
        <v>0</v>
      </c>
      <c r="DD163" s="19" t="n">
        <f aca="false">IF(AND('Bonding Program'!$S$22=1,DD$3='Bonding Program'!$H$22),'Bonding Program'!$AA$22,0)-IF(DD$3&lt;='Bonding Program'!$C$8,IF(AND('Bonding Program'!$K$22&lt;&gt;"",DD$3='Bonding Program'!$K$22),'Bonding Program'!$J$22,0)-IF(AND('Bonding Program'!$M$22&lt;&gt;"",DD$3='Bonding Program'!$M$22),'Bonding Program'!$L$22,0)-IF(AND('Bonding Program'!$P$22&lt;&gt;"",DD$3='Bonding Program'!$P$22),'Bonding Program'!$O$22,0)-IF(AND('Bonding Program'!$R$22&lt;&gt;"",DD$3='Bonding Program'!$R$22),'Bonding Program'!$Q$22,0),0)</f>
        <v>0</v>
      </c>
      <c r="DE163" s="19" t="n">
        <f aca="false">IF(AND('Bonding Program'!$S$22=1,DE$3='Bonding Program'!$H$22),'Bonding Program'!$AA$22,0)-IF(DE$3&lt;='Bonding Program'!$C$8,IF(AND('Bonding Program'!$K$22&lt;&gt;"",DE$3='Bonding Program'!$K$22),'Bonding Program'!$J$22,0)-IF(AND('Bonding Program'!$M$22&lt;&gt;"",DE$3='Bonding Program'!$M$22),'Bonding Program'!$L$22,0)-IF(AND('Bonding Program'!$P$22&lt;&gt;"",DE$3='Bonding Program'!$P$22),'Bonding Program'!$O$22,0)-IF(AND('Bonding Program'!$R$22&lt;&gt;"",DE$3='Bonding Program'!$R$22),'Bonding Program'!$Q$22,0),0)</f>
        <v>0</v>
      </c>
    </row>
    <row r="164" customFormat="false" ht="15" hidden="false" customHeight="true" outlineLevel="1" collapsed="false">
      <c r="A164" s="28" t="s">
        <v>19</v>
      </c>
      <c r="B164" s="19" t="n">
        <f aca="false">IF(AND('Bonding Program'!$S$23=1,B$3='Bonding Program'!$H$23),'Bonding Program'!$AA$23,0)-IF(B$3&lt;='Bonding Program'!$C$8,IF(AND('Bonding Program'!$K$23&lt;&gt;"",B$3='Bonding Program'!$K$23),'Bonding Program'!$J$23,0)-IF(AND('Bonding Program'!$M$23&lt;&gt;"",B$3='Bonding Program'!$M$23),'Bonding Program'!$L$23,0)-IF(AND('Bonding Program'!$P$23&lt;&gt;"",B$3='Bonding Program'!$P$23),'Bonding Program'!$O$23,0)-IF(AND('Bonding Program'!$R$23&lt;&gt;"",B$3='Bonding Program'!$R$23),'Bonding Program'!$Q$23,0),0)</f>
        <v>0</v>
      </c>
      <c r="C164" s="19" t="n">
        <f aca="false">IF(AND('Bonding Program'!$S$23=1,C$3='Bonding Program'!$H$23),'Bonding Program'!$AA$23,0)-IF(C$3&lt;='Bonding Program'!$C$8,IF(AND('Bonding Program'!$K$23&lt;&gt;"",C$3='Bonding Program'!$K$23),'Bonding Program'!$J$23,0)-IF(AND('Bonding Program'!$M$23&lt;&gt;"",C$3='Bonding Program'!$M$23),'Bonding Program'!$L$23,0)-IF(AND('Bonding Program'!$P$23&lt;&gt;"",C$3='Bonding Program'!$P$23),'Bonding Program'!$O$23,0)-IF(AND('Bonding Program'!$R$23&lt;&gt;"",C$3='Bonding Program'!$R$23),'Bonding Program'!$Q$23,0),0)</f>
        <v>0</v>
      </c>
      <c r="D164" s="19" t="n">
        <f aca="false">IF(AND('Bonding Program'!$S$23=1,D$3='Bonding Program'!$H$23),'Bonding Program'!$AA$23,0)-IF(D$3&lt;='Bonding Program'!$C$8,IF(AND('Bonding Program'!$K$23&lt;&gt;"",D$3='Bonding Program'!$K$23),'Bonding Program'!$J$23,0)-IF(AND('Bonding Program'!$M$23&lt;&gt;"",D$3='Bonding Program'!$M$23),'Bonding Program'!$L$23,0)-IF(AND('Bonding Program'!$P$23&lt;&gt;"",D$3='Bonding Program'!$P$23),'Bonding Program'!$O$23,0)-IF(AND('Bonding Program'!$R$23&lt;&gt;"",D$3='Bonding Program'!$R$23),'Bonding Program'!$Q$23,0),0)</f>
        <v>0</v>
      </c>
      <c r="E164" s="19" t="n">
        <f aca="false">IF(AND('Bonding Program'!$S$23=1,E$3='Bonding Program'!$H$23),'Bonding Program'!$AA$23,0)-IF(E$3&lt;='Bonding Program'!$C$8,IF(AND('Bonding Program'!$K$23&lt;&gt;"",E$3='Bonding Program'!$K$23),'Bonding Program'!$J$23,0)-IF(AND('Bonding Program'!$M$23&lt;&gt;"",E$3='Bonding Program'!$M$23),'Bonding Program'!$L$23,0)-IF(AND('Bonding Program'!$P$23&lt;&gt;"",E$3='Bonding Program'!$P$23),'Bonding Program'!$O$23,0)-IF(AND('Bonding Program'!$R$23&lt;&gt;"",E$3='Bonding Program'!$R$23),'Bonding Program'!$Q$23,0),0)</f>
        <v>0</v>
      </c>
      <c r="F164" s="19" t="n">
        <f aca="false">IF(AND('Bonding Program'!$S$23=1,F$3='Bonding Program'!$H$23),'Bonding Program'!$AA$23,0)-IF(F$3&lt;='Bonding Program'!$C$8,IF(AND('Bonding Program'!$K$23&lt;&gt;"",F$3='Bonding Program'!$K$23),'Bonding Program'!$J$23,0)-IF(AND('Bonding Program'!$M$23&lt;&gt;"",F$3='Bonding Program'!$M$23),'Bonding Program'!$L$23,0)-IF(AND('Bonding Program'!$P$23&lt;&gt;"",F$3='Bonding Program'!$P$23),'Bonding Program'!$O$23,0)-IF(AND('Bonding Program'!$R$23&lt;&gt;"",F$3='Bonding Program'!$R$23),'Bonding Program'!$Q$23,0),0)</f>
        <v>0</v>
      </c>
      <c r="G164" s="19" t="n">
        <f aca="false">IF(AND('Bonding Program'!$S$23=1,G$3='Bonding Program'!$H$23),'Bonding Program'!$AA$23,0)-IF(G$3&lt;='Bonding Program'!$C$8,IF(AND('Bonding Program'!$K$23&lt;&gt;"",G$3='Bonding Program'!$K$23),'Bonding Program'!$J$23,0)-IF(AND('Bonding Program'!$M$23&lt;&gt;"",G$3='Bonding Program'!$M$23),'Bonding Program'!$L$23,0)-IF(AND('Bonding Program'!$P$23&lt;&gt;"",G$3='Bonding Program'!$P$23),'Bonding Program'!$O$23,0)-IF(AND('Bonding Program'!$R$23&lt;&gt;"",G$3='Bonding Program'!$R$23),'Bonding Program'!$Q$23,0),0)</f>
        <v>0</v>
      </c>
      <c r="H164" s="19" t="n">
        <f aca="false">IF(AND('Bonding Program'!$S$23=1,H$3='Bonding Program'!$H$23),'Bonding Program'!$AA$23,0)-IF(H$3&lt;='Bonding Program'!$C$8,IF(AND('Bonding Program'!$K$23&lt;&gt;"",H$3='Bonding Program'!$K$23),'Bonding Program'!$J$23,0)-IF(AND('Bonding Program'!$M$23&lt;&gt;"",H$3='Bonding Program'!$M$23),'Bonding Program'!$L$23,0)-IF(AND('Bonding Program'!$P$23&lt;&gt;"",H$3='Bonding Program'!$P$23),'Bonding Program'!$O$23,0)-IF(AND('Bonding Program'!$R$23&lt;&gt;"",H$3='Bonding Program'!$R$23),'Bonding Program'!$Q$23,0),0)</f>
        <v>0</v>
      </c>
      <c r="I164" s="19" t="n">
        <f aca="false">IF(AND('Bonding Program'!$S$23=1,I$3='Bonding Program'!$H$23),'Bonding Program'!$AA$23,0)-IF(I$3&lt;='Bonding Program'!$C$8,IF(AND('Bonding Program'!$K$23&lt;&gt;"",I$3='Bonding Program'!$K$23),'Bonding Program'!$J$23,0)-IF(AND('Bonding Program'!$M$23&lt;&gt;"",I$3='Bonding Program'!$M$23),'Bonding Program'!$L$23,0)-IF(AND('Bonding Program'!$P$23&lt;&gt;"",I$3='Bonding Program'!$P$23),'Bonding Program'!$O$23,0)-IF(AND('Bonding Program'!$R$23&lt;&gt;"",I$3='Bonding Program'!$R$23),'Bonding Program'!$Q$23,0),0)</f>
        <v>0</v>
      </c>
      <c r="J164" s="19" t="n">
        <f aca="false">IF(AND('Bonding Program'!$S$23=1,J$3='Bonding Program'!$H$23),'Bonding Program'!$AA$23,0)-IF(J$3&lt;='Bonding Program'!$C$8,IF(AND('Bonding Program'!$K$23&lt;&gt;"",J$3='Bonding Program'!$K$23),'Bonding Program'!$J$23,0)-IF(AND('Bonding Program'!$M$23&lt;&gt;"",J$3='Bonding Program'!$M$23),'Bonding Program'!$L$23,0)-IF(AND('Bonding Program'!$P$23&lt;&gt;"",J$3='Bonding Program'!$P$23),'Bonding Program'!$O$23,0)-IF(AND('Bonding Program'!$R$23&lt;&gt;"",J$3='Bonding Program'!$R$23),'Bonding Program'!$Q$23,0),0)</f>
        <v>0</v>
      </c>
      <c r="K164" s="19" t="n">
        <f aca="false">IF(AND('Bonding Program'!$S$23=1,K$3='Bonding Program'!$H$23),'Bonding Program'!$AA$23,0)-IF(K$3&lt;='Bonding Program'!$C$8,IF(AND('Bonding Program'!$K$23&lt;&gt;"",K$3='Bonding Program'!$K$23),'Bonding Program'!$J$23,0)-IF(AND('Bonding Program'!$M$23&lt;&gt;"",K$3='Bonding Program'!$M$23),'Bonding Program'!$L$23,0)-IF(AND('Bonding Program'!$P$23&lt;&gt;"",K$3='Bonding Program'!$P$23),'Bonding Program'!$O$23,0)-IF(AND('Bonding Program'!$R$23&lt;&gt;"",K$3='Bonding Program'!$R$23),'Bonding Program'!$Q$23,0),0)</f>
        <v>0</v>
      </c>
      <c r="L164" s="19" t="n">
        <f aca="false">IF(AND('Bonding Program'!$S$23=1,L$3='Bonding Program'!$H$23),'Bonding Program'!$AA$23,0)-IF(L$3&lt;='Bonding Program'!$C$8,IF(AND('Bonding Program'!$K$23&lt;&gt;"",L$3='Bonding Program'!$K$23),'Bonding Program'!$J$23,0)-IF(AND('Bonding Program'!$M$23&lt;&gt;"",L$3='Bonding Program'!$M$23),'Bonding Program'!$L$23,0)-IF(AND('Bonding Program'!$P$23&lt;&gt;"",L$3='Bonding Program'!$P$23),'Bonding Program'!$O$23,0)-IF(AND('Bonding Program'!$R$23&lt;&gt;"",L$3='Bonding Program'!$R$23),'Bonding Program'!$Q$23,0),0)</f>
        <v>0</v>
      </c>
      <c r="M164" s="19" t="n">
        <f aca="false">IF(AND('Bonding Program'!$S$23=1,M$3='Bonding Program'!$H$23),'Bonding Program'!$AA$23,0)-IF(M$3&lt;='Bonding Program'!$C$8,IF(AND('Bonding Program'!$K$23&lt;&gt;"",M$3='Bonding Program'!$K$23),'Bonding Program'!$J$23,0)-IF(AND('Bonding Program'!$M$23&lt;&gt;"",M$3='Bonding Program'!$M$23),'Bonding Program'!$L$23,0)-IF(AND('Bonding Program'!$P$23&lt;&gt;"",M$3='Bonding Program'!$P$23),'Bonding Program'!$O$23,0)-IF(AND('Bonding Program'!$R$23&lt;&gt;"",M$3='Bonding Program'!$R$23),'Bonding Program'!$Q$23,0),0)</f>
        <v>0</v>
      </c>
      <c r="N164" s="19" t="n">
        <f aca="false">IF(AND('Bonding Program'!$S$23=1,N$3='Bonding Program'!$H$23),'Bonding Program'!$AA$23,0)-IF(N$3&lt;='Bonding Program'!$C$8,IF(AND('Bonding Program'!$K$23&lt;&gt;"",N$3='Bonding Program'!$K$23),'Bonding Program'!$J$23,0)-IF(AND('Bonding Program'!$M$23&lt;&gt;"",N$3='Bonding Program'!$M$23),'Bonding Program'!$L$23,0)-IF(AND('Bonding Program'!$P$23&lt;&gt;"",N$3='Bonding Program'!$P$23),'Bonding Program'!$O$23,0)-IF(AND('Bonding Program'!$R$23&lt;&gt;"",N$3='Bonding Program'!$R$23),'Bonding Program'!$Q$23,0),0)</f>
        <v>0</v>
      </c>
      <c r="O164" s="19" t="n">
        <f aca="false">IF(AND('Bonding Program'!$S$23=1,O$3='Bonding Program'!$H$23),'Bonding Program'!$AA$23,0)-IF(O$3&lt;='Bonding Program'!$C$8,IF(AND('Bonding Program'!$K$23&lt;&gt;"",O$3='Bonding Program'!$K$23),'Bonding Program'!$J$23,0)-IF(AND('Bonding Program'!$M$23&lt;&gt;"",O$3='Bonding Program'!$M$23),'Bonding Program'!$L$23,0)-IF(AND('Bonding Program'!$P$23&lt;&gt;"",O$3='Bonding Program'!$P$23),'Bonding Program'!$O$23,0)-IF(AND('Bonding Program'!$R$23&lt;&gt;"",O$3='Bonding Program'!$R$23),'Bonding Program'!$Q$23,0),0)</f>
        <v>0</v>
      </c>
      <c r="P164" s="19" t="n">
        <f aca="false">IF(AND('Bonding Program'!$S$23=1,P$3='Bonding Program'!$H$23),'Bonding Program'!$AA$23,0)-IF(P$3&lt;='Bonding Program'!$C$8,IF(AND('Bonding Program'!$K$23&lt;&gt;"",P$3='Bonding Program'!$K$23),'Bonding Program'!$J$23,0)-IF(AND('Bonding Program'!$M$23&lt;&gt;"",P$3='Bonding Program'!$M$23),'Bonding Program'!$L$23,0)-IF(AND('Bonding Program'!$P$23&lt;&gt;"",P$3='Bonding Program'!$P$23),'Bonding Program'!$O$23,0)-IF(AND('Bonding Program'!$R$23&lt;&gt;"",P$3='Bonding Program'!$R$23),'Bonding Program'!$Q$23,0),0)</f>
        <v>0</v>
      </c>
      <c r="Q164" s="19" t="n">
        <f aca="false">IF(AND('Bonding Program'!$S$23=1,Q$3='Bonding Program'!$H$23),'Bonding Program'!$AA$23,0)-IF(Q$3&lt;='Bonding Program'!$C$8,IF(AND('Bonding Program'!$K$23&lt;&gt;"",Q$3='Bonding Program'!$K$23),'Bonding Program'!$J$23,0)-IF(AND('Bonding Program'!$M$23&lt;&gt;"",Q$3='Bonding Program'!$M$23),'Bonding Program'!$L$23,0)-IF(AND('Bonding Program'!$P$23&lt;&gt;"",Q$3='Bonding Program'!$P$23),'Bonding Program'!$O$23,0)-IF(AND('Bonding Program'!$R$23&lt;&gt;"",Q$3='Bonding Program'!$R$23),'Bonding Program'!$Q$23,0),0)</f>
        <v>0</v>
      </c>
      <c r="R164" s="19" t="n">
        <f aca="false">IF(AND('Bonding Program'!$S$23=1,R$3='Bonding Program'!$H$23),'Bonding Program'!$AA$23,0)-IF(R$3&lt;='Bonding Program'!$C$8,IF(AND('Bonding Program'!$K$23&lt;&gt;"",R$3='Bonding Program'!$K$23),'Bonding Program'!$J$23,0)-IF(AND('Bonding Program'!$M$23&lt;&gt;"",R$3='Bonding Program'!$M$23),'Bonding Program'!$L$23,0)-IF(AND('Bonding Program'!$P$23&lt;&gt;"",R$3='Bonding Program'!$P$23),'Bonding Program'!$O$23,0)-IF(AND('Bonding Program'!$R$23&lt;&gt;"",R$3='Bonding Program'!$R$23),'Bonding Program'!$Q$23,0),0)</f>
        <v>0</v>
      </c>
      <c r="S164" s="19" t="n">
        <f aca="false">IF(AND('Bonding Program'!$S$23=1,S$3='Bonding Program'!$H$23),'Bonding Program'!$AA$23,0)-IF(S$3&lt;='Bonding Program'!$C$8,IF(AND('Bonding Program'!$K$23&lt;&gt;"",S$3='Bonding Program'!$K$23),'Bonding Program'!$J$23,0)-IF(AND('Bonding Program'!$M$23&lt;&gt;"",S$3='Bonding Program'!$M$23),'Bonding Program'!$L$23,0)-IF(AND('Bonding Program'!$P$23&lt;&gt;"",S$3='Bonding Program'!$P$23),'Bonding Program'!$O$23,0)-IF(AND('Bonding Program'!$R$23&lt;&gt;"",S$3='Bonding Program'!$R$23),'Bonding Program'!$Q$23,0),0)</f>
        <v>0</v>
      </c>
      <c r="T164" s="19" t="n">
        <f aca="false">IF(AND('Bonding Program'!$S$23=1,T$3='Bonding Program'!$H$23),'Bonding Program'!$AA$23,0)-IF(T$3&lt;='Bonding Program'!$C$8,IF(AND('Bonding Program'!$K$23&lt;&gt;"",T$3='Bonding Program'!$K$23),'Bonding Program'!$J$23,0)-IF(AND('Bonding Program'!$M$23&lt;&gt;"",T$3='Bonding Program'!$M$23),'Bonding Program'!$L$23,0)-IF(AND('Bonding Program'!$P$23&lt;&gt;"",T$3='Bonding Program'!$P$23),'Bonding Program'!$O$23,0)-IF(AND('Bonding Program'!$R$23&lt;&gt;"",T$3='Bonding Program'!$R$23),'Bonding Program'!$Q$23,0),0)</f>
        <v>0</v>
      </c>
      <c r="U164" s="19" t="n">
        <f aca="false">IF(AND('Bonding Program'!$S$23=1,U$3='Bonding Program'!$H$23),'Bonding Program'!$AA$23,0)-IF(U$3&lt;='Bonding Program'!$C$8,IF(AND('Bonding Program'!$K$23&lt;&gt;"",U$3='Bonding Program'!$K$23),'Bonding Program'!$J$23,0)-IF(AND('Bonding Program'!$M$23&lt;&gt;"",U$3='Bonding Program'!$M$23),'Bonding Program'!$L$23,0)-IF(AND('Bonding Program'!$P$23&lt;&gt;"",U$3='Bonding Program'!$P$23),'Bonding Program'!$O$23,0)-IF(AND('Bonding Program'!$R$23&lt;&gt;"",U$3='Bonding Program'!$R$23),'Bonding Program'!$Q$23,0),0)</f>
        <v>0</v>
      </c>
      <c r="V164" s="19" t="n">
        <f aca="false">IF(AND('Bonding Program'!$S$23=1,V$3='Bonding Program'!$H$23),'Bonding Program'!$AA$23,0)-IF(V$3&lt;='Bonding Program'!$C$8,IF(AND('Bonding Program'!$K$23&lt;&gt;"",V$3='Bonding Program'!$K$23),'Bonding Program'!$J$23,0)-IF(AND('Bonding Program'!$M$23&lt;&gt;"",V$3='Bonding Program'!$M$23),'Bonding Program'!$L$23,0)-IF(AND('Bonding Program'!$P$23&lt;&gt;"",V$3='Bonding Program'!$P$23),'Bonding Program'!$O$23,0)-IF(AND('Bonding Program'!$R$23&lt;&gt;"",V$3='Bonding Program'!$R$23),'Bonding Program'!$Q$23,0),0)</f>
        <v>0</v>
      </c>
      <c r="W164" s="19" t="n">
        <f aca="false">IF(AND('Bonding Program'!$S$23=1,W$3='Bonding Program'!$H$23),'Bonding Program'!$AA$23,0)-IF(W$3&lt;='Bonding Program'!$C$8,IF(AND('Bonding Program'!$K$23&lt;&gt;"",W$3='Bonding Program'!$K$23),'Bonding Program'!$J$23,0)-IF(AND('Bonding Program'!$M$23&lt;&gt;"",W$3='Bonding Program'!$M$23),'Bonding Program'!$L$23,0)-IF(AND('Bonding Program'!$P$23&lt;&gt;"",W$3='Bonding Program'!$P$23),'Bonding Program'!$O$23,0)-IF(AND('Bonding Program'!$R$23&lt;&gt;"",W$3='Bonding Program'!$R$23),'Bonding Program'!$Q$23,0),0)</f>
        <v>0</v>
      </c>
      <c r="X164" s="19" t="n">
        <f aca="false">IF(AND('Bonding Program'!$S$23=1,X$3='Bonding Program'!$H$23),'Bonding Program'!$AA$23,0)-IF(X$3&lt;='Bonding Program'!$C$8,IF(AND('Bonding Program'!$K$23&lt;&gt;"",X$3='Bonding Program'!$K$23),'Bonding Program'!$J$23,0)-IF(AND('Bonding Program'!$M$23&lt;&gt;"",X$3='Bonding Program'!$M$23),'Bonding Program'!$L$23,0)-IF(AND('Bonding Program'!$P$23&lt;&gt;"",X$3='Bonding Program'!$P$23),'Bonding Program'!$O$23,0)-IF(AND('Bonding Program'!$R$23&lt;&gt;"",X$3='Bonding Program'!$R$23),'Bonding Program'!$Q$23,0),0)</f>
        <v>0</v>
      </c>
      <c r="Y164" s="19" t="n">
        <f aca="false">IF(AND('Bonding Program'!$S$23=1,Y$3='Bonding Program'!$H$23),'Bonding Program'!$AA$23,0)-IF(Y$3&lt;='Bonding Program'!$C$8,IF(AND('Bonding Program'!$K$23&lt;&gt;"",Y$3='Bonding Program'!$K$23),'Bonding Program'!$J$23,0)-IF(AND('Bonding Program'!$M$23&lt;&gt;"",Y$3='Bonding Program'!$M$23),'Bonding Program'!$L$23,0)-IF(AND('Bonding Program'!$P$23&lt;&gt;"",Y$3='Bonding Program'!$P$23),'Bonding Program'!$O$23,0)-IF(AND('Bonding Program'!$R$23&lt;&gt;"",Y$3='Bonding Program'!$R$23),'Bonding Program'!$Q$23,0),0)</f>
        <v>0</v>
      </c>
      <c r="Z164" s="19" t="n">
        <f aca="false">IF(AND('Bonding Program'!$S$23=1,Z$3='Bonding Program'!$H$23),'Bonding Program'!$AA$23,0)-IF(Z$3&lt;='Bonding Program'!$C$8,IF(AND('Bonding Program'!$K$23&lt;&gt;"",Z$3='Bonding Program'!$K$23),'Bonding Program'!$J$23,0)-IF(AND('Bonding Program'!$M$23&lt;&gt;"",Z$3='Bonding Program'!$M$23),'Bonding Program'!$L$23,0)-IF(AND('Bonding Program'!$P$23&lt;&gt;"",Z$3='Bonding Program'!$P$23),'Bonding Program'!$O$23,0)-IF(AND('Bonding Program'!$R$23&lt;&gt;"",Z$3='Bonding Program'!$R$23),'Bonding Program'!$Q$23,0),0)</f>
        <v>0</v>
      </c>
      <c r="AA164" s="19" t="n">
        <f aca="false">IF(AND('Bonding Program'!$S$23=1,AA$3='Bonding Program'!$H$23),'Bonding Program'!$AA$23,0)-IF(AA$3&lt;='Bonding Program'!$C$8,IF(AND('Bonding Program'!$K$23&lt;&gt;"",AA$3='Bonding Program'!$K$23),'Bonding Program'!$J$23,0)-IF(AND('Bonding Program'!$M$23&lt;&gt;"",AA$3='Bonding Program'!$M$23),'Bonding Program'!$L$23,0)-IF(AND('Bonding Program'!$P$23&lt;&gt;"",AA$3='Bonding Program'!$P$23),'Bonding Program'!$O$23,0)-IF(AND('Bonding Program'!$R$23&lt;&gt;"",AA$3='Bonding Program'!$R$23),'Bonding Program'!$Q$23,0),0)</f>
        <v>0</v>
      </c>
      <c r="AB164" s="19" t="n">
        <f aca="false">IF(AND('Bonding Program'!$S$23=1,AB$3='Bonding Program'!$H$23),'Bonding Program'!$AA$23,0)-IF(AB$3&lt;='Bonding Program'!$C$8,IF(AND('Bonding Program'!$K$23&lt;&gt;"",AB$3='Bonding Program'!$K$23),'Bonding Program'!$J$23,0)-IF(AND('Bonding Program'!$M$23&lt;&gt;"",AB$3='Bonding Program'!$M$23),'Bonding Program'!$L$23,0)-IF(AND('Bonding Program'!$P$23&lt;&gt;"",AB$3='Bonding Program'!$P$23),'Bonding Program'!$O$23,0)-IF(AND('Bonding Program'!$R$23&lt;&gt;"",AB$3='Bonding Program'!$R$23),'Bonding Program'!$Q$23,0),0)</f>
        <v>0</v>
      </c>
      <c r="AC164" s="19" t="n">
        <f aca="false">IF(AND('Bonding Program'!$S$23=1,AC$3='Bonding Program'!$H$23),'Bonding Program'!$AA$23,0)-IF(AC$3&lt;='Bonding Program'!$C$8,IF(AND('Bonding Program'!$K$23&lt;&gt;"",AC$3='Bonding Program'!$K$23),'Bonding Program'!$J$23,0)-IF(AND('Bonding Program'!$M$23&lt;&gt;"",AC$3='Bonding Program'!$M$23),'Bonding Program'!$L$23,0)-IF(AND('Bonding Program'!$P$23&lt;&gt;"",AC$3='Bonding Program'!$P$23),'Bonding Program'!$O$23,0)-IF(AND('Bonding Program'!$R$23&lt;&gt;"",AC$3='Bonding Program'!$R$23),'Bonding Program'!$Q$23,0),0)</f>
        <v>0</v>
      </c>
      <c r="AD164" s="19" t="n">
        <f aca="false">IF(AND('Bonding Program'!$S$23=1,AD$3='Bonding Program'!$H$23),'Bonding Program'!$AA$23,0)-IF(AD$3&lt;='Bonding Program'!$C$8,IF(AND('Bonding Program'!$K$23&lt;&gt;"",AD$3='Bonding Program'!$K$23),'Bonding Program'!$J$23,0)-IF(AND('Bonding Program'!$M$23&lt;&gt;"",AD$3='Bonding Program'!$M$23),'Bonding Program'!$L$23,0)-IF(AND('Bonding Program'!$P$23&lt;&gt;"",AD$3='Bonding Program'!$P$23),'Bonding Program'!$O$23,0)-IF(AND('Bonding Program'!$R$23&lt;&gt;"",AD$3='Bonding Program'!$R$23),'Bonding Program'!$Q$23,0),0)</f>
        <v>0</v>
      </c>
      <c r="AE164" s="19" t="n">
        <f aca="false">IF(AND('Bonding Program'!$S$23=1,AE$3='Bonding Program'!$H$23),'Bonding Program'!$AA$23,0)-IF(AE$3&lt;='Bonding Program'!$C$8,IF(AND('Bonding Program'!$K$23&lt;&gt;"",AE$3='Bonding Program'!$K$23),'Bonding Program'!$J$23,0)-IF(AND('Bonding Program'!$M$23&lt;&gt;"",AE$3='Bonding Program'!$M$23),'Bonding Program'!$L$23,0)-IF(AND('Bonding Program'!$P$23&lt;&gt;"",AE$3='Bonding Program'!$P$23),'Bonding Program'!$O$23,0)-IF(AND('Bonding Program'!$R$23&lt;&gt;"",AE$3='Bonding Program'!$R$23),'Bonding Program'!$Q$23,0),0)</f>
        <v>-732873.342955665</v>
      </c>
      <c r="AF164" s="19" t="n">
        <f aca="false">IF(AND('Bonding Program'!$S$23=1,AF$3='Bonding Program'!$H$23),'Bonding Program'!$AA$23,0)-IF(AF$3&lt;='Bonding Program'!$C$8,IF(AND('Bonding Program'!$K$23&lt;&gt;"",AF$3='Bonding Program'!$K$23),'Bonding Program'!$J$23,0)-IF(AND('Bonding Program'!$M$23&lt;&gt;"",AF$3='Bonding Program'!$M$23),'Bonding Program'!$L$23,0)-IF(AND('Bonding Program'!$P$23&lt;&gt;"",AF$3='Bonding Program'!$P$23),'Bonding Program'!$O$23,0)-IF(AND('Bonding Program'!$R$23&lt;&gt;"",AF$3='Bonding Program'!$R$23),'Bonding Program'!$Q$23,0),0)</f>
        <v>0</v>
      </c>
      <c r="AG164" s="19" t="n">
        <f aca="false">IF(AND('Bonding Program'!$S$23=1,AG$3='Bonding Program'!$H$23),'Bonding Program'!$AA$23,0)-IF(AG$3&lt;='Bonding Program'!$C$8,IF(AND('Bonding Program'!$K$23&lt;&gt;"",AG$3='Bonding Program'!$K$23),'Bonding Program'!$J$23,0)-IF(AND('Bonding Program'!$M$23&lt;&gt;"",AG$3='Bonding Program'!$M$23),'Bonding Program'!$L$23,0)-IF(AND('Bonding Program'!$P$23&lt;&gt;"",AG$3='Bonding Program'!$P$23),'Bonding Program'!$O$23,0)-IF(AND('Bonding Program'!$R$23&lt;&gt;"",AG$3='Bonding Program'!$R$23),'Bonding Program'!$Q$23,0),0)</f>
        <v>0</v>
      </c>
      <c r="AH164" s="19" t="n">
        <f aca="false">IF(AND('Bonding Program'!$S$23=1,AH$3='Bonding Program'!$H$23),'Bonding Program'!$AA$23,0)-IF(AH$3&lt;='Bonding Program'!$C$8,IF(AND('Bonding Program'!$K$23&lt;&gt;"",AH$3='Bonding Program'!$K$23),'Bonding Program'!$J$23,0)-IF(AND('Bonding Program'!$M$23&lt;&gt;"",AH$3='Bonding Program'!$M$23),'Bonding Program'!$L$23,0)-IF(AND('Bonding Program'!$P$23&lt;&gt;"",AH$3='Bonding Program'!$P$23),'Bonding Program'!$O$23,0)-IF(AND('Bonding Program'!$R$23&lt;&gt;"",AH$3='Bonding Program'!$R$23),'Bonding Program'!$Q$23,0),0)</f>
        <v>0</v>
      </c>
      <c r="AI164" s="19" t="n">
        <f aca="false">IF(AND('Bonding Program'!$S$23=1,AI$3='Bonding Program'!$H$23),'Bonding Program'!$AA$23,0)-IF(AI$3&lt;='Bonding Program'!$C$8,IF(AND('Bonding Program'!$K$23&lt;&gt;"",AI$3='Bonding Program'!$K$23),'Bonding Program'!$J$23,0)-IF(AND('Bonding Program'!$M$23&lt;&gt;"",AI$3='Bonding Program'!$M$23),'Bonding Program'!$L$23,0)-IF(AND('Bonding Program'!$P$23&lt;&gt;"",AI$3='Bonding Program'!$P$23),'Bonding Program'!$O$23,0)-IF(AND('Bonding Program'!$R$23&lt;&gt;"",AI$3='Bonding Program'!$R$23),'Bonding Program'!$Q$23,0),0)</f>
        <v>0</v>
      </c>
      <c r="AJ164" s="19" t="n">
        <f aca="false">IF(AND('Bonding Program'!$S$23=1,AJ$3='Bonding Program'!$H$23),'Bonding Program'!$AA$23,0)-IF(AJ$3&lt;='Bonding Program'!$C$8,IF(AND('Bonding Program'!$K$23&lt;&gt;"",AJ$3='Bonding Program'!$K$23),'Bonding Program'!$J$23,0)-IF(AND('Bonding Program'!$M$23&lt;&gt;"",AJ$3='Bonding Program'!$M$23),'Bonding Program'!$L$23,0)-IF(AND('Bonding Program'!$P$23&lt;&gt;"",AJ$3='Bonding Program'!$P$23),'Bonding Program'!$O$23,0)-IF(AND('Bonding Program'!$R$23&lt;&gt;"",AJ$3='Bonding Program'!$R$23),'Bonding Program'!$Q$23,0),0)</f>
        <v>0</v>
      </c>
      <c r="AK164" s="19" t="n">
        <f aca="false">IF(AND('Bonding Program'!$S$23=1,AK$3='Bonding Program'!$H$23),'Bonding Program'!$AA$23,0)-IF(AK$3&lt;='Bonding Program'!$C$8,IF(AND('Bonding Program'!$K$23&lt;&gt;"",AK$3='Bonding Program'!$K$23),'Bonding Program'!$J$23,0)-IF(AND('Bonding Program'!$M$23&lt;&gt;"",AK$3='Bonding Program'!$M$23),'Bonding Program'!$L$23,0)-IF(AND('Bonding Program'!$P$23&lt;&gt;"",AK$3='Bonding Program'!$P$23),'Bonding Program'!$O$23,0)-IF(AND('Bonding Program'!$R$23&lt;&gt;"",AK$3='Bonding Program'!$R$23),'Bonding Program'!$Q$23,0),0)</f>
        <v>0</v>
      </c>
      <c r="AL164" s="19" t="n">
        <f aca="false">IF(AND('Bonding Program'!$S$23=1,AL$3='Bonding Program'!$H$23),'Bonding Program'!$AA$23,0)-IF(AL$3&lt;='Bonding Program'!$C$8,IF(AND('Bonding Program'!$K$23&lt;&gt;"",AL$3='Bonding Program'!$K$23),'Bonding Program'!$J$23,0)-IF(AND('Bonding Program'!$M$23&lt;&gt;"",AL$3='Bonding Program'!$M$23),'Bonding Program'!$L$23,0)-IF(AND('Bonding Program'!$P$23&lt;&gt;"",AL$3='Bonding Program'!$P$23),'Bonding Program'!$O$23,0)-IF(AND('Bonding Program'!$R$23&lt;&gt;"",AL$3='Bonding Program'!$R$23),'Bonding Program'!$Q$23,0),0)</f>
        <v>0</v>
      </c>
      <c r="AM164" s="19" t="n">
        <f aca="false">IF(AND('Bonding Program'!$S$23=1,AM$3='Bonding Program'!$H$23),'Bonding Program'!$AA$23,0)-IF(AM$3&lt;='Bonding Program'!$C$8,IF(AND('Bonding Program'!$K$23&lt;&gt;"",AM$3='Bonding Program'!$K$23),'Bonding Program'!$J$23,0)-IF(AND('Bonding Program'!$M$23&lt;&gt;"",AM$3='Bonding Program'!$M$23),'Bonding Program'!$L$23,0)-IF(AND('Bonding Program'!$P$23&lt;&gt;"",AM$3='Bonding Program'!$P$23),'Bonding Program'!$O$23,0)-IF(AND('Bonding Program'!$R$23&lt;&gt;"",AM$3='Bonding Program'!$R$23),'Bonding Program'!$Q$23,0),0)</f>
        <v>0</v>
      </c>
      <c r="AN164" s="19" t="n">
        <f aca="false">IF(AND('Bonding Program'!$S$23=1,AN$3='Bonding Program'!$H$23),'Bonding Program'!$AA$23,0)-IF(AN$3&lt;='Bonding Program'!$C$8,IF(AND('Bonding Program'!$K$23&lt;&gt;"",AN$3='Bonding Program'!$K$23),'Bonding Program'!$J$23,0)-IF(AND('Bonding Program'!$M$23&lt;&gt;"",AN$3='Bonding Program'!$M$23),'Bonding Program'!$L$23,0)-IF(AND('Bonding Program'!$P$23&lt;&gt;"",AN$3='Bonding Program'!$P$23),'Bonding Program'!$O$23,0)-IF(AND('Bonding Program'!$R$23&lt;&gt;"",AN$3='Bonding Program'!$R$23),'Bonding Program'!$Q$23,0),0)</f>
        <v>0</v>
      </c>
      <c r="AO164" s="19" t="n">
        <f aca="false">IF(AND('Bonding Program'!$S$23=1,AO$3='Bonding Program'!$H$23),'Bonding Program'!$AA$23,0)-IF(AO$3&lt;='Bonding Program'!$C$8,IF(AND('Bonding Program'!$K$23&lt;&gt;"",AO$3='Bonding Program'!$K$23),'Bonding Program'!$J$23,0)-IF(AND('Bonding Program'!$M$23&lt;&gt;"",AO$3='Bonding Program'!$M$23),'Bonding Program'!$L$23,0)-IF(AND('Bonding Program'!$P$23&lt;&gt;"",AO$3='Bonding Program'!$P$23),'Bonding Program'!$O$23,0)-IF(AND('Bonding Program'!$R$23&lt;&gt;"",AO$3='Bonding Program'!$R$23),'Bonding Program'!$Q$23,0),0)</f>
        <v>0</v>
      </c>
      <c r="AP164" s="19" t="n">
        <f aca="false">IF(AND('Bonding Program'!$S$23=1,AP$3='Bonding Program'!$H$23),'Bonding Program'!$AA$23,0)-IF(AP$3&lt;='Bonding Program'!$C$8,IF(AND('Bonding Program'!$K$23&lt;&gt;"",AP$3='Bonding Program'!$K$23),'Bonding Program'!$J$23,0)-IF(AND('Bonding Program'!$M$23&lt;&gt;"",AP$3='Bonding Program'!$M$23),'Bonding Program'!$L$23,0)-IF(AND('Bonding Program'!$P$23&lt;&gt;"",AP$3='Bonding Program'!$P$23),'Bonding Program'!$O$23,0)-IF(AND('Bonding Program'!$R$23&lt;&gt;"",AP$3='Bonding Program'!$R$23),'Bonding Program'!$Q$23,0),0)</f>
        <v>0</v>
      </c>
      <c r="AQ164" s="19" t="n">
        <f aca="false">IF(AND('Bonding Program'!$S$23=1,AQ$3='Bonding Program'!$H$23),'Bonding Program'!$AA$23,0)-IF(AQ$3&lt;='Bonding Program'!$C$8,IF(AND('Bonding Program'!$K$23&lt;&gt;"",AQ$3='Bonding Program'!$K$23),'Bonding Program'!$J$23,0)-IF(AND('Bonding Program'!$M$23&lt;&gt;"",AQ$3='Bonding Program'!$M$23),'Bonding Program'!$L$23,0)-IF(AND('Bonding Program'!$P$23&lt;&gt;"",AQ$3='Bonding Program'!$P$23),'Bonding Program'!$O$23,0)-IF(AND('Bonding Program'!$R$23&lt;&gt;"",AQ$3='Bonding Program'!$R$23),'Bonding Program'!$Q$23,0),0)</f>
        <v>0</v>
      </c>
      <c r="AR164" s="19" t="n">
        <f aca="false">IF(AND('Bonding Program'!$S$23=1,AR$3='Bonding Program'!$H$23),'Bonding Program'!$AA$23,0)-IF(AR$3&lt;='Bonding Program'!$C$8,IF(AND('Bonding Program'!$K$23&lt;&gt;"",AR$3='Bonding Program'!$K$23),'Bonding Program'!$J$23,0)-IF(AND('Bonding Program'!$M$23&lt;&gt;"",AR$3='Bonding Program'!$M$23),'Bonding Program'!$L$23,0)-IF(AND('Bonding Program'!$P$23&lt;&gt;"",AR$3='Bonding Program'!$P$23),'Bonding Program'!$O$23,0)-IF(AND('Bonding Program'!$R$23&lt;&gt;"",AR$3='Bonding Program'!$R$23),'Bonding Program'!$Q$23,0),0)</f>
        <v>0</v>
      </c>
      <c r="AS164" s="19" t="n">
        <f aca="false">IF(AND('Bonding Program'!$S$23=1,AS$3='Bonding Program'!$H$23),'Bonding Program'!$AA$23,0)-IF(AS$3&lt;='Bonding Program'!$C$8,IF(AND('Bonding Program'!$K$23&lt;&gt;"",AS$3='Bonding Program'!$K$23),'Bonding Program'!$J$23,0)-IF(AND('Bonding Program'!$M$23&lt;&gt;"",AS$3='Bonding Program'!$M$23),'Bonding Program'!$L$23,0)-IF(AND('Bonding Program'!$P$23&lt;&gt;"",AS$3='Bonding Program'!$P$23),'Bonding Program'!$O$23,0)-IF(AND('Bonding Program'!$R$23&lt;&gt;"",AS$3='Bonding Program'!$R$23),'Bonding Program'!$Q$23,0),0)</f>
        <v>0</v>
      </c>
      <c r="AT164" s="19" t="n">
        <f aca="false">IF(AND('Bonding Program'!$S$23=1,AT$3='Bonding Program'!$H$23),'Bonding Program'!$AA$23,0)-IF(AT$3&lt;='Bonding Program'!$C$8,IF(AND('Bonding Program'!$K$23&lt;&gt;"",AT$3='Bonding Program'!$K$23),'Bonding Program'!$J$23,0)-IF(AND('Bonding Program'!$M$23&lt;&gt;"",AT$3='Bonding Program'!$M$23),'Bonding Program'!$L$23,0)-IF(AND('Bonding Program'!$P$23&lt;&gt;"",AT$3='Bonding Program'!$P$23),'Bonding Program'!$O$23,0)-IF(AND('Bonding Program'!$R$23&lt;&gt;"",AT$3='Bonding Program'!$R$23),'Bonding Program'!$Q$23,0),0)</f>
        <v>0</v>
      </c>
      <c r="AU164" s="19" t="n">
        <f aca="false">IF(AND('Bonding Program'!$S$23=1,AU$3='Bonding Program'!$H$23),'Bonding Program'!$AA$23,0)-IF(AU$3&lt;='Bonding Program'!$C$8,IF(AND('Bonding Program'!$K$23&lt;&gt;"",AU$3='Bonding Program'!$K$23),'Bonding Program'!$J$23,0)-IF(AND('Bonding Program'!$M$23&lt;&gt;"",AU$3='Bonding Program'!$M$23),'Bonding Program'!$L$23,0)-IF(AND('Bonding Program'!$P$23&lt;&gt;"",AU$3='Bonding Program'!$P$23),'Bonding Program'!$O$23,0)-IF(AND('Bonding Program'!$R$23&lt;&gt;"",AU$3='Bonding Program'!$R$23),'Bonding Program'!$Q$23,0),0)</f>
        <v>0</v>
      </c>
      <c r="AV164" s="19" t="n">
        <f aca="false">IF(AND('Bonding Program'!$S$23=1,AV$3='Bonding Program'!$H$23),'Bonding Program'!$AA$23,0)-IF(AV$3&lt;='Bonding Program'!$C$8,IF(AND('Bonding Program'!$K$23&lt;&gt;"",AV$3='Bonding Program'!$K$23),'Bonding Program'!$J$23,0)-IF(AND('Bonding Program'!$M$23&lt;&gt;"",AV$3='Bonding Program'!$M$23),'Bonding Program'!$L$23,0)-IF(AND('Bonding Program'!$P$23&lt;&gt;"",AV$3='Bonding Program'!$P$23),'Bonding Program'!$O$23,0)-IF(AND('Bonding Program'!$R$23&lt;&gt;"",AV$3='Bonding Program'!$R$23),'Bonding Program'!$Q$23,0),0)</f>
        <v>0</v>
      </c>
      <c r="AW164" s="19" t="n">
        <f aca="false">IF(AND('Bonding Program'!$S$23=1,AW$3='Bonding Program'!$H$23),'Bonding Program'!$AA$23,0)-IF(AW$3&lt;='Bonding Program'!$C$8,IF(AND('Bonding Program'!$K$23&lt;&gt;"",AW$3='Bonding Program'!$K$23),'Bonding Program'!$J$23,0)-IF(AND('Bonding Program'!$M$23&lt;&gt;"",AW$3='Bonding Program'!$M$23),'Bonding Program'!$L$23,0)-IF(AND('Bonding Program'!$P$23&lt;&gt;"",AW$3='Bonding Program'!$P$23),'Bonding Program'!$O$23,0)-IF(AND('Bonding Program'!$R$23&lt;&gt;"",AW$3='Bonding Program'!$R$23),'Bonding Program'!$Q$23,0),0)</f>
        <v>0</v>
      </c>
      <c r="AX164" s="19" t="n">
        <f aca="false">IF(AND('Bonding Program'!$S$23=1,AX$3='Bonding Program'!$H$23),'Bonding Program'!$AA$23,0)-IF(AX$3&lt;='Bonding Program'!$C$8,IF(AND('Bonding Program'!$K$23&lt;&gt;"",AX$3='Bonding Program'!$K$23),'Bonding Program'!$J$23,0)-IF(AND('Bonding Program'!$M$23&lt;&gt;"",AX$3='Bonding Program'!$M$23),'Bonding Program'!$L$23,0)-IF(AND('Bonding Program'!$P$23&lt;&gt;"",AX$3='Bonding Program'!$P$23),'Bonding Program'!$O$23,0)-IF(AND('Bonding Program'!$R$23&lt;&gt;"",AX$3='Bonding Program'!$R$23),'Bonding Program'!$Q$23,0),0)</f>
        <v>0</v>
      </c>
      <c r="AY164" s="19" t="n">
        <f aca="false">IF(AND('Bonding Program'!$S$23=1,AY$3='Bonding Program'!$H$23),'Bonding Program'!$AA$23,0)-IF(AY$3&lt;='Bonding Program'!$C$8,IF(AND('Bonding Program'!$K$23&lt;&gt;"",AY$3='Bonding Program'!$K$23),'Bonding Program'!$J$23,0)-IF(AND('Bonding Program'!$M$23&lt;&gt;"",AY$3='Bonding Program'!$M$23),'Bonding Program'!$L$23,0)-IF(AND('Bonding Program'!$P$23&lt;&gt;"",AY$3='Bonding Program'!$P$23),'Bonding Program'!$O$23,0)-IF(AND('Bonding Program'!$R$23&lt;&gt;"",AY$3='Bonding Program'!$R$23),'Bonding Program'!$Q$23,0),0)</f>
        <v>0</v>
      </c>
      <c r="AZ164" s="19" t="n">
        <f aca="false">IF(AND('Bonding Program'!$S$23=1,AZ$3='Bonding Program'!$H$23),'Bonding Program'!$AA$23,0)-IF(AZ$3&lt;='Bonding Program'!$C$8,IF(AND('Bonding Program'!$K$23&lt;&gt;"",AZ$3='Bonding Program'!$K$23),'Bonding Program'!$J$23,0)-IF(AND('Bonding Program'!$M$23&lt;&gt;"",AZ$3='Bonding Program'!$M$23),'Bonding Program'!$L$23,0)-IF(AND('Bonding Program'!$P$23&lt;&gt;"",AZ$3='Bonding Program'!$P$23),'Bonding Program'!$O$23,0)-IF(AND('Bonding Program'!$R$23&lt;&gt;"",AZ$3='Bonding Program'!$R$23),'Bonding Program'!$Q$23,0),0)</f>
        <v>0</v>
      </c>
      <c r="BA164" s="19" t="n">
        <f aca="false">IF(AND('Bonding Program'!$S$23=1,BA$3='Bonding Program'!$H$23),'Bonding Program'!$AA$23,0)-IF(BA$3&lt;='Bonding Program'!$C$8,IF(AND('Bonding Program'!$K$23&lt;&gt;"",BA$3='Bonding Program'!$K$23),'Bonding Program'!$J$23,0)-IF(AND('Bonding Program'!$M$23&lt;&gt;"",BA$3='Bonding Program'!$M$23),'Bonding Program'!$L$23,0)-IF(AND('Bonding Program'!$P$23&lt;&gt;"",BA$3='Bonding Program'!$P$23),'Bonding Program'!$O$23,0)-IF(AND('Bonding Program'!$R$23&lt;&gt;"",BA$3='Bonding Program'!$R$23),'Bonding Program'!$Q$23,0),0)</f>
        <v>0</v>
      </c>
      <c r="BB164" s="19" t="n">
        <f aca="false">IF(AND('Bonding Program'!$S$23=1,BB$3='Bonding Program'!$H$23),'Bonding Program'!$AA$23,0)-IF(BB$3&lt;='Bonding Program'!$C$8,IF(AND('Bonding Program'!$K$23&lt;&gt;"",BB$3='Bonding Program'!$K$23),'Bonding Program'!$J$23,0)-IF(AND('Bonding Program'!$M$23&lt;&gt;"",BB$3='Bonding Program'!$M$23),'Bonding Program'!$L$23,0)-IF(AND('Bonding Program'!$P$23&lt;&gt;"",BB$3='Bonding Program'!$P$23),'Bonding Program'!$O$23,0)-IF(AND('Bonding Program'!$R$23&lt;&gt;"",BB$3='Bonding Program'!$R$23),'Bonding Program'!$Q$23,0),0)</f>
        <v>0</v>
      </c>
      <c r="BC164" s="19" t="n">
        <f aca="false">IF(AND('Bonding Program'!$S$23=1,BC$3='Bonding Program'!$H$23),'Bonding Program'!$AA$23,0)-IF(BC$3&lt;='Bonding Program'!$C$8,IF(AND('Bonding Program'!$K$23&lt;&gt;"",BC$3='Bonding Program'!$K$23),'Bonding Program'!$J$23,0)-IF(AND('Bonding Program'!$M$23&lt;&gt;"",BC$3='Bonding Program'!$M$23),'Bonding Program'!$L$23,0)-IF(AND('Bonding Program'!$P$23&lt;&gt;"",BC$3='Bonding Program'!$P$23),'Bonding Program'!$O$23,0)-IF(AND('Bonding Program'!$R$23&lt;&gt;"",BC$3='Bonding Program'!$R$23),'Bonding Program'!$Q$23,0),0)</f>
        <v>0</v>
      </c>
      <c r="BD164" s="19" t="n">
        <f aca="false">IF(AND('Bonding Program'!$S$23=1,BD$3='Bonding Program'!$H$23),'Bonding Program'!$AA$23,0)-IF(BD$3&lt;='Bonding Program'!$C$8,IF(AND('Bonding Program'!$K$23&lt;&gt;"",BD$3='Bonding Program'!$K$23),'Bonding Program'!$J$23,0)-IF(AND('Bonding Program'!$M$23&lt;&gt;"",BD$3='Bonding Program'!$M$23),'Bonding Program'!$L$23,0)-IF(AND('Bonding Program'!$P$23&lt;&gt;"",BD$3='Bonding Program'!$P$23),'Bonding Program'!$O$23,0)-IF(AND('Bonding Program'!$R$23&lt;&gt;"",BD$3='Bonding Program'!$R$23),'Bonding Program'!$Q$23,0),0)</f>
        <v>0</v>
      </c>
      <c r="BE164" s="19" t="n">
        <f aca="false">IF(AND('Bonding Program'!$S$23=1,BE$3='Bonding Program'!$H$23),'Bonding Program'!$AA$23,0)-IF(BE$3&lt;='Bonding Program'!$C$8,IF(AND('Bonding Program'!$K$23&lt;&gt;"",BE$3='Bonding Program'!$K$23),'Bonding Program'!$J$23,0)-IF(AND('Bonding Program'!$M$23&lt;&gt;"",BE$3='Bonding Program'!$M$23),'Bonding Program'!$L$23,0)-IF(AND('Bonding Program'!$P$23&lt;&gt;"",BE$3='Bonding Program'!$P$23),'Bonding Program'!$O$23,0)-IF(AND('Bonding Program'!$R$23&lt;&gt;"",BE$3='Bonding Program'!$R$23),'Bonding Program'!$Q$23,0),0)</f>
        <v>0</v>
      </c>
      <c r="BF164" s="19" t="n">
        <f aca="false">IF(AND('Bonding Program'!$S$23=1,BF$3='Bonding Program'!$H$23),'Bonding Program'!$AA$23,0)-IF(BF$3&lt;='Bonding Program'!$C$8,IF(AND('Bonding Program'!$K$23&lt;&gt;"",BF$3='Bonding Program'!$K$23),'Bonding Program'!$J$23,0)-IF(AND('Bonding Program'!$M$23&lt;&gt;"",BF$3='Bonding Program'!$M$23),'Bonding Program'!$L$23,0)-IF(AND('Bonding Program'!$P$23&lt;&gt;"",BF$3='Bonding Program'!$P$23),'Bonding Program'!$O$23,0)-IF(AND('Bonding Program'!$R$23&lt;&gt;"",BF$3='Bonding Program'!$R$23),'Bonding Program'!$Q$23,0),0)</f>
        <v>0</v>
      </c>
      <c r="BG164" s="19" t="n">
        <f aca="false">IF(AND('Bonding Program'!$S$23=1,BG$3='Bonding Program'!$H$23),'Bonding Program'!$AA$23,0)-IF(BG$3&lt;='Bonding Program'!$C$8,IF(AND('Bonding Program'!$K$23&lt;&gt;"",BG$3='Bonding Program'!$K$23),'Bonding Program'!$J$23,0)-IF(AND('Bonding Program'!$M$23&lt;&gt;"",BG$3='Bonding Program'!$M$23),'Bonding Program'!$L$23,0)-IF(AND('Bonding Program'!$P$23&lt;&gt;"",BG$3='Bonding Program'!$P$23),'Bonding Program'!$O$23,0)-IF(AND('Bonding Program'!$R$23&lt;&gt;"",BG$3='Bonding Program'!$R$23),'Bonding Program'!$Q$23,0),0)</f>
        <v>0</v>
      </c>
      <c r="BH164" s="19" t="n">
        <f aca="false">IF(AND('Bonding Program'!$S$23=1,BH$3='Bonding Program'!$H$23),'Bonding Program'!$AA$23,0)-IF(BH$3&lt;='Bonding Program'!$C$8,IF(AND('Bonding Program'!$K$23&lt;&gt;"",BH$3='Bonding Program'!$K$23),'Bonding Program'!$J$23,0)-IF(AND('Bonding Program'!$M$23&lt;&gt;"",BH$3='Bonding Program'!$M$23),'Bonding Program'!$L$23,0)-IF(AND('Bonding Program'!$P$23&lt;&gt;"",BH$3='Bonding Program'!$P$23),'Bonding Program'!$O$23,0)-IF(AND('Bonding Program'!$R$23&lt;&gt;"",BH$3='Bonding Program'!$R$23),'Bonding Program'!$Q$23,0),0)</f>
        <v>0</v>
      </c>
      <c r="BI164" s="19" t="n">
        <f aca="false">IF(AND('Bonding Program'!$S$23=1,BI$3='Bonding Program'!$H$23),'Bonding Program'!$AA$23,0)-IF(BI$3&lt;='Bonding Program'!$C$8,IF(AND('Bonding Program'!$K$23&lt;&gt;"",BI$3='Bonding Program'!$K$23),'Bonding Program'!$J$23,0)-IF(AND('Bonding Program'!$M$23&lt;&gt;"",BI$3='Bonding Program'!$M$23),'Bonding Program'!$L$23,0)-IF(AND('Bonding Program'!$P$23&lt;&gt;"",BI$3='Bonding Program'!$P$23),'Bonding Program'!$O$23,0)-IF(AND('Bonding Program'!$R$23&lt;&gt;"",BI$3='Bonding Program'!$R$23),'Bonding Program'!$Q$23,0),0)</f>
        <v>0</v>
      </c>
      <c r="BJ164" s="19" t="n">
        <f aca="false">IF(AND('Bonding Program'!$S$23=1,BJ$3='Bonding Program'!$H$23),'Bonding Program'!$AA$23,0)-IF(BJ$3&lt;='Bonding Program'!$C$8,IF(AND('Bonding Program'!$K$23&lt;&gt;"",BJ$3='Bonding Program'!$K$23),'Bonding Program'!$J$23,0)-IF(AND('Bonding Program'!$M$23&lt;&gt;"",BJ$3='Bonding Program'!$M$23),'Bonding Program'!$L$23,0)-IF(AND('Bonding Program'!$P$23&lt;&gt;"",BJ$3='Bonding Program'!$P$23),'Bonding Program'!$O$23,0)-IF(AND('Bonding Program'!$R$23&lt;&gt;"",BJ$3='Bonding Program'!$R$23),'Bonding Program'!$Q$23,0),0)</f>
        <v>0</v>
      </c>
      <c r="BK164" s="19" t="n">
        <f aca="false">IF(AND('Bonding Program'!$S$23=1,BK$3='Bonding Program'!$H$23),'Bonding Program'!$AA$23,0)-IF(BK$3&lt;='Bonding Program'!$C$8,IF(AND('Bonding Program'!$K$23&lt;&gt;"",BK$3='Bonding Program'!$K$23),'Bonding Program'!$J$23,0)-IF(AND('Bonding Program'!$M$23&lt;&gt;"",BK$3='Bonding Program'!$M$23),'Bonding Program'!$L$23,0)-IF(AND('Bonding Program'!$P$23&lt;&gt;"",BK$3='Bonding Program'!$P$23),'Bonding Program'!$O$23,0)-IF(AND('Bonding Program'!$R$23&lt;&gt;"",BK$3='Bonding Program'!$R$23),'Bonding Program'!$Q$23,0),0)</f>
        <v>0</v>
      </c>
      <c r="BL164" s="19" t="n">
        <f aca="false">IF(AND('Bonding Program'!$S$23=1,BL$3='Bonding Program'!$H$23),'Bonding Program'!$AA$23,0)-IF(BL$3&lt;='Bonding Program'!$C$8,IF(AND('Bonding Program'!$K$23&lt;&gt;"",BL$3='Bonding Program'!$K$23),'Bonding Program'!$J$23,0)-IF(AND('Bonding Program'!$M$23&lt;&gt;"",BL$3='Bonding Program'!$M$23),'Bonding Program'!$L$23,0)-IF(AND('Bonding Program'!$P$23&lt;&gt;"",BL$3='Bonding Program'!$P$23),'Bonding Program'!$O$23,0)-IF(AND('Bonding Program'!$R$23&lt;&gt;"",BL$3='Bonding Program'!$R$23),'Bonding Program'!$Q$23,0),0)</f>
        <v>0</v>
      </c>
      <c r="BM164" s="19" t="n">
        <f aca="false">IF(AND('Bonding Program'!$S$23=1,BM$3='Bonding Program'!$H$23),'Bonding Program'!$AA$23,0)-IF(BM$3&lt;='Bonding Program'!$C$8,IF(AND('Bonding Program'!$K$23&lt;&gt;"",BM$3='Bonding Program'!$K$23),'Bonding Program'!$J$23,0)-IF(AND('Bonding Program'!$M$23&lt;&gt;"",BM$3='Bonding Program'!$M$23),'Bonding Program'!$L$23,0)-IF(AND('Bonding Program'!$P$23&lt;&gt;"",BM$3='Bonding Program'!$P$23),'Bonding Program'!$O$23,0)-IF(AND('Bonding Program'!$R$23&lt;&gt;"",BM$3='Bonding Program'!$R$23),'Bonding Program'!$Q$23,0),0)</f>
        <v>0</v>
      </c>
      <c r="BN164" s="19" t="n">
        <f aca="false">IF(AND('Bonding Program'!$S$23=1,BN$3='Bonding Program'!$H$23),'Bonding Program'!$AA$23,0)-IF(BN$3&lt;='Bonding Program'!$C$8,IF(AND('Bonding Program'!$K$23&lt;&gt;"",BN$3='Bonding Program'!$K$23),'Bonding Program'!$J$23,0)-IF(AND('Bonding Program'!$M$23&lt;&gt;"",BN$3='Bonding Program'!$M$23),'Bonding Program'!$L$23,0)-IF(AND('Bonding Program'!$P$23&lt;&gt;"",BN$3='Bonding Program'!$P$23),'Bonding Program'!$O$23,0)-IF(AND('Bonding Program'!$R$23&lt;&gt;"",BN$3='Bonding Program'!$R$23),'Bonding Program'!$Q$23,0),0)</f>
        <v>0</v>
      </c>
      <c r="BO164" s="19" t="n">
        <f aca="false">IF(AND('Bonding Program'!$S$23=1,BO$3='Bonding Program'!$H$23),'Bonding Program'!$AA$23,0)-IF(BO$3&lt;='Bonding Program'!$C$8,IF(AND('Bonding Program'!$K$23&lt;&gt;"",BO$3='Bonding Program'!$K$23),'Bonding Program'!$J$23,0)-IF(AND('Bonding Program'!$M$23&lt;&gt;"",BO$3='Bonding Program'!$M$23),'Bonding Program'!$L$23,0)-IF(AND('Bonding Program'!$P$23&lt;&gt;"",BO$3='Bonding Program'!$P$23),'Bonding Program'!$O$23,0)-IF(AND('Bonding Program'!$R$23&lt;&gt;"",BO$3='Bonding Program'!$R$23),'Bonding Program'!$Q$23,0),0)</f>
        <v>0</v>
      </c>
      <c r="BP164" s="19" t="n">
        <f aca="false">IF(AND('Bonding Program'!$S$23=1,BP$3='Bonding Program'!$H$23),'Bonding Program'!$AA$23,0)-IF(BP$3&lt;='Bonding Program'!$C$8,IF(AND('Bonding Program'!$K$23&lt;&gt;"",BP$3='Bonding Program'!$K$23),'Bonding Program'!$J$23,0)-IF(AND('Bonding Program'!$M$23&lt;&gt;"",BP$3='Bonding Program'!$M$23),'Bonding Program'!$L$23,0)-IF(AND('Bonding Program'!$P$23&lt;&gt;"",BP$3='Bonding Program'!$P$23),'Bonding Program'!$O$23,0)-IF(AND('Bonding Program'!$R$23&lt;&gt;"",BP$3='Bonding Program'!$R$23),'Bonding Program'!$Q$23,0),0)</f>
        <v>0</v>
      </c>
      <c r="BQ164" s="19" t="n">
        <f aca="false">IF(AND('Bonding Program'!$S$23=1,BQ$3='Bonding Program'!$H$23),'Bonding Program'!$AA$23,0)-IF(BQ$3&lt;='Bonding Program'!$C$8,IF(AND('Bonding Program'!$K$23&lt;&gt;"",BQ$3='Bonding Program'!$K$23),'Bonding Program'!$J$23,0)-IF(AND('Bonding Program'!$M$23&lt;&gt;"",BQ$3='Bonding Program'!$M$23),'Bonding Program'!$L$23,0)-IF(AND('Bonding Program'!$P$23&lt;&gt;"",BQ$3='Bonding Program'!$P$23),'Bonding Program'!$O$23,0)-IF(AND('Bonding Program'!$R$23&lt;&gt;"",BQ$3='Bonding Program'!$R$23),'Bonding Program'!$Q$23,0),0)</f>
        <v>0</v>
      </c>
      <c r="BR164" s="19" t="n">
        <f aca="false">IF(AND('Bonding Program'!$S$23=1,BR$3='Bonding Program'!$H$23),'Bonding Program'!$AA$23,0)-IF(BR$3&lt;='Bonding Program'!$C$8,IF(AND('Bonding Program'!$K$23&lt;&gt;"",BR$3='Bonding Program'!$K$23),'Bonding Program'!$J$23,0)-IF(AND('Bonding Program'!$M$23&lt;&gt;"",BR$3='Bonding Program'!$M$23),'Bonding Program'!$L$23,0)-IF(AND('Bonding Program'!$P$23&lt;&gt;"",BR$3='Bonding Program'!$P$23),'Bonding Program'!$O$23,0)-IF(AND('Bonding Program'!$R$23&lt;&gt;"",BR$3='Bonding Program'!$R$23),'Bonding Program'!$Q$23,0),0)</f>
        <v>0</v>
      </c>
      <c r="BS164" s="19" t="n">
        <f aca="false">IF(AND('Bonding Program'!$S$23=1,BS$3='Bonding Program'!$H$23),'Bonding Program'!$AA$23,0)-IF(BS$3&lt;='Bonding Program'!$C$8,IF(AND('Bonding Program'!$K$23&lt;&gt;"",BS$3='Bonding Program'!$K$23),'Bonding Program'!$J$23,0)-IF(AND('Bonding Program'!$M$23&lt;&gt;"",BS$3='Bonding Program'!$M$23),'Bonding Program'!$L$23,0)-IF(AND('Bonding Program'!$P$23&lt;&gt;"",BS$3='Bonding Program'!$P$23),'Bonding Program'!$O$23,0)-IF(AND('Bonding Program'!$R$23&lt;&gt;"",BS$3='Bonding Program'!$R$23),'Bonding Program'!$Q$23,0),0)</f>
        <v>0</v>
      </c>
      <c r="BT164" s="19" t="n">
        <f aca="false">IF(AND('Bonding Program'!$S$23=1,BT$3='Bonding Program'!$H$23),'Bonding Program'!$AA$23,0)-IF(BT$3&lt;='Bonding Program'!$C$8,IF(AND('Bonding Program'!$K$23&lt;&gt;"",BT$3='Bonding Program'!$K$23),'Bonding Program'!$J$23,0)-IF(AND('Bonding Program'!$M$23&lt;&gt;"",BT$3='Bonding Program'!$M$23),'Bonding Program'!$L$23,0)-IF(AND('Bonding Program'!$P$23&lt;&gt;"",BT$3='Bonding Program'!$P$23),'Bonding Program'!$O$23,0)-IF(AND('Bonding Program'!$R$23&lt;&gt;"",BT$3='Bonding Program'!$R$23),'Bonding Program'!$Q$23,0),0)</f>
        <v>0</v>
      </c>
      <c r="BU164" s="19" t="n">
        <f aca="false">IF(AND('Bonding Program'!$S$23=1,BU$3='Bonding Program'!$H$23),'Bonding Program'!$AA$23,0)-IF(BU$3&lt;='Bonding Program'!$C$8,IF(AND('Bonding Program'!$K$23&lt;&gt;"",BU$3='Bonding Program'!$K$23),'Bonding Program'!$J$23,0)-IF(AND('Bonding Program'!$M$23&lt;&gt;"",BU$3='Bonding Program'!$M$23),'Bonding Program'!$L$23,0)-IF(AND('Bonding Program'!$P$23&lt;&gt;"",BU$3='Bonding Program'!$P$23),'Bonding Program'!$O$23,0)-IF(AND('Bonding Program'!$R$23&lt;&gt;"",BU$3='Bonding Program'!$R$23),'Bonding Program'!$Q$23,0),0)</f>
        <v>0</v>
      </c>
      <c r="BV164" s="19" t="n">
        <f aca="false">IF(AND('Bonding Program'!$S$23=1,BV$3='Bonding Program'!$H$23),'Bonding Program'!$AA$23,0)-IF(BV$3&lt;='Bonding Program'!$C$8,IF(AND('Bonding Program'!$K$23&lt;&gt;"",BV$3='Bonding Program'!$K$23),'Bonding Program'!$J$23,0)-IF(AND('Bonding Program'!$M$23&lt;&gt;"",BV$3='Bonding Program'!$M$23),'Bonding Program'!$L$23,0)-IF(AND('Bonding Program'!$P$23&lt;&gt;"",BV$3='Bonding Program'!$P$23),'Bonding Program'!$O$23,0)-IF(AND('Bonding Program'!$R$23&lt;&gt;"",BV$3='Bonding Program'!$R$23),'Bonding Program'!$Q$23,0),0)</f>
        <v>0</v>
      </c>
      <c r="BW164" s="19" t="n">
        <f aca="false">IF(AND('Bonding Program'!$S$23=1,BW$3='Bonding Program'!$H$23),'Bonding Program'!$AA$23,0)-IF(BW$3&lt;='Bonding Program'!$C$8,IF(AND('Bonding Program'!$K$23&lt;&gt;"",BW$3='Bonding Program'!$K$23),'Bonding Program'!$J$23,0)-IF(AND('Bonding Program'!$M$23&lt;&gt;"",BW$3='Bonding Program'!$M$23),'Bonding Program'!$L$23,0)-IF(AND('Bonding Program'!$P$23&lt;&gt;"",BW$3='Bonding Program'!$P$23),'Bonding Program'!$O$23,0)-IF(AND('Bonding Program'!$R$23&lt;&gt;"",BW$3='Bonding Program'!$R$23),'Bonding Program'!$Q$23,0),0)</f>
        <v>0</v>
      </c>
      <c r="BX164" s="19" t="n">
        <f aca="false">IF(AND('Bonding Program'!$S$23=1,BX$3='Bonding Program'!$H$23),'Bonding Program'!$AA$23,0)-IF(BX$3&lt;='Bonding Program'!$C$8,IF(AND('Bonding Program'!$K$23&lt;&gt;"",BX$3='Bonding Program'!$K$23),'Bonding Program'!$J$23,0)-IF(AND('Bonding Program'!$M$23&lt;&gt;"",BX$3='Bonding Program'!$M$23),'Bonding Program'!$L$23,0)-IF(AND('Bonding Program'!$P$23&lt;&gt;"",BX$3='Bonding Program'!$P$23),'Bonding Program'!$O$23,0)-IF(AND('Bonding Program'!$R$23&lt;&gt;"",BX$3='Bonding Program'!$R$23),'Bonding Program'!$Q$23,0),0)</f>
        <v>0</v>
      </c>
      <c r="BY164" s="19" t="n">
        <f aca="false">IF(AND('Bonding Program'!$S$23=1,BY$3='Bonding Program'!$H$23),'Bonding Program'!$AA$23,0)-IF(BY$3&lt;='Bonding Program'!$C$8,IF(AND('Bonding Program'!$K$23&lt;&gt;"",BY$3='Bonding Program'!$K$23),'Bonding Program'!$J$23,0)-IF(AND('Bonding Program'!$M$23&lt;&gt;"",BY$3='Bonding Program'!$M$23),'Bonding Program'!$L$23,0)-IF(AND('Bonding Program'!$P$23&lt;&gt;"",BY$3='Bonding Program'!$P$23),'Bonding Program'!$O$23,0)-IF(AND('Bonding Program'!$R$23&lt;&gt;"",BY$3='Bonding Program'!$R$23),'Bonding Program'!$Q$23,0),0)</f>
        <v>0</v>
      </c>
      <c r="BZ164" s="19" t="n">
        <f aca="false">IF(AND('Bonding Program'!$S$23=1,BZ$3='Bonding Program'!$H$23),'Bonding Program'!$AA$23,0)-IF(BZ$3&lt;='Bonding Program'!$C$8,IF(AND('Bonding Program'!$K$23&lt;&gt;"",BZ$3='Bonding Program'!$K$23),'Bonding Program'!$J$23,0)-IF(AND('Bonding Program'!$M$23&lt;&gt;"",BZ$3='Bonding Program'!$M$23),'Bonding Program'!$L$23,0)-IF(AND('Bonding Program'!$P$23&lt;&gt;"",BZ$3='Bonding Program'!$P$23),'Bonding Program'!$O$23,0)-IF(AND('Bonding Program'!$R$23&lt;&gt;"",BZ$3='Bonding Program'!$R$23),'Bonding Program'!$Q$23,0),0)</f>
        <v>0</v>
      </c>
      <c r="CA164" s="19" t="n">
        <f aca="false">IF(AND('Bonding Program'!$S$23=1,CA$3='Bonding Program'!$H$23),'Bonding Program'!$AA$23,0)-IF(CA$3&lt;='Bonding Program'!$C$8,IF(AND('Bonding Program'!$K$23&lt;&gt;"",CA$3='Bonding Program'!$K$23),'Bonding Program'!$J$23,0)-IF(AND('Bonding Program'!$M$23&lt;&gt;"",CA$3='Bonding Program'!$M$23),'Bonding Program'!$L$23,0)-IF(AND('Bonding Program'!$P$23&lt;&gt;"",CA$3='Bonding Program'!$P$23),'Bonding Program'!$O$23,0)-IF(AND('Bonding Program'!$R$23&lt;&gt;"",CA$3='Bonding Program'!$R$23),'Bonding Program'!$Q$23,0),0)</f>
        <v>0</v>
      </c>
      <c r="CB164" s="19" t="n">
        <f aca="false">IF(AND('Bonding Program'!$S$23=1,CB$3='Bonding Program'!$H$23),'Bonding Program'!$AA$23,0)-IF(CB$3&lt;='Bonding Program'!$C$8,IF(AND('Bonding Program'!$K$23&lt;&gt;"",CB$3='Bonding Program'!$K$23),'Bonding Program'!$J$23,0)-IF(AND('Bonding Program'!$M$23&lt;&gt;"",CB$3='Bonding Program'!$M$23),'Bonding Program'!$L$23,0)-IF(AND('Bonding Program'!$P$23&lt;&gt;"",CB$3='Bonding Program'!$P$23),'Bonding Program'!$O$23,0)-IF(AND('Bonding Program'!$R$23&lt;&gt;"",CB$3='Bonding Program'!$R$23),'Bonding Program'!$Q$23,0),0)</f>
        <v>0</v>
      </c>
      <c r="CC164" s="19" t="n">
        <f aca="false">IF(AND('Bonding Program'!$S$23=1,CC$3='Bonding Program'!$H$23),'Bonding Program'!$AA$23,0)-IF(CC$3&lt;='Bonding Program'!$C$8,IF(AND('Bonding Program'!$K$23&lt;&gt;"",CC$3='Bonding Program'!$K$23),'Bonding Program'!$J$23,0)-IF(AND('Bonding Program'!$M$23&lt;&gt;"",CC$3='Bonding Program'!$M$23),'Bonding Program'!$L$23,0)-IF(AND('Bonding Program'!$P$23&lt;&gt;"",CC$3='Bonding Program'!$P$23),'Bonding Program'!$O$23,0)-IF(AND('Bonding Program'!$R$23&lt;&gt;"",CC$3='Bonding Program'!$R$23),'Bonding Program'!$Q$23,0),0)</f>
        <v>0</v>
      </c>
      <c r="CD164" s="19" t="n">
        <f aca="false">IF(AND('Bonding Program'!$S$23=1,CD$3='Bonding Program'!$H$23),'Bonding Program'!$AA$23,0)-IF(CD$3&lt;='Bonding Program'!$C$8,IF(AND('Bonding Program'!$K$23&lt;&gt;"",CD$3='Bonding Program'!$K$23),'Bonding Program'!$J$23,0)-IF(AND('Bonding Program'!$M$23&lt;&gt;"",CD$3='Bonding Program'!$M$23),'Bonding Program'!$L$23,0)-IF(AND('Bonding Program'!$P$23&lt;&gt;"",CD$3='Bonding Program'!$P$23),'Bonding Program'!$O$23,0)-IF(AND('Bonding Program'!$R$23&lt;&gt;"",CD$3='Bonding Program'!$R$23),'Bonding Program'!$Q$23,0),0)</f>
        <v>0</v>
      </c>
      <c r="CE164" s="19" t="n">
        <f aca="false">IF(AND('Bonding Program'!$S$23=1,CE$3='Bonding Program'!$H$23),'Bonding Program'!$AA$23,0)-IF(CE$3&lt;='Bonding Program'!$C$8,IF(AND('Bonding Program'!$K$23&lt;&gt;"",CE$3='Bonding Program'!$K$23),'Bonding Program'!$J$23,0)-IF(AND('Bonding Program'!$M$23&lt;&gt;"",CE$3='Bonding Program'!$M$23),'Bonding Program'!$L$23,0)-IF(AND('Bonding Program'!$P$23&lt;&gt;"",CE$3='Bonding Program'!$P$23),'Bonding Program'!$O$23,0)-IF(AND('Bonding Program'!$R$23&lt;&gt;"",CE$3='Bonding Program'!$R$23),'Bonding Program'!$Q$23,0),0)</f>
        <v>0</v>
      </c>
      <c r="CF164" s="19" t="n">
        <f aca="false">IF(AND('Bonding Program'!$S$23=1,CF$3='Bonding Program'!$H$23),'Bonding Program'!$AA$23,0)-IF(CF$3&lt;='Bonding Program'!$C$8,IF(AND('Bonding Program'!$K$23&lt;&gt;"",CF$3='Bonding Program'!$K$23),'Bonding Program'!$J$23,0)-IF(AND('Bonding Program'!$M$23&lt;&gt;"",CF$3='Bonding Program'!$M$23),'Bonding Program'!$L$23,0)-IF(AND('Bonding Program'!$P$23&lt;&gt;"",CF$3='Bonding Program'!$P$23),'Bonding Program'!$O$23,0)-IF(AND('Bonding Program'!$R$23&lt;&gt;"",CF$3='Bonding Program'!$R$23),'Bonding Program'!$Q$23,0),0)</f>
        <v>0</v>
      </c>
      <c r="CG164" s="19" t="n">
        <f aca="false">IF(AND('Bonding Program'!$S$23=1,CG$3='Bonding Program'!$H$23),'Bonding Program'!$AA$23,0)-IF(CG$3&lt;='Bonding Program'!$C$8,IF(AND('Bonding Program'!$K$23&lt;&gt;"",CG$3='Bonding Program'!$K$23),'Bonding Program'!$J$23,0)-IF(AND('Bonding Program'!$M$23&lt;&gt;"",CG$3='Bonding Program'!$M$23),'Bonding Program'!$L$23,0)-IF(AND('Bonding Program'!$P$23&lt;&gt;"",CG$3='Bonding Program'!$P$23),'Bonding Program'!$O$23,0)-IF(AND('Bonding Program'!$R$23&lt;&gt;"",CG$3='Bonding Program'!$R$23),'Bonding Program'!$Q$23,0),0)</f>
        <v>0</v>
      </c>
      <c r="CH164" s="19" t="n">
        <f aca="false">IF(AND('Bonding Program'!$S$23=1,CH$3='Bonding Program'!$H$23),'Bonding Program'!$AA$23,0)-IF(CH$3&lt;='Bonding Program'!$C$8,IF(AND('Bonding Program'!$K$23&lt;&gt;"",CH$3='Bonding Program'!$K$23),'Bonding Program'!$J$23,0)-IF(AND('Bonding Program'!$M$23&lt;&gt;"",CH$3='Bonding Program'!$M$23),'Bonding Program'!$L$23,0)-IF(AND('Bonding Program'!$P$23&lt;&gt;"",CH$3='Bonding Program'!$P$23),'Bonding Program'!$O$23,0)-IF(AND('Bonding Program'!$R$23&lt;&gt;"",CH$3='Bonding Program'!$R$23),'Bonding Program'!$Q$23,0),0)</f>
        <v>0</v>
      </c>
      <c r="CI164" s="19" t="n">
        <f aca="false">IF(AND('Bonding Program'!$S$23=1,CI$3='Bonding Program'!$H$23),'Bonding Program'!$AA$23,0)-IF(CI$3&lt;='Bonding Program'!$C$8,IF(AND('Bonding Program'!$K$23&lt;&gt;"",CI$3='Bonding Program'!$K$23),'Bonding Program'!$J$23,0)-IF(AND('Bonding Program'!$M$23&lt;&gt;"",CI$3='Bonding Program'!$M$23),'Bonding Program'!$L$23,0)-IF(AND('Bonding Program'!$P$23&lt;&gt;"",CI$3='Bonding Program'!$P$23),'Bonding Program'!$O$23,0)-IF(AND('Bonding Program'!$R$23&lt;&gt;"",CI$3='Bonding Program'!$R$23),'Bonding Program'!$Q$23,0),0)</f>
        <v>0</v>
      </c>
      <c r="CJ164" s="19" t="n">
        <f aca="false">IF(AND('Bonding Program'!$S$23=1,CJ$3='Bonding Program'!$H$23),'Bonding Program'!$AA$23,0)-IF(CJ$3&lt;='Bonding Program'!$C$8,IF(AND('Bonding Program'!$K$23&lt;&gt;"",CJ$3='Bonding Program'!$K$23),'Bonding Program'!$J$23,0)-IF(AND('Bonding Program'!$M$23&lt;&gt;"",CJ$3='Bonding Program'!$M$23),'Bonding Program'!$L$23,0)-IF(AND('Bonding Program'!$P$23&lt;&gt;"",CJ$3='Bonding Program'!$P$23),'Bonding Program'!$O$23,0)-IF(AND('Bonding Program'!$R$23&lt;&gt;"",CJ$3='Bonding Program'!$R$23),'Bonding Program'!$Q$23,0),0)</f>
        <v>0</v>
      </c>
      <c r="CK164" s="19" t="n">
        <f aca="false">IF(AND('Bonding Program'!$S$23=1,CK$3='Bonding Program'!$H$23),'Bonding Program'!$AA$23,0)-IF(CK$3&lt;='Bonding Program'!$C$8,IF(AND('Bonding Program'!$K$23&lt;&gt;"",CK$3='Bonding Program'!$K$23),'Bonding Program'!$J$23,0)-IF(AND('Bonding Program'!$M$23&lt;&gt;"",CK$3='Bonding Program'!$M$23),'Bonding Program'!$L$23,0)-IF(AND('Bonding Program'!$P$23&lt;&gt;"",CK$3='Bonding Program'!$P$23),'Bonding Program'!$O$23,0)-IF(AND('Bonding Program'!$R$23&lt;&gt;"",CK$3='Bonding Program'!$R$23),'Bonding Program'!$Q$23,0),0)</f>
        <v>0</v>
      </c>
      <c r="CL164" s="19" t="n">
        <f aca="false">IF(AND('Bonding Program'!$S$23=1,CL$3='Bonding Program'!$H$23),'Bonding Program'!$AA$23,0)-IF(CL$3&lt;='Bonding Program'!$C$8,IF(AND('Bonding Program'!$K$23&lt;&gt;"",CL$3='Bonding Program'!$K$23),'Bonding Program'!$J$23,0)-IF(AND('Bonding Program'!$M$23&lt;&gt;"",CL$3='Bonding Program'!$M$23),'Bonding Program'!$L$23,0)-IF(AND('Bonding Program'!$P$23&lt;&gt;"",CL$3='Bonding Program'!$P$23),'Bonding Program'!$O$23,0)-IF(AND('Bonding Program'!$R$23&lt;&gt;"",CL$3='Bonding Program'!$R$23),'Bonding Program'!$Q$23,0),0)</f>
        <v>0</v>
      </c>
      <c r="CM164" s="19" t="n">
        <f aca="false">IF(AND('Bonding Program'!$S$23=1,CM$3='Bonding Program'!$H$23),'Bonding Program'!$AA$23,0)-IF(CM$3&lt;='Bonding Program'!$C$8,IF(AND('Bonding Program'!$K$23&lt;&gt;"",CM$3='Bonding Program'!$K$23),'Bonding Program'!$J$23,0)-IF(AND('Bonding Program'!$M$23&lt;&gt;"",CM$3='Bonding Program'!$M$23),'Bonding Program'!$L$23,0)-IF(AND('Bonding Program'!$P$23&lt;&gt;"",CM$3='Bonding Program'!$P$23),'Bonding Program'!$O$23,0)-IF(AND('Bonding Program'!$R$23&lt;&gt;"",CM$3='Bonding Program'!$R$23),'Bonding Program'!$Q$23,0),0)</f>
        <v>0</v>
      </c>
      <c r="CN164" s="19" t="n">
        <f aca="false">IF(AND('Bonding Program'!$S$23=1,CN$3='Bonding Program'!$H$23),'Bonding Program'!$AA$23,0)-IF(CN$3&lt;='Bonding Program'!$C$8,IF(AND('Bonding Program'!$K$23&lt;&gt;"",CN$3='Bonding Program'!$K$23),'Bonding Program'!$J$23,0)-IF(AND('Bonding Program'!$M$23&lt;&gt;"",CN$3='Bonding Program'!$M$23),'Bonding Program'!$L$23,0)-IF(AND('Bonding Program'!$P$23&lt;&gt;"",CN$3='Bonding Program'!$P$23),'Bonding Program'!$O$23,0)-IF(AND('Bonding Program'!$R$23&lt;&gt;"",CN$3='Bonding Program'!$R$23),'Bonding Program'!$Q$23,0),0)</f>
        <v>0</v>
      </c>
      <c r="CO164" s="19" t="n">
        <f aca="false">IF(AND('Bonding Program'!$S$23=1,CO$3='Bonding Program'!$H$23),'Bonding Program'!$AA$23,0)-IF(CO$3&lt;='Bonding Program'!$C$8,IF(AND('Bonding Program'!$K$23&lt;&gt;"",CO$3='Bonding Program'!$K$23),'Bonding Program'!$J$23,0)-IF(AND('Bonding Program'!$M$23&lt;&gt;"",CO$3='Bonding Program'!$M$23),'Bonding Program'!$L$23,0)-IF(AND('Bonding Program'!$P$23&lt;&gt;"",CO$3='Bonding Program'!$P$23),'Bonding Program'!$O$23,0)-IF(AND('Bonding Program'!$R$23&lt;&gt;"",CO$3='Bonding Program'!$R$23),'Bonding Program'!$Q$23,0),0)</f>
        <v>0</v>
      </c>
      <c r="CP164" s="19" t="n">
        <f aca="false">IF(AND('Bonding Program'!$S$23=1,CP$3='Bonding Program'!$H$23),'Bonding Program'!$AA$23,0)-IF(CP$3&lt;='Bonding Program'!$C$8,IF(AND('Bonding Program'!$K$23&lt;&gt;"",CP$3='Bonding Program'!$K$23),'Bonding Program'!$J$23,0)-IF(AND('Bonding Program'!$M$23&lt;&gt;"",CP$3='Bonding Program'!$M$23),'Bonding Program'!$L$23,0)-IF(AND('Bonding Program'!$P$23&lt;&gt;"",CP$3='Bonding Program'!$P$23),'Bonding Program'!$O$23,0)-IF(AND('Bonding Program'!$R$23&lt;&gt;"",CP$3='Bonding Program'!$R$23),'Bonding Program'!$Q$23,0),0)</f>
        <v>0</v>
      </c>
      <c r="CQ164" s="19" t="n">
        <f aca="false">IF(AND('Bonding Program'!$S$23=1,CQ$3='Bonding Program'!$H$23),'Bonding Program'!$AA$23,0)-IF(CQ$3&lt;='Bonding Program'!$C$8,IF(AND('Bonding Program'!$K$23&lt;&gt;"",CQ$3='Bonding Program'!$K$23),'Bonding Program'!$J$23,0)-IF(AND('Bonding Program'!$M$23&lt;&gt;"",CQ$3='Bonding Program'!$M$23),'Bonding Program'!$L$23,0)-IF(AND('Bonding Program'!$P$23&lt;&gt;"",CQ$3='Bonding Program'!$P$23),'Bonding Program'!$O$23,0)-IF(AND('Bonding Program'!$R$23&lt;&gt;"",CQ$3='Bonding Program'!$R$23),'Bonding Program'!$Q$23,0),0)</f>
        <v>0</v>
      </c>
      <c r="CR164" s="19" t="n">
        <f aca="false">IF(AND('Bonding Program'!$S$23=1,CR$3='Bonding Program'!$H$23),'Bonding Program'!$AA$23,0)-IF(CR$3&lt;='Bonding Program'!$C$8,IF(AND('Bonding Program'!$K$23&lt;&gt;"",CR$3='Bonding Program'!$K$23),'Bonding Program'!$J$23,0)-IF(AND('Bonding Program'!$M$23&lt;&gt;"",CR$3='Bonding Program'!$M$23),'Bonding Program'!$L$23,0)-IF(AND('Bonding Program'!$P$23&lt;&gt;"",CR$3='Bonding Program'!$P$23),'Bonding Program'!$O$23,0)-IF(AND('Bonding Program'!$R$23&lt;&gt;"",CR$3='Bonding Program'!$R$23),'Bonding Program'!$Q$23,0),0)</f>
        <v>0</v>
      </c>
      <c r="CS164" s="19" t="n">
        <f aca="false">IF(AND('Bonding Program'!$S$23=1,CS$3='Bonding Program'!$H$23),'Bonding Program'!$AA$23,0)-IF(CS$3&lt;='Bonding Program'!$C$8,IF(AND('Bonding Program'!$K$23&lt;&gt;"",CS$3='Bonding Program'!$K$23),'Bonding Program'!$J$23,0)-IF(AND('Bonding Program'!$M$23&lt;&gt;"",CS$3='Bonding Program'!$M$23),'Bonding Program'!$L$23,0)-IF(AND('Bonding Program'!$P$23&lt;&gt;"",CS$3='Bonding Program'!$P$23),'Bonding Program'!$O$23,0)-IF(AND('Bonding Program'!$R$23&lt;&gt;"",CS$3='Bonding Program'!$R$23),'Bonding Program'!$Q$23,0),0)</f>
        <v>0</v>
      </c>
      <c r="CT164" s="19" t="n">
        <f aca="false">IF(AND('Bonding Program'!$S$23=1,CT$3='Bonding Program'!$H$23),'Bonding Program'!$AA$23,0)-IF(CT$3&lt;='Bonding Program'!$C$8,IF(AND('Bonding Program'!$K$23&lt;&gt;"",CT$3='Bonding Program'!$K$23),'Bonding Program'!$J$23,0)-IF(AND('Bonding Program'!$M$23&lt;&gt;"",CT$3='Bonding Program'!$M$23),'Bonding Program'!$L$23,0)-IF(AND('Bonding Program'!$P$23&lt;&gt;"",CT$3='Bonding Program'!$P$23),'Bonding Program'!$O$23,0)-IF(AND('Bonding Program'!$R$23&lt;&gt;"",CT$3='Bonding Program'!$R$23),'Bonding Program'!$Q$23,0),0)</f>
        <v>0</v>
      </c>
      <c r="CU164" s="19" t="n">
        <f aca="false">IF(AND('Bonding Program'!$S$23=1,CU$3='Bonding Program'!$H$23),'Bonding Program'!$AA$23,0)-IF(CU$3&lt;='Bonding Program'!$C$8,IF(AND('Bonding Program'!$K$23&lt;&gt;"",CU$3='Bonding Program'!$K$23),'Bonding Program'!$J$23,0)-IF(AND('Bonding Program'!$M$23&lt;&gt;"",CU$3='Bonding Program'!$M$23),'Bonding Program'!$L$23,0)-IF(AND('Bonding Program'!$P$23&lt;&gt;"",CU$3='Bonding Program'!$P$23),'Bonding Program'!$O$23,0)-IF(AND('Bonding Program'!$R$23&lt;&gt;"",CU$3='Bonding Program'!$R$23),'Bonding Program'!$Q$23,0),0)</f>
        <v>0</v>
      </c>
      <c r="CV164" s="19" t="n">
        <f aca="false">IF(AND('Bonding Program'!$S$23=1,CV$3='Bonding Program'!$H$23),'Bonding Program'!$AA$23,0)-IF(CV$3&lt;='Bonding Program'!$C$8,IF(AND('Bonding Program'!$K$23&lt;&gt;"",CV$3='Bonding Program'!$K$23),'Bonding Program'!$J$23,0)-IF(AND('Bonding Program'!$M$23&lt;&gt;"",CV$3='Bonding Program'!$M$23),'Bonding Program'!$L$23,0)-IF(AND('Bonding Program'!$P$23&lt;&gt;"",CV$3='Bonding Program'!$P$23),'Bonding Program'!$O$23,0)-IF(AND('Bonding Program'!$R$23&lt;&gt;"",CV$3='Bonding Program'!$R$23),'Bonding Program'!$Q$23,0),0)</f>
        <v>0</v>
      </c>
      <c r="CW164" s="19" t="n">
        <f aca="false">IF(AND('Bonding Program'!$S$23=1,CW$3='Bonding Program'!$H$23),'Bonding Program'!$AA$23,0)-IF(CW$3&lt;='Bonding Program'!$C$8,IF(AND('Bonding Program'!$K$23&lt;&gt;"",CW$3='Bonding Program'!$K$23),'Bonding Program'!$J$23,0)-IF(AND('Bonding Program'!$M$23&lt;&gt;"",CW$3='Bonding Program'!$M$23),'Bonding Program'!$L$23,0)-IF(AND('Bonding Program'!$P$23&lt;&gt;"",CW$3='Bonding Program'!$P$23),'Bonding Program'!$O$23,0)-IF(AND('Bonding Program'!$R$23&lt;&gt;"",CW$3='Bonding Program'!$R$23),'Bonding Program'!$Q$23,0),0)</f>
        <v>0</v>
      </c>
      <c r="CX164" s="19" t="n">
        <f aca="false">IF(AND('Bonding Program'!$S$23=1,CX$3='Bonding Program'!$H$23),'Bonding Program'!$AA$23,0)-IF(CX$3&lt;='Bonding Program'!$C$8,IF(AND('Bonding Program'!$K$23&lt;&gt;"",CX$3='Bonding Program'!$K$23),'Bonding Program'!$J$23,0)-IF(AND('Bonding Program'!$M$23&lt;&gt;"",CX$3='Bonding Program'!$M$23),'Bonding Program'!$L$23,0)-IF(AND('Bonding Program'!$P$23&lt;&gt;"",CX$3='Bonding Program'!$P$23),'Bonding Program'!$O$23,0)-IF(AND('Bonding Program'!$R$23&lt;&gt;"",CX$3='Bonding Program'!$R$23),'Bonding Program'!$Q$23,0),0)</f>
        <v>0</v>
      </c>
      <c r="CY164" s="19" t="n">
        <f aca="false">IF(AND('Bonding Program'!$S$23=1,CY$3='Bonding Program'!$H$23),'Bonding Program'!$AA$23,0)-IF(CY$3&lt;='Bonding Program'!$C$8,IF(AND('Bonding Program'!$K$23&lt;&gt;"",CY$3='Bonding Program'!$K$23),'Bonding Program'!$J$23,0)-IF(AND('Bonding Program'!$M$23&lt;&gt;"",CY$3='Bonding Program'!$M$23),'Bonding Program'!$L$23,0)-IF(AND('Bonding Program'!$P$23&lt;&gt;"",CY$3='Bonding Program'!$P$23),'Bonding Program'!$O$23,0)-IF(AND('Bonding Program'!$R$23&lt;&gt;"",CY$3='Bonding Program'!$R$23),'Bonding Program'!$Q$23,0),0)</f>
        <v>0</v>
      </c>
      <c r="CZ164" s="19" t="n">
        <f aca="false">IF(AND('Bonding Program'!$S$23=1,CZ$3='Bonding Program'!$H$23),'Bonding Program'!$AA$23,0)-IF(CZ$3&lt;='Bonding Program'!$C$8,IF(AND('Bonding Program'!$K$23&lt;&gt;"",CZ$3='Bonding Program'!$K$23),'Bonding Program'!$J$23,0)-IF(AND('Bonding Program'!$M$23&lt;&gt;"",CZ$3='Bonding Program'!$M$23),'Bonding Program'!$L$23,0)-IF(AND('Bonding Program'!$P$23&lt;&gt;"",CZ$3='Bonding Program'!$P$23),'Bonding Program'!$O$23,0)-IF(AND('Bonding Program'!$R$23&lt;&gt;"",CZ$3='Bonding Program'!$R$23),'Bonding Program'!$Q$23,0),0)</f>
        <v>0</v>
      </c>
      <c r="DA164" s="19" t="n">
        <f aca="false">IF(AND('Bonding Program'!$S$23=1,DA$3='Bonding Program'!$H$23),'Bonding Program'!$AA$23,0)-IF(DA$3&lt;='Bonding Program'!$C$8,IF(AND('Bonding Program'!$K$23&lt;&gt;"",DA$3='Bonding Program'!$K$23),'Bonding Program'!$J$23,0)-IF(AND('Bonding Program'!$M$23&lt;&gt;"",DA$3='Bonding Program'!$M$23),'Bonding Program'!$L$23,0)-IF(AND('Bonding Program'!$P$23&lt;&gt;"",DA$3='Bonding Program'!$P$23),'Bonding Program'!$O$23,0)-IF(AND('Bonding Program'!$R$23&lt;&gt;"",DA$3='Bonding Program'!$R$23),'Bonding Program'!$Q$23,0),0)</f>
        <v>0</v>
      </c>
      <c r="DB164" s="19" t="n">
        <f aca="false">IF(AND('Bonding Program'!$S$23=1,DB$3='Bonding Program'!$H$23),'Bonding Program'!$AA$23,0)-IF(DB$3&lt;='Bonding Program'!$C$8,IF(AND('Bonding Program'!$K$23&lt;&gt;"",DB$3='Bonding Program'!$K$23),'Bonding Program'!$J$23,0)-IF(AND('Bonding Program'!$M$23&lt;&gt;"",DB$3='Bonding Program'!$M$23),'Bonding Program'!$L$23,0)-IF(AND('Bonding Program'!$P$23&lt;&gt;"",DB$3='Bonding Program'!$P$23),'Bonding Program'!$O$23,0)-IF(AND('Bonding Program'!$R$23&lt;&gt;"",DB$3='Bonding Program'!$R$23),'Bonding Program'!$Q$23,0),0)</f>
        <v>0</v>
      </c>
      <c r="DC164" s="19" t="n">
        <f aca="false">IF(AND('Bonding Program'!$S$23=1,DC$3='Bonding Program'!$H$23),'Bonding Program'!$AA$23,0)-IF(DC$3&lt;='Bonding Program'!$C$8,IF(AND('Bonding Program'!$K$23&lt;&gt;"",DC$3='Bonding Program'!$K$23),'Bonding Program'!$J$23,0)-IF(AND('Bonding Program'!$M$23&lt;&gt;"",DC$3='Bonding Program'!$M$23),'Bonding Program'!$L$23,0)-IF(AND('Bonding Program'!$P$23&lt;&gt;"",DC$3='Bonding Program'!$P$23),'Bonding Program'!$O$23,0)-IF(AND('Bonding Program'!$R$23&lt;&gt;"",DC$3='Bonding Program'!$R$23),'Bonding Program'!$Q$23,0),0)</f>
        <v>0</v>
      </c>
      <c r="DD164" s="19" t="n">
        <f aca="false">IF(AND('Bonding Program'!$S$23=1,DD$3='Bonding Program'!$H$23),'Bonding Program'!$AA$23,0)-IF(DD$3&lt;='Bonding Program'!$C$8,IF(AND('Bonding Program'!$K$23&lt;&gt;"",DD$3='Bonding Program'!$K$23),'Bonding Program'!$J$23,0)-IF(AND('Bonding Program'!$M$23&lt;&gt;"",DD$3='Bonding Program'!$M$23),'Bonding Program'!$L$23,0)-IF(AND('Bonding Program'!$P$23&lt;&gt;"",DD$3='Bonding Program'!$P$23),'Bonding Program'!$O$23,0)-IF(AND('Bonding Program'!$R$23&lt;&gt;"",DD$3='Bonding Program'!$R$23),'Bonding Program'!$Q$23,0),0)</f>
        <v>0</v>
      </c>
      <c r="DE164" s="19" t="n">
        <f aca="false">IF(AND('Bonding Program'!$S$23=1,DE$3='Bonding Program'!$H$23),'Bonding Program'!$AA$23,0)-IF(DE$3&lt;='Bonding Program'!$C$8,IF(AND('Bonding Program'!$K$23&lt;&gt;"",DE$3='Bonding Program'!$K$23),'Bonding Program'!$J$23,0)-IF(AND('Bonding Program'!$M$23&lt;&gt;"",DE$3='Bonding Program'!$M$23),'Bonding Program'!$L$23,0)-IF(AND('Bonding Program'!$P$23&lt;&gt;"",DE$3='Bonding Program'!$P$23),'Bonding Program'!$O$23,0)-IF(AND('Bonding Program'!$R$23&lt;&gt;"",DE$3='Bonding Program'!$R$23),'Bonding Program'!$Q$23,0),0)</f>
        <v>0</v>
      </c>
    </row>
    <row r="165" customFormat="false" ht="15" hidden="false" customHeight="true" outlineLevel="1" collapsed="false">
      <c r="A165" s="28" t="s">
        <v>20</v>
      </c>
      <c r="B165" s="19" t="n">
        <f aca="false">IF(AND('Bonding Program'!$S$24=1,B$3='Bonding Program'!$H$24),'Bonding Program'!$AA$24,0)-IF(B$3&lt;='Bonding Program'!$C$8,IF(AND('Bonding Program'!$K$24&lt;&gt;"",B$3='Bonding Program'!$K$24),'Bonding Program'!$J$24,0)-IF(AND('Bonding Program'!$M$24&lt;&gt;"",B$3='Bonding Program'!$M$24),'Bonding Program'!$L$24,0)-IF(AND('Bonding Program'!$P$24&lt;&gt;"",B$3='Bonding Program'!$P$24),'Bonding Program'!$O$24,0)-IF(AND('Bonding Program'!$R$24&lt;&gt;"",B$3='Bonding Program'!$R$24),'Bonding Program'!$Q$24,0),0)</f>
        <v>0</v>
      </c>
      <c r="C165" s="19" t="n">
        <f aca="false">IF(AND('Bonding Program'!$S$24=1,C$3='Bonding Program'!$H$24),'Bonding Program'!$AA$24,0)-IF(C$3&lt;='Bonding Program'!$C$8,IF(AND('Bonding Program'!$K$24&lt;&gt;"",C$3='Bonding Program'!$K$24),'Bonding Program'!$J$24,0)-IF(AND('Bonding Program'!$M$24&lt;&gt;"",C$3='Bonding Program'!$M$24),'Bonding Program'!$L$24,0)-IF(AND('Bonding Program'!$P$24&lt;&gt;"",C$3='Bonding Program'!$P$24),'Bonding Program'!$O$24,0)-IF(AND('Bonding Program'!$R$24&lt;&gt;"",C$3='Bonding Program'!$R$24),'Bonding Program'!$Q$24,0),0)</f>
        <v>0</v>
      </c>
      <c r="D165" s="19" t="n">
        <f aca="false">IF(AND('Bonding Program'!$S$24=1,D$3='Bonding Program'!$H$24),'Bonding Program'!$AA$24,0)-IF(D$3&lt;='Bonding Program'!$C$8,IF(AND('Bonding Program'!$K$24&lt;&gt;"",D$3='Bonding Program'!$K$24),'Bonding Program'!$J$24,0)-IF(AND('Bonding Program'!$M$24&lt;&gt;"",D$3='Bonding Program'!$M$24),'Bonding Program'!$L$24,0)-IF(AND('Bonding Program'!$P$24&lt;&gt;"",D$3='Bonding Program'!$P$24),'Bonding Program'!$O$24,0)-IF(AND('Bonding Program'!$R$24&lt;&gt;"",D$3='Bonding Program'!$R$24),'Bonding Program'!$Q$24,0),0)</f>
        <v>0</v>
      </c>
      <c r="E165" s="19" t="n">
        <f aca="false">IF(AND('Bonding Program'!$S$24=1,E$3='Bonding Program'!$H$24),'Bonding Program'!$AA$24,0)-IF(E$3&lt;='Bonding Program'!$C$8,IF(AND('Bonding Program'!$K$24&lt;&gt;"",E$3='Bonding Program'!$K$24),'Bonding Program'!$J$24,0)-IF(AND('Bonding Program'!$M$24&lt;&gt;"",E$3='Bonding Program'!$M$24),'Bonding Program'!$L$24,0)-IF(AND('Bonding Program'!$P$24&lt;&gt;"",E$3='Bonding Program'!$P$24),'Bonding Program'!$O$24,0)-IF(AND('Bonding Program'!$R$24&lt;&gt;"",E$3='Bonding Program'!$R$24),'Bonding Program'!$Q$24,0),0)</f>
        <v>0</v>
      </c>
      <c r="F165" s="19" t="n">
        <f aca="false">IF(AND('Bonding Program'!$S$24=1,F$3='Bonding Program'!$H$24),'Bonding Program'!$AA$24,0)-IF(F$3&lt;='Bonding Program'!$C$8,IF(AND('Bonding Program'!$K$24&lt;&gt;"",F$3='Bonding Program'!$K$24),'Bonding Program'!$J$24,0)-IF(AND('Bonding Program'!$M$24&lt;&gt;"",F$3='Bonding Program'!$M$24),'Bonding Program'!$L$24,0)-IF(AND('Bonding Program'!$P$24&lt;&gt;"",F$3='Bonding Program'!$P$24),'Bonding Program'!$O$24,0)-IF(AND('Bonding Program'!$R$24&lt;&gt;"",F$3='Bonding Program'!$R$24),'Bonding Program'!$Q$24,0),0)</f>
        <v>0</v>
      </c>
      <c r="G165" s="19" t="n">
        <f aca="false">IF(AND('Bonding Program'!$S$24=1,G$3='Bonding Program'!$H$24),'Bonding Program'!$AA$24,0)-IF(G$3&lt;='Bonding Program'!$C$8,IF(AND('Bonding Program'!$K$24&lt;&gt;"",G$3='Bonding Program'!$K$24),'Bonding Program'!$J$24,0)-IF(AND('Bonding Program'!$M$24&lt;&gt;"",G$3='Bonding Program'!$M$24),'Bonding Program'!$L$24,0)-IF(AND('Bonding Program'!$P$24&lt;&gt;"",G$3='Bonding Program'!$P$24),'Bonding Program'!$O$24,0)-IF(AND('Bonding Program'!$R$24&lt;&gt;"",G$3='Bonding Program'!$R$24),'Bonding Program'!$Q$24,0),0)</f>
        <v>0</v>
      </c>
      <c r="H165" s="19" t="n">
        <f aca="false">IF(AND('Bonding Program'!$S$24=1,H$3='Bonding Program'!$H$24),'Bonding Program'!$AA$24,0)-IF(H$3&lt;='Bonding Program'!$C$8,IF(AND('Bonding Program'!$K$24&lt;&gt;"",H$3='Bonding Program'!$K$24),'Bonding Program'!$J$24,0)-IF(AND('Bonding Program'!$M$24&lt;&gt;"",H$3='Bonding Program'!$M$24),'Bonding Program'!$L$24,0)-IF(AND('Bonding Program'!$P$24&lt;&gt;"",H$3='Bonding Program'!$P$24),'Bonding Program'!$O$24,0)-IF(AND('Bonding Program'!$R$24&lt;&gt;"",H$3='Bonding Program'!$R$24),'Bonding Program'!$Q$24,0),0)</f>
        <v>0</v>
      </c>
      <c r="I165" s="19" t="n">
        <f aca="false">IF(AND('Bonding Program'!$S$24=1,I$3='Bonding Program'!$H$24),'Bonding Program'!$AA$24,0)-IF(I$3&lt;='Bonding Program'!$C$8,IF(AND('Bonding Program'!$K$24&lt;&gt;"",I$3='Bonding Program'!$K$24),'Bonding Program'!$J$24,0)-IF(AND('Bonding Program'!$M$24&lt;&gt;"",I$3='Bonding Program'!$M$24),'Bonding Program'!$L$24,0)-IF(AND('Bonding Program'!$P$24&lt;&gt;"",I$3='Bonding Program'!$P$24),'Bonding Program'!$O$24,0)-IF(AND('Bonding Program'!$R$24&lt;&gt;"",I$3='Bonding Program'!$R$24),'Bonding Program'!$Q$24,0),0)</f>
        <v>0</v>
      </c>
      <c r="J165" s="19" t="n">
        <f aca="false">IF(AND('Bonding Program'!$S$24=1,J$3='Bonding Program'!$H$24),'Bonding Program'!$AA$24,0)-IF(J$3&lt;='Bonding Program'!$C$8,IF(AND('Bonding Program'!$K$24&lt;&gt;"",J$3='Bonding Program'!$K$24),'Bonding Program'!$J$24,0)-IF(AND('Bonding Program'!$M$24&lt;&gt;"",J$3='Bonding Program'!$M$24),'Bonding Program'!$L$24,0)-IF(AND('Bonding Program'!$P$24&lt;&gt;"",J$3='Bonding Program'!$P$24),'Bonding Program'!$O$24,0)-IF(AND('Bonding Program'!$R$24&lt;&gt;"",J$3='Bonding Program'!$R$24),'Bonding Program'!$Q$24,0),0)</f>
        <v>0</v>
      </c>
      <c r="K165" s="19" t="n">
        <f aca="false">IF(AND('Bonding Program'!$S$24=1,K$3='Bonding Program'!$H$24),'Bonding Program'!$AA$24,0)-IF(K$3&lt;='Bonding Program'!$C$8,IF(AND('Bonding Program'!$K$24&lt;&gt;"",K$3='Bonding Program'!$K$24),'Bonding Program'!$J$24,0)-IF(AND('Bonding Program'!$M$24&lt;&gt;"",K$3='Bonding Program'!$M$24),'Bonding Program'!$L$24,0)-IF(AND('Bonding Program'!$P$24&lt;&gt;"",K$3='Bonding Program'!$P$24),'Bonding Program'!$O$24,0)-IF(AND('Bonding Program'!$R$24&lt;&gt;"",K$3='Bonding Program'!$R$24),'Bonding Program'!$Q$24,0),0)</f>
        <v>0</v>
      </c>
      <c r="L165" s="19" t="n">
        <f aca="false">IF(AND('Bonding Program'!$S$24=1,L$3='Bonding Program'!$H$24),'Bonding Program'!$AA$24,0)-IF(L$3&lt;='Bonding Program'!$C$8,IF(AND('Bonding Program'!$K$24&lt;&gt;"",L$3='Bonding Program'!$K$24),'Bonding Program'!$J$24,0)-IF(AND('Bonding Program'!$M$24&lt;&gt;"",L$3='Bonding Program'!$M$24),'Bonding Program'!$L$24,0)-IF(AND('Bonding Program'!$P$24&lt;&gt;"",L$3='Bonding Program'!$P$24),'Bonding Program'!$O$24,0)-IF(AND('Bonding Program'!$R$24&lt;&gt;"",L$3='Bonding Program'!$R$24),'Bonding Program'!$Q$24,0),0)</f>
        <v>0</v>
      </c>
      <c r="M165" s="19" t="n">
        <f aca="false">IF(AND('Bonding Program'!$S$24=1,M$3='Bonding Program'!$H$24),'Bonding Program'!$AA$24,0)-IF(M$3&lt;='Bonding Program'!$C$8,IF(AND('Bonding Program'!$K$24&lt;&gt;"",M$3='Bonding Program'!$K$24),'Bonding Program'!$J$24,0)-IF(AND('Bonding Program'!$M$24&lt;&gt;"",M$3='Bonding Program'!$M$24),'Bonding Program'!$L$24,0)-IF(AND('Bonding Program'!$P$24&lt;&gt;"",M$3='Bonding Program'!$P$24),'Bonding Program'!$O$24,0)-IF(AND('Bonding Program'!$R$24&lt;&gt;"",M$3='Bonding Program'!$R$24),'Bonding Program'!$Q$24,0),0)</f>
        <v>0</v>
      </c>
      <c r="N165" s="19" t="n">
        <f aca="false">IF(AND('Bonding Program'!$S$24=1,N$3='Bonding Program'!$H$24),'Bonding Program'!$AA$24,0)-IF(N$3&lt;='Bonding Program'!$C$8,IF(AND('Bonding Program'!$K$24&lt;&gt;"",N$3='Bonding Program'!$K$24),'Bonding Program'!$J$24,0)-IF(AND('Bonding Program'!$M$24&lt;&gt;"",N$3='Bonding Program'!$M$24),'Bonding Program'!$L$24,0)-IF(AND('Bonding Program'!$P$24&lt;&gt;"",N$3='Bonding Program'!$P$24),'Bonding Program'!$O$24,0)-IF(AND('Bonding Program'!$R$24&lt;&gt;"",N$3='Bonding Program'!$R$24),'Bonding Program'!$Q$24,0),0)</f>
        <v>0</v>
      </c>
      <c r="O165" s="19" t="n">
        <f aca="false">IF(AND('Bonding Program'!$S$24=1,O$3='Bonding Program'!$H$24),'Bonding Program'!$AA$24,0)-IF(O$3&lt;='Bonding Program'!$C$8,IF(AND('Bonding Program'!$K$24&lt;&gt;"",O$3='Bonding Program'!$K$24),'Bonding Program'!$J$24,0)-IF(AND('Bonding Program'!$M$24&lt;&gt;"",O$3='Bonding Program'!$M$24),'Bonding Program'!$L$24,0)-IF(AND('Bonding Program'!$P$24&lt;&gt;"",O$3='Bonding Program'!$P$24),'Bonding Program'!$O$24,0)-IF(AND('Bonding Program'!$R$24&lt;&gt;"",O$3='Bonding Program'!$R$24),'Bonding Program'!$Q$24,0),0)</f>
        <v>0</v>
      </c>
      <c r="P165" s="19" t="n">
        <f aca="false">IF(AND('Bonding Program'!$S$24=1,P$3='Bonding Program'!$H$24),'Bonding Program'!$AA$24,0)-IF(P$3&lt;='Bonding Program'!$C$8,IF(AND('Bonding Program'!$K$24&lt;&gt;"",P$3='Bonding Program'!$K$24),'Bonding Program'!$J$24,0)-IF(AND('Bonding Program'!$M$24&lt;&gt;"",P$3='Bonding Program'!$M$24),'Bonding Program'!$L$24,0)-IF(AND('Bonding Program'!$P$24&lt;&gt;"",P$3='Bonding Program'!$P$24),'Bonding Program'!$O$24,0)-IF(AND('Bonding Program'!$R$24&lt;&gt;"",P$3='Bonding Program'!$R$24),'Bonding Program'!$Q$24,0),0)</f>
        <v>0</v>
      </c>
      <c r="Q165" s="19" t="n">
        <f aca="false">IF(AND('Bonding Program'!$S$24=1,Q$3='Bonding Program'!$H$24),'Bonding Program'!$AA$24,0)-IF(Q$3&lt;='Bonding Program'!$C$8,IF(AND('Bonding Program'!$K$24&lt;&gt;"",Q$3='Bonding Program'!$K$24),'Bonding Program'!$J$24,0)-IF(AND('Bonding Program'!$M$24&lt;&gt;"",Q$3='Bonding Program'!$M$24),'Bonding Program'!$L$24,0)-IF(AND('Bonding Program'!$P$24&lt;&gt;"",Q$3='Bonding Program'!$P$24),'Bonding Program'!$O$24,0)-IF(AND('Bonding Program'!$R$24&lt;&gt;"",Q$3='Bonding Program'!$R$24),'Bonding Program'!$Q$24,0),0)</f>
        <v>0</v>
      </c>
      <c r="R165" s="19" t="n">
        <f aca="false">IF(AND('Bonding Program'!$S$24=1,R$3='Bonding Program'!$H$24),'Bonding Program'!$AA$24,0)-IF(R$3&lt;='Bonding Program'!$C$8,IF(AND('Bonding Program'!$K$24&lt;&gt;"",R$3='Bonding Program'!$K$24),'Bonding Program'!$J$24,0)-IF(AND('Bonding Program'!$M$24&lt;&gt;"",R$3='Bonding Program'!$M$24),'Bonding Program'!$L$24,0)-IF(AND('Bonding Program'!$P$24&lt;&gt;"",R$3='Bonding Program'!$P$24),'Bonding Program'!$O$24,0)-IF(AND('Bonding Program'!$R$24&lt;&gt;"",R$3='Bonding Program'!$R$24),'Bonding Program'!$Q$24,0),0)</f>
        <v>-271425.438238916</v>
      </c>
      <c r="S165" s="19" t="n">
        <f aca="false">IF(AND('Bonding Program'!$S$24=1,S$3='Bonding Program'!$H$24),'Bonding Program'!$AA$24,0)-IF(S$3&lt;='Bonding Program'!$C$8,IF(AND('Bonding Program'!$K$24&lt;&gt;"",S$3='Bonding Program'!$K$24),'Bonding Program'!$J$24,0)-IF(AND('Bonding Program'!$M$24&lt;&gt;"",S$3='Bonding Program'!$M$24),'Bonding Program'!$L$24,0)-IF(AND('Bonding Program'!$P$24&lt;&gt;"",S$3='Bonding Program'!$P$24),'Bonding Program'!$O$24,0)-IF(AND('Bonding Program'!$R$24&lt;&gt;"",S$3='Bonding Program'!$R$24),'Bonding Program'!$Q$24,0),0)</f>
        <v>0</v>
      </c>
      <c r="T165" s="19" t="n">
        <f aca="false">IF(AND('Bonding Program'!$S$24=1,T$3='Bonding Program'!$H$24),'Bonding Program'!$AA$24,0)-IF(T$3&lt;='Bonding Program'!$C$8,IF(AND('Bonding Program'!$K$24&lt;&gt;"",T$3='Bonding Program'!$K$24),'Bonding Program'!$J$24,0)-IF(AND('Bonding Program'!$M$24&lt;&gt;"",T$3='Bonding Program'!$M$24),'Bonding Program'!$L$24,0)-IF(AND('Bonding Program'!$P$24&lt;&gt;"",T$3='Bonding Program'!$P$24),'Bonding Program'!$O$24,0)-IF(AND('Bonding Program'!$R$24&lt;&gt;"",T$3='Bonding Program'!$R$24),'Bonding Program'!$Q$24,0),0)</f>
        <v>0</v>
      </c>
      <c r="U165" s="19" t="n">
        <f aca="false">IF(AND('Bonding Program'!$S$24=1,U$3='Bonding Program'!$H$24),'Bonding Program'!$AA$24,0)-IF(U$3&lt;='Bonding Program'!$C$8,IF(AND('Bonding Program'!$K$24&lt;&gt;"",U$3='Bonding Program'!$K$24),'Bonding Program'!$J$24,0)-IF(AND('Bonding Program'!$M$24&lt;&gt;"",U$3='Bonding Program'!$M$24),'Bonding Program'!$L$24,0)-IF(AND('Bonding Program'!$P$24&lt;&gt;"",U$3='Bonding Program'!$P$24),'Bonding Program'!$O$24,0)-IF(AND('Bonding Program'!$R$24&lt;&gt;"",U$3='Bonding Program'!$R$24),'Bonding Program'!$Q$24,0),0)</f>
        <v>0</v>
      </c>
      <c r="V165" s="19" t="n">
        <f aca="false">IF(AND('Bonding Program'!$S$24=1,V$3='Bonding Program'!$H$24),'Bonding Program'!$AA$24,0)-IF(V$3&lt;='Bonding Program'!$C$8,IF(AND('Bonding Program'!$K$24&lt;&gt;"",V$3='Bonding Program'!$K$24),'Bonding Program'!$J$24,0)-IF(AND('Bonding Program'!$M$24&lt;&gt;"",V$3='Bonding Program'!$M$24),'Bonding Program'!$L$24,0)-IF(AND('Bonding Program'!$P$24&lt;&gt;"",V$3='Bonding Program'!$P$24),'Bonding Program'!$O$24,0)-IF(AND('Bonding Program'!$R$24&lt;&gt;"",V$3='Bonding Program'!$R$24),'Bonding Program'!$Q$24,0),0)</f>
        <v>0</v>
      </c>
      <c r="W165" s="19" t="n">
        <f aca="false">IF(AND('Bonding Program'!$S$24=1,W$3='Bonding Program'!$H$24),'Bonding Program'!$AA$24,0)-IF(W$3&lt;='Bonding Program'!$C$8,IF(AND('Bonding Program'!$K$24&lt;&gt;"",W$3='Bonding Program'!$K$24),'Bonding Program'!$J$24,0)-IF(AND('Bonding Program'!$M$24&lt;&gt;"",W$3='Bonding Program'!$M$24),'Bonding Program'!$L$24,0)-IF(AND('Bonding Program'!$P$24&lt;&gt;"",W$3='Bonding Program'!$P$24),'Bonding Program'!$O$24,0)-IF(AND('Bonding Program'!$R$24&lt;&gt;"",W$3='Bonding Program'!$R$24),'Bonding Program'!$Q$24,0),0)</f>
        <v>0</v>
      </c>
      <c r="X165" s="19" t="n">
        <f aca="false">IF(AND('Bonding Program'!$S$24=1,X$3='Bonding Program'!$H$24),'Bonding Program'!$AA$24,0)-IF(X$3&lt;='Bonding Program'!$C$8,IF(AND('Bonding Program'!$K$24&lt;&gt;"",X$3='Bonding Program'!$K$24),'Bonding Program'!$J$24,0)-IF(AND('Bonding Program'!$M$24&lt;&gt;"",X$3='Bonding Program'!$M$24),'Bonding Program'!$L$24,0)-IF(AND('Bonding Program'!$P$24&lt;&gt;"",X$3='Bonding Program'!$P$24),'Bonding Program'!$O$24,0)-IF(AND('Bonding Program'!$R$24&lt;&gt;"",X$3='Bonding Program'!$R$24),'Bonding Program'!$Q$24,0),0)</f>
        <v>0</v>
      </c>
      <c r="Y165" s="19" t="n">
        <f aca="false">IF(AND('Bonding Program'!$S$24=1,Y$3='Bonding Program'!$H$24),'Bonding Program'!$AA$24,0)-IF(Y$3&lt;='Bonding Program'!$C$8,IF(AND('Bonding Program'!$K$24&lt;&gt;"",Y$3='Bonding Program'!$K$24),'Bonding Program'!$J$24,0)-IF(AND('Bonding Program'!$M$24&lt;&gt;"",Y$3='Bonding Program'!$M$24),'Bonding Program'!$L$24,0)-IF(AND('Bonding Program'!$P$24&lt;&gt;"",Y$3='Bonding Program'!$P$24),'Bonding Program'!$O$24,0)-IF(AND('Bonding Program'!$R$24&lt;&gt;"",Y$3='Bonding Program'!$R$24),'Bonding Program'!$Q$24,0),0)</f>
        <v>0</v>
      </c>
      <c r="Z165" s="19" t="n">
        <f aca="false">IF(AND('Bonding Program'!$S$24=1,Z$3='Bonding Program'!$H$24),'Bonding Program'!$AA$24,0)-IF(Z$3&lt;='Bonding Program'!$C$8,IF(AND('Bonding Program'!$K$24&lt;&gt;"",Z$3='Bonding Program'!$K$24),'Bonding Program'!$J$24,0)-IF(AND('Bonding Program'!$M$24&lt;&gt;"",Z$3='Bonding Program'!$M$24),'Bonding Program'!$L$24,0)-IF(AND('Bonding Program'!$P$24&lt;&gt;"",Z$3='Bonding Program'!$P$24),'Bonding Program'!$O$24,0)-IF(AND('Bonding Program'!$R$24&lt;&gt;"",Z$3='Bonding Program'!$R$24),'Bonding Program'!$Q$24,0),0)</f>
        <v>0</v>
      </c>
      <c r="AA165" s="19" t="n">
        <f aca="false">IF(AND('Bonding Program'!$S$24=1,AA$3='Bonding Program'!$H$24),'Bonding Program'!$AA$24,0)-IF(AA$3&lt;='Bonding Program'!$C$8,IF(AND('Bonding Program'!$K$24&lt;&gt;"",AA$3='Bonding Program'!$K$24),'Bonding Program'!$J$24,0)-IF(AND('Bonding Program'!$M$24&lt;&gt;"",AA$3='Bonding Program'!$M$24),'Bonding Program'!$L$24,0)-IF(AND('Bonding Program'!$P$24&lt;&gt;"",AA$3='Bonding Program'!$P$24),'Bonding Program'!$O$24,0)-IF(AND('Bonding Program'!$R$24&lt;&gt;"",AA$3='Bonding Program'!$R$24),'Bonding Program'!$Q$24,0),0)</f>
        <v>0</v>
      </c>
      <c r="AB165" s="19" t="n">
        <f aca="false">IF(AND('Bonding Program'!$S$24=1,AB$3='Bonding Program'!$H$24),'Bonding Program'!$AA$24,0)-IF(AB$3&lt;='Bonding Program'!$C$8,IF(AND('Bonding Program'!$K$24&lt;&gt;"",AB$3='Bonding Program'!$K$24),'Bonding Program'!$J$24,0)-IF(AND('Bonding Program'!$M$24&lt;&gt;"",AB$3='Bonding Program'!$M$24),'Bonding Program'!$L$24,0)-IF(AND('Bonding Program'!$P$24&lt;&gt;"",AB$3='Bonding Program'!$P$24),'Bonding Program'!$O$24,0)-IF(AND('Bonding Program'!$R$24&lt;&gt;"",AB$3='Bonding Program'!$R$24),'Bonding Program'!$Q$24,0),0)</f>
        <v>0</v>
      </c>
      <c r="AC165" s="19" t="n">
        <f aca="false">IF(AND('Bonding Program'!$S$24=1,AC$3='Bonding Program'!$H$24),'Bonding Program'!$AA$24,0)-IF(AC$3&lt;='Bonding Program'!$C$8,IF(AND('Bonding Program'!$K$24&lt;&gt;"",AC$3='Bonding Program'!$K$24),'Bonding Program'!$J$24,0)-IF(AND('Bonding Program'!$M$24&lt;&gt;"",AC$3='Bonding Program'!$M$24),'Bonding Program'!$L$24,0)-IF(AND('Bonding Program'!$P$24&lt;&gt;"",AC$3='Bonding Program'!$P$24),'Bonding Program'!$O$24,0)-IF(AND('Bonding Program'!$R$24&lt;&gt;"",AC$3='Bonding Program'!$R$24),'Bonding Program'!$Q$24,0),0)</f>
        <v>0</v>
      </c>
      <c r="AD165" s="19" t="n">
        <f aca="false">IF(AND('Bonding Program'!$S$24=1,AD$3='Bonding Program'!$H$24),'Bonding Program'!$AA$24,0)-IF(AD$3&lt;='Bonding Program'!$C$8,IF(AND('Bonding Program'!$K$24&lt;&gt;"",AD$3='Bonding Program'!$K$24),'Bonding Program'!$J$24,0)-IF(AND('Bonding Program'!$M$24&lt;&gt;"",AD$3='Bonding Program'!$M$24),'Bonding Program'!$L$24,0)-IF(AND('Bonding Program'!$P$24&lt;&gt;"",AD$3='Bonding Program'!$P$24),'Bonding Program'!$O$24,0)-IF(AND('Bonding Program'!$R$24&lt;&gt;"",AD$3='Bonding Program'!$R$24),'Bonding Program'!$Q$24,0),0)</f>
        <v>0</v>
      </c>
      <c r="AE165" s="19" t="n">
        <f aca="false">IF(AND('Bonding Program'!$S$24=1,AE$3='Bonding Program'!$H$24),'Bonding Program'!$AA$24,0)-IF(AE$3&lt;='Bonding Program'!$C$8,IF(AND('Bonding Program'!$K$24&lt;&gt;"",AE$3='Bonding Program'!$K$24),'Bonding Program'!$J$24,0)-IF(AND('Bonding Program'!$M$24&lt;&gt;"",AE$3='Bonding Program'!$M$24),'Bonding Program'!$L$24,0)-IF(AND('Bonding Program'!$P$24&lt;&gt;"",AE$3='Bonding Program'!$P$24),'Bonding Program'!$O$24,0)-IF(AND('Bonding Program'!$R$24&lt;&gt;"",AE$3='Bonding Program'!$R$24),'Bonding Program'!$Q$24,0),0)</f>
        <v>0</v>
      </c>
      <c r="AF165" s="19" t="n">
        <f aca="false">IF(AND('Bonding Program'!$S$24=1,AF$3='Bonding Program'!$H$24),'Bonding Program'!$AA$24,0)-IF(AF$3&lt;='Bonding Program'!$C$8,IF(AND('Bonding Program'!$K$24&lt;&gt;"",AF$3='Bonding Program'!$K$24),'Bonding Program'!$J$24,0)-IF(AND('Bonding Program'!$M$24&lt;&gt;"",AF$3='Bonding Program'!$M$24),'Bonding Program'!$L$24,0)-IF(AND('Bonding Program'!$P$24&lt;&gt;"",AF$3='Bonding Program'!$P$24),'Bonding Program'!$O$24,0)-IF(AND('Bonding Program'!$R$24&lt;&gt;"",AF$3='Bonding Program'!$R$24),'Bonding Program'!$Q$24,0),0)</f>
        <v>0</v>
      </c>
      <c r="AG165" s="19" t="n">
        <f aca="false">IF(AND('Bonding Program'!$S$24=1,AG$3='Bonding Program'!$H$24),'Bonding Program'!$AA$24,0)-IF(AG$3&lt;='Bonding Program'!$C$8,IF(AND('Bonding Program'!$K$24&lt;&gt;"",AG$3='Bonding Program'!$K$24),'Bonding Program'!$J$24,0)-IF(AND('Bonding Program'!$M$24&lt;&gt;"",AG$3='Bonding Program'!$M$24),'Bonding Program'!$L$24,0)-IF(AND('Bonding Program'!$P$24&lt;&gt;"",AG$3='Bonding Program'!$P$24),'Bonding Program'!$O$24,0)-IF(AND('Bonding Program'!$R$24&lt;&gt;"",AG$3='Bonding Program'!$R$24),'Bonding Program'!$Q$24,0),0)</f>
        <v>0</v>
      </c>
      <c r="AH165" s="19" t="n">
        <f aca="false">IF(AND('Bonding Program'!$S$24=1,AH$3='Bonding Program'!$H$24),'Bonding Program'!$AA$24,0)-IF(AH$3&lt;='Bonding Program'!$C$8,IF(AND('Bonding Program'!$K$24&lt;&gt;"",AH$3='Bonding Program'!$K$24),'Bonding Program'!$J$24,0)-IF(AND('Bonding Program'!$M$24&lt;&gt;"",AH$3='Bonding Program'!$M$24),'Bonding Program'!$L$24,0)-IF(AND('Bonding Program'!$P$24&lt;&gt;"",AH$3='Bonding Program'!$P$24),'Bonding Program'!$O$24,0)-IF(AND('Bonding Program'!$R$24&lt;&gt;"",AH$3='Bonding Program'!$R$24),'Bonding Program'!$Q$24,0),0)</f>
        <v>0</v>
      </c>
      <c r="AI165" s="19" t="n">
        <f aca="false">IF(AND('Bonding Program'!$S$24=1,AI$3='Bonding Program'!$H$24),'Bonding Program'!$AA$24,0)-IF(AI$3&lt;='Bonding Program'!$C$8,IF(AND('Bonding Program'!$K$24&lt;&gt;"",AI$3='Bonding Program'!$K$24),'Bonding Program'!$J$24,0)-IF(AND('Bonding Program'!$M$24&lt;&gt;"",AI$3='Bonding Program'!$M$24),'Bonding Program'!$L$24,0)-IF(AND('Bonding Program'!$P$24&lt;&gt;"",AI$3='Bonding Program'!$P$24),'Bonding Program'!$O$24,0)-IF(AND('Bonding Program'!$R$24&lt;&gt;"",AI$3='Bonding Program'!$R$24),'Bonding Program'!$Q$24,0),0)</f>
        <v>0</v>
      </c>
      <c r="AJ165" s="19" t="n">
        <f aca="false">IF(AND('Bonding Program'!$S$24=1,AJ$3='Bonding Program'!$H$24),'Bonding Program'!$AA$24,0)-IF(AJ$3&lt;='Bonding Program'!$C$8,IF(AND('Bonding Program'!$K$24&lt;&gt;"",AJ$3='Bonding Program'!$K$24),'Bonding Program'!$J$24,0)-IF(AND('Bonding Program'!$M$24&lt;&gt;"",AJ$3='Bonding Program'!$M$24),'Bonding Program'!$L$24,0)-IF(AND('Bonding Program'!$P$24&lt;&gt;"",AJ$3='Bonding Program'!$P$24),'Bonding Program'!$O$24,0)-IF(AND('Bonding Program'!$R$24&lt;&gt;"",AJ$3='Bonding Program'!$R$24),'Bonding Program'!$Q$24,0),0)</f>
        <v>0</v>
      </c>
      <c r="AK165" s="19" t="n">
        <f aca="false">IF(AND('Bonding Program'!$S$24=1,AK$3='Bonding Program'!$H$24),'Bonding Program'!$AA$24,0)-IF(AK$3&lt;='Bonding Program'!$C$8,IF(AND('Bonding Program'!$K$24&lt;&gt;"",AK$3='Bonding Program'!$K$24),'Bonding Program'!$J$24,0)-IF(AND('Bonding Program'!$M$24&lt;&gt;"",AK$3='Bonding Program'!$M$24),'Bonding Program'!$L$24,0)-IF(AND('Bonding Program'!$P$24&lt;&gt;"",AK$3='Bonding Program'!$P$24),'Bonding Program'!$O$24,0)-IF(AND('Bonding Program'!$R$24&lt;&gt;"",AK$3='Bonding Program'!$R$24),'Bonding Program'!$Q$24,0),0)</f>
        <v>0</v>
      </c>
      <c r="AL165" s="19" t="n">
        <f aca="false">IF(AND('Bonding Program'!$S$24=1,AL$3='Bonding Program'!$H$24),'Bonding Program'!$AA$24,0)-IF(AL$3&lt;='Bonding Program'!$C$8,IF(AND('Bonding Program'!$K$24&lt;&gt;"",AL$3='Bonding Program'!$K$24),'Bonding Program'!$J$24,0)-IF(AND('Bonding Program'!$M$24&lt;&gt;"",AL$3='Bonding Program'!$M$24),'Bonding Program'!$L$24,0)-IF(AND('Bonding Program'!$P$24&lt;&gt;"",AL$3='Bonding Program'!$P$24),'Bonding Program'!$O$24,0)-IF(AND('Bonding Program'!$R$24&lt;&gt;"",AL$3='Bonding Program'!$R$24),'Bonding Program'!$Q$24,0),0)</f>
        <v>0</v>
      </c>
      <c r="AM165" s="19" t="n">
        <f aca="false">IF(AND('Bonding Program'!$S$24=1,AM$3='Bonding Program'!$H$24),'Bonding Program'!$AA$24,0)-IF(AM$3&lt;='Bonding Program'!$C$8,IF(AND('Bonding Program'!$K$24&lt;&gt;"",AM$3='Bonding Program'!$K$24),'Bonding Program'!$J$24,0)-IF(AND('Bonding Program'!$M$24&lt;&gt;"",AM$3='Bonding Program'!$M$24),'Bonding Program'!$L$24,0)-IF(AND('Bonding Program'!$P$24&lt;&gt;"",AM$3='Bonding Program'!$P$24),'Bonding Program'!$O$24,0)-IF(AND('Bonding Program'!$R$24&lt;&gt;"",AM$3='Bonding Program'!$R$24),'Bonding Program'!$Q$24,0),0)</f>
        <v>0</v>
      </c>
      <c r="AN165" s="19" t="n">
        <f aca="false">IF(AND('Bonding Program'!$S$24=1,AN$3='Bonding Program'!$H$24),'Bonding Program'!$AA$24,0)-IF(AN$3&lt;='Bonding Program'!$C$8,IF(AND('Bonding Program'!$K$24&lt;&gt;"",AN$3='Bonding Program'!$K$24),'Bonding Program'!$J$24,0)-IF(AND('Bonding Program'!$M$24&lt;&gt;"",AN$3='Bonding Program'!$M$24),'Bonding Program'!$L$24,0)-IF(AND('Bonding Program'!$P$24&lt;&gt;"",AN$3='Bonding Program'!$P$24),'Bonding Program'!$O$24,0)-IF(AND('Bonding Program'!$R$24&lt;&gt;"",AN$3='Bonding Program'!$R$24),'Bonding Program'!$Q$24,0),0)</f>
        <v>0</v>
      </c>
      <c r="AO165" s="19" t="n">
        <f aca="false">IF(AND('Bonding Program'!$S$24=1,AO$3='Bonding Program'!$H$24),'Bonding Program'!$AA$24,0)-IF(AO$3&lt;='Bonding Program'!$C$8,IF(AND('Bonding Program'!$K$24&lt;&gt;"",AO$3='Bonding Program'!$K$24),'Bonding Program'!$J$24,0)-IF(AND('Bonding Program'!$M$24&lt;&gt;"",AO$3='Bonding Program'!$M$24),'Bonding Program'!$L$24,0)-IF(AND('Bonding Program'!$P$24&lt;&gt;"",AO$3='Bonding Program'!$P$24),'Bonding Program'!$O$24,0)-IF(AND('Bonding Program'!$R$24&lt;&gt;"",AO$3='Bonding Program'!$R$24),'Bonding Program'!$Q$24,0),0)</f>
        <v>0</v>
      </c>
      <c r="AP165" s="19" t="n">
        <f aca="false">IF(AND('Bonding Program'!$S$24=1,AP$3='Bonding Program'!$H$24),'Bonding Program'!$AA$24,0)-IF(AP$3&lt;='Bonding Program'!$C$8,IF(AND('Bonding Program'!$K$24&lt;&gt;"",AP$3='Bonding Program'!$K$24),'Bonding Program'!$J$24,0)-IF(AND('Bonding Program'!$M$24&lt;&gt;"",AP$3='Bonding Program'!$M$24),'Bonding Program'!$L$24,0)-IF(AND('Bonding Program'!$P$24&lt;&gt;"",AP$3='Bonding Program'!$P$24),'Bonding Program'!$O$24,0)-IF(AND('Bonding Program'!$R$24&lt;&gt;"",AP$3='Bonding Program'!$R$24),'Bonding Program'!$Q$24,0),0)</f>
        <v>0</v>
      </c>
      <c r="AQ165" s="19" t="n">
        <f aca="false">IF(AND('Bonding Program'!$S$24=1,AQ$3='Bonding Program'!$H$24),'Bonding Program'!$AA$24,0)-IF(AQ$3&lt;='Bonding Program'!$C$8,IF(AND('Bonding Program'!$K$24&lt;&gt;"",AQ$3='Bonding Program'!$K$24),'Bonding Program'!$J$24,0)-IF(AND('Bonding Program'!$M$24&lt;&gt;"",AQ$3='Bonding Program'!$M$24),'Bonding Program'!$L$24,0)-IF(AND('Bonding Program'!$P$24&lt;&gt;"",AQ$3='Bonding Program'!$P$24),'Bonding Program'!$O$24,0)-IF(AND('Bonding Program'!$R$24&lt;&gt;"",AQ$3='Bonding Program'!$R$24),'Bonding Program'!$Q$24,0),0)</f>
        <v>0</v>
      </c>
      <c r="AR165" s="19" t="n">
        <f aca="false">IF(AND('Bonding Program'!$S$24=1,AR$3='Bonding Program'!$H$24),'Bonding Program'!$AA$24,0)-IF(AR$3&lt;='Bonding Program'!$C$8,IF(AND('Bonding Program'!$K$24&lt;&gt;"",AR$3='Bonding Program'!$K$24),'Bonding Program'!$J$24,0)-IF(AND('Bonding Program'!$M$24&lt;&gt;"",AR$3='Bonding Program'!$M$24),'Bonding Program'!$L$24,0)-IF(AND('Bonding Program'!$P$24&lt;&gt;"",AR$3='Bonding Program'!$P$24),'Bonding Program'!$O$24,0)-IF(AND('Bonding Program'!$R$24&lt;&gt;"",AR$3='Bonding Program'!$R$24),'Bonding Program'!$Q$24,0),0)</f>
        <v>0</v>
      </c>
      <c r="AS165" s="19" t="n">
        <f aca="false">IF(AND('Bonding Program'!$S$24=1,AS$3='Bonding Program'!$H$24),'Bonding Program'!$AA$24,0)-IF(AS$3&lt;='Bonding Program'!$C$8,IF(AND('Bonding Program'!$K$24&lt;&gt;"",AS$3='Bonding Program'!$K$24),'Bonding Program'!$J$24,0)-IF(AND('Bonding Program'!$M$24&lt;&gt;"",AS$3='Bonding Program'!$M$24),'Bonding Program'!$L$24,0)-IF(AND('Bonding Program'!$P$24&lt;&gt;"",AS$3='Bonding Program'!$P$24),'Bonding Program'!$O$24,0)-IF(AND('Bonding Program'!$R$24&lt;&gt;"",AS$3='Bonding Program'!$R$24),'Bonding Program'!$Q$24,0),0)</f>
        <v>0</v>
      </c>
      <c r="AT165" s="19" t="n">
        <f aca="false">IF(AND('Bonding Program'!$S$24=1,AT$3='Bonding Program'!$H$24),'Bonding Program'!$AA$24,0)-IF(AT$3&lt;='Bonding Program'!$C$8,IF(AND('Bonding Program'!$K$24&lt;&gt;"",AT$3='Bonding Program'!$K$24),'Bonding Program'!$J$24,0)-IF(AND('Bonding Program'!$M$24&lt;&gt;"",AT$3='Bonding Program'!$M$24),'Bonding Program'!$L$24,0)-IF(AND('Bonding Program'!$P$24&lt;&gt;"",AT$3='Bonding Program'!$P$24),'Bonding Program'!$O$24,0)-IF(AND('Bonding Program'!$R$24&lt;&gt;"",AT$3='Bonding Program'!$R$24),'Bonding Program'!$Q$24,0),0)</f>
        <v>0</v>
      </c>
      <c r="AU165" s="19" t="n">
        <f aca="false">IF(AND('Bonding Program'!$S$24=1,AU$3='Bonding Program'!$H$24),'Bonding Program'!$AA$24,0)-IF(AU$3&lt;='Bonding Program'!$C$8,IF(AND('Bonding Program'!$K$24&lt;&gt;"",AU$3='Bonding Program'!$K$24),'Bonding Program'!$J$24,0)-IF(AND('Bonding Program'!$M$24&lt;&gt;"",AU$3='Bonding Program'!$M$24),'Bonding Program'!$L$24,0)-IF(AND('Bonding Program'!$P$24&lt;&gt;"",AU$3='Bonding Program'!$P$24),'Bonding Program'!$O$24,0)-IF(AND('Bonding Program'!$R$24&lt;&gt;"",AU$3='Bonding Program'!$R$24),'Bonding Program'!$Q$24,0),0)</f>
        <v>0</v>
      </c>
      <c r="AV165" s="19" t="n">
        <f aca="false">IF(AND('Bonding Program'!$S$24=1,AV$3='Bonding Program'!$H$24),'Bonding Program'!$AA$24,0)-IF(AV$3&lt;='Bonding Program'!$C$8,IF(AND('Bonding Program'!$K$24&lt;&gt;"",AV$3='Bonding Program'!$K$24),'Bonding Program'!$J$24,0)-IF(AND('Bonding Program'!$M$24&lt;&gt;"",AV$3='Bonding Program'!$M$24),'Bonding Program'!$L$24,0)-IF(AND('Bonding Program'!$P$24&lt;&gt;"",AV$3='Bonding Program'!$P$24),'Bonding Program'!$O$24,0)-IF(AND('Bonding Program'!$R$24&lt;&gt;"",AV$3='Bonding Program'!$R$24),'Bonding Program'!$Q$24,0),0)</f>
        <v>0</v>
      </c>
      <c r="AW165" s="19" t="n">
        <f aca="false">IF(AND('Bonding Program'!$S$24=1,AW$3='Bonding Program'!$H$24),'Bonding Program'!$AA$24,0)-IF(AW$3&lt;='Bonding Program'!$C$8,IF(AND('Bonding Program'!$K$24&lt;&gt;"",AW$3='Bonding Program'!$K$24),'Bonding Program'!$J$24,0)-IF(AND('Bonding Program'!$M$24&lt;&gt;"",AW$3='Bonding Program'!$M$24),'Bonding Program'!$L$24,0)-IF(AND('Bonding Program'!$P$24&lt;&gt;"",AW$3='Bonding Program'!$P$24),'Bonding Program'!$O$24,0)-IF(AND('Bonding Program'!$R$24&lt;&gt;"",AW$3='Bonding Program'!$R$24),'Bonding Program'!$Q$24,0),0)</f>
        <v>0</v>
      </c>
      <c r="AX165" s="19" t="n">
        <f aca="false">IF(AND('Bonding Program'!$S$24=1,AX$3='Bonding Program'!$H$24),'Bonding Program'!$AA$24,0)-IF(AX$3&lt;='Bonding Program'!$C$8,IF(AND('Bonding Program'!$K$24&lt;&gt;"",AX$3='Bonding Program'!$K$24),'Bonding Program'!$J$24,0)-IF(AND('Bonding Program'!$M$24&lt;&gt;"",AX$3='Bonding Program'!$M$24),'Bonding Program'!$L$24,0)-IF(AND('Bonding Program'!$P$24&lt;&gt;"",AX$3='Bonding Program'!$P$24),'Bonding Program'!$O$24,0)-IF(AND('Bonding Program'!$R$24&lt;&gt;"",AX$3='Bonding Program'!$R$24),'Bonding Program'!$Q$24,0),0)</f>
        <v>0</v>
      </c>
      <c r="AY165" s="19" t="n">
        <f aca="false">IF(AND('Bonding Program'!$S$24=1,AY$3='Bonding Program'!$H$24),'Bonding Program'!$AA$24,0)-IF(AY$3&lt;='Bonding Program'!$C$8,IF(AND('Bonding Program'!$K$24&lt;&gt;"",AY$3='Bonding Program'!$K$24),'Bonding Program'!$J$24,0)-IF(AND('Bonding Program'!$M$24&lt;&gt;"",AY$3='Bonding Program'!$M$24),'Bonding Program'!$L$24,0)-IF(AND('Bonding Program'!$P$24&lt;&gt;"",AY$3='Bonding Program'!$P$24),'Bonding Program'!$O$24,0)-IF(AND('Bonding Program'!$R$24&lt;&gt;"",AY$3='Bonding Program'!$R$24),'Bonding Program'!$Q$24,0),0)</f>
        <v>0</v>
      </c>
      <c r="AZ165" s="19" t="n">
        <f aca="false">IF(AND('Bonding Program'!$S$24=1,AZ$3='Bonding Program'!$H$24),'Bonding Program'!$AA$24,0)-IF(AZ$3&lt;='Bonding Program'!$C$8,IF(AND('Bonding Program'!$K$24&lt;&gt;"",AZ$3='Bonding Program'!$K$24),'Bonding Program'!$J$24,0)-IF(AND('Bonding Program'!$M$24&lt;&gt;"",AZ$3='Bonding Program'!$M$24),'Bonding Program'!$L$24,0)-IF(AND('Bonding Program'!$P$24&lt;&gt;"",AZ$3='Bonding Program'!$P$24),'Bonding Program'!$O$24,0)-IF(AND('Bonding Program'!$R$24&lt;&gt;"",AZ$3='Bonding Program'!$R$24),'Bonding Program'!$Q$24,0),0)</f>
        <v>0</v>
      </c>
      <c r="BA165" s="19" t="n">
        <f aca="false">IF(AND('Bonding Program'!$S$24=1,BA$3='Bonding Program'!$H$24),'Bonding Program'!$AA$24,0)-IF(BA$3&lt;='Bonding Program'!$C$8,IF(AND('Bonding Program'!$K$24&lt;&gt;"",BA$3='Bonding Program'!$K$24),'Bonding Program'!$J$24,0)-IF(AND('Bonding Program'!$M$24&lt;&gt;"",BA$3='Bonding Program'!$M$24),'Bonding Program'!$L$24,0)-IF(AND('Bonding Program'!$P$24&lt;&gt;"",BA$3='Bonding Program'!$P$24),'Bonding Program'!$O$24,0)-IF(AND('Bonding Program'!$R$24&lt;&gt;"",BA$3='Bonding Program'!$R$24),'Bonding Program'!$Q$24,0),0)</f>
        <v>0</v>
      </c>
      <c r="BB165" s="19" t="n">
        <f aca="false">IF(AND('Bonding Program'!$S$24=1,BB$3='Bonding Program'!$H$24),'Bonding Program'!$AA$24,0)-IF(BB$3&lt;='Bonding Program'!$C$8,IF(AND('Bonding Program'!$K$24&lt;&gt;"",BB$3='Bonding Program'!$K$24),'Bonding Program'!$J$24,0)-IF(AND('Bonding Program'!$M$24&lt;&gt;"",BB$3='Bonding Program'!$M$24),'Bonding Program'!$L$24,0)-IF(AND('Bonding Program'!$P$24&lt;&gt;"",BB$3='Bonding Program'!$P$24),'Bonding Program'!$O$24,0)-IF(AND('Bonding Program'!$R$24&lt;&gt;"",BB$3='Bonding Program'!$R$24),'Bonding Program'!$Q$24,0),0)</f>
        <v>0</v>
      </c>
      <c r="BC165" s="19" t="n">
        <f aca="false">IF(AND('Bonding Program'!$S$24=1,BC$3='Bonding Program'!$H$24),'Bonding Program'!$AA$24,0)-IF(BC$3&lt;='Bonding Program'!$C$8,IF(AND('Bonding Program'!$K$24&lt;&gt;"",BC$3='Bonding Program'!$K$24),'Bonding Program'!$J$24,0)-IF(AND('Bonding Program'!$M$24&lt;&gt;"",BC$3='Bonding Program'!$M$24),'Bonding Program'!$L$24,0)-IF(AND('Bonding Program'!$P$24&lt;&gt;"",BC$3='Bonding Program'!$P$24),'Bonding Program'!$O$24,0)-IF(AND('Bonding Program'!$R$24&lt;&gt;"",BC$3='Bonding Program'!$R$24),'Bonding Program'!$Q$24,0),0)</f>
        <v>0</v>
      </c>
      <c r="BD165" s="19" t="n">
        <f aca="false">IF(AND('Bonding Program'!$S$24=1,BD$3='Bonding Program'!$H$24),'Bonding Program'!$AA$24,0)-IF(BD$3&lt;='Bonding Program'!$C$8,IF(AND('Bonding Program'!$K$24&lt;&gt;"",BD$3='Bonding Program'!$K$24),'Bonding Program'!$J$24,0)-IF(AND('Bonding Program'!$M$24&lt;&gt;"",BD$3='Bonding Program'!$M$24),'Bonding Program'!$L$24,0)-IF(AND('Bonding Program'!$P$24&lt;&gt;"",BD$3='Bonding Program'!$P$24),'Bonding Program'!$O$24,0)-IF(AND('Bonding Program'!$R$24&lt;&gt;"",BD$3='Bonding Program'!$R$24),'Bonding Program'!$Q$24,0),0)</f>
        <v>0</v>
      </c>
      <c r="BE165" s="19" t="n">
        <f aca="false">IF(AND('Bonding Program'!$S$24=1,BE$3='Bonding Program'!$H$24),'Bonding Program'!$AA$24,0)-IF(BE$3&lt;='Bonding Program'!$C$8,IF(AND('Bonding Program'!$K$24&lt;&gt;"",BE$3='Bonding Program'!$K$24),'Bonding Program'!$J$24,0)-IF(AND('Bonding Program'!$M$24&lt;&gt;"",BE$3='Bonding Program'!$M$24),'Bonding Program'!$L$24,0)-IF(AND('Bonding Program'!$P$24&lt;&gt;"",BE$3='Bonding Program'!$P$24),'Bonding Program'!$O$24,0)-IF(AND('Bonding Program'!$R$24&lt;&gt;"",BE$3='Bonding Program'!$R$24),'Bonding Program'!$Q$24,0),0)</f>
        <v>0</v>
      </c>
      <c r="BF165" s="19" t="n">
        <f aca="false">IF(AND('Bonding Program'!$S$24=1,BF$3='Bonding Program'!$H$24),'Bonding Program'!$AA$24,0)-IF(BF$3&lt;='Bonding Program'!$C$8,IF(AND('Bonding Program'!$K$24&lt;&gt;"",BF$3='Bonding Program'!$K$24),'Bonding Program'!$J$24,0)-IF(AND('Bonding Program'!$M$24&lt;&gt;"",BF$3='Bonding Program'!$M$24),'Bonding Program'!$L$24,0)-IF(AND('Bonding Program'!$P$24&lt;&gt;"",BF$3='Bonding Program'!$P$24),'Bonding Program'!$O$24,0)-IF(AND('Bonding Program'!$R$24&lt;&gt;"",BF$3='Bonding Program'!$R$24),'Bonding Program'!$Q$24,0),0)</f>
        <v>0</v>
      </c>
      <c r="BG165" s="19" t="n">
        <f aca="false">IF(AND('Bonding Program'!$S$24=1,BG$3='Bonding Program'!$H$24),'Bonding Program'!$AA$24,0)-IF(BG$3&lt;='Bonding Program'!$C$8,IF(AND('Bonding Program'!$K$24&lt;&gt;"",BG$3='Bonding Program'!$K$24),'Bonding Program'!$J$24,0)-IF(AND('Bonding Program'!$M$24&lt;&gt;"",BG$3='Bonding Program'!$M$24),'Bonding Program'!$L$24,0)-IF(AND('Bonding Program'!$P$24&lt;&gt;"",BG$3='Bonding Program'!$P$24),'Bonding Program'!$O$24,0)-IF(AND('Bonding Program'!$R$24&lt;&gt;"",BG$3='Bonding Program'!$R$24),'Bonding Program'!$Q$24,0),0)</f>
        <v>0</v>
      </c>
      <c r="BH165" s="19" t="n">
        <f aca="false">IF(AND('Bonding Program'!$S$24=1,BH$3='Bonding Program'!$H$24),'Bonding Program'!$AA$24,0)-IF(BH$3&lt;='Bonding Program'!$C$8,IF(AND('Bonding Program'!$K$24&lt;&gt;"",BH$3='Bonding Program'!$K$24),'Bonding Program'!$J$24,0)-IF(AND('Bonding Program'!$M$24&lt;&gt;"",BH$3='Bonding Program'!$M$24),'Bonding Program'!$L$24,0)-IF(AND('Bonding Program'!$P$24&lt;&gt;"",BH$3='Bonding Program'!$P$24),'Bonding Program'!$O$24,0)-IF(AND('Bonding Program'!$R$24&lt;&gt;"",BH$3='Bonding Program'!$R$24),'Bonding Program'!$Q$24,0),0)</f>
        <v>0</v>
      </c>
      <c r="BI165" s="19" t="n">
        <f aca="false">IF(AND('Bonding Program'!$S$24=1,BI$3='Bonding Program'!$H$24),'Bonding Program'!$AA$24,0)-IF(BI$3&lt;='Bonding Program'!$C$8,IF(AND('Bonding Program'!$K$24&lt;&gt;"",BI$3='Bonding Program'!$K$24),'Bonding Program'!$J$24,0)-IF(AND('Bonding Program'!$M$24&lt;&gt;"",BI$3='Bonding Program'!$M$24),'Bonding Program'!$L$24,0)-IF(AND('Bonding Program'!$P$24&lt;&gt;"",BI$3='Bonding Program'!$P$24),'Bonding Program'!$O$24,0)-IF(AND('Bonding Program'!$R$24&lt;&gt;"",BI$3='Bonding Program'!$R$24),'Bonding Program'!$Q$24,0),0)</f>
        <v>0</v>
      </c>
      <c r="BJ165" s="19" t="n">
        <f aca="false">IF(AND('Bonding Program'!$S$24=1,BJ$3='Bonding Program'!$H$24),'Bonding Program'!$AA$24,0)-IF(BJ$3&lt;='Bonding Program'!$C$8,IF(AND('Bonding Program'!$K$24&lt;&gt;"",BJ$3='Bonding Program'!$K$24),'Bonding Program'!$J$24,0)-IF(AND('Bonding Program'!$M$24&lt;&gt;"",BJ$3='Bonding Program'!$M$24),'Bonding Program'!$L$24,0)-IF(AND('Bonding Program'!$P$24&lt;&gt;"",BJ$3='Bonding Program'!$P$24),'Bonding Program'!$O$24,0)-IF(AND('Bonding Program'!$R$24&lt;&gt;"",BJ$3='Bonding Program'!$R$24),'Bonding Program'!$Q$24,0),0)</f>
        <v>0</v>
      </c>
      <c r="BK165" s="19" t="n">
        <f aca="false">IF(AND('Bonding Program'!$S$24=1,BK$3='Bonding Program'!$H$24),'Bonding Program'!$AA$24,0)-IF(BK$3&lt;='Bonding Program'!$C$8,IF(AND('Bonding Program'!$K$24&lt;&gt;"",BK$3='Bonding Program'!$K$24),'Bonding Program'!$J$24,0)-IF(AND('Bonding Program'!$M$24&lt;&gt;"",BK$3='Bonding Program'!$M$24),'Bonding Program'!$L$24,0)-IF(AND('Bonding Program'!$P$24&lt;&gt;"",BK$3='Bonding Program'!$P$24),'Bonding Program'!$O$24,0)-IF(AND('Bonding Program'!$R$24&lt;&gt;"",BK$3='Bonding Program'!$R$24),'Bonding Program'!$Q$24,0),0)</f>
        <v>0</v>
      </c>
      <c r="BL165" s="19" t="n">
        <f aca="false">IF(AND('Bonding Program'!$S$24=1,BL$3='Bonding Program'!$H$24),'Bonding Program'!$AA$24,0)-IF(BL$3&lt;='Bonding Program'!$C$8,IF(AND('Bonding Program'!$K$24&lt;&gt;"",BL$3='Bonding Program'!$K$24),'Bonding Program'!$J$24,0)-IF(AND('Bonding Program'!$M$24&lt;&gt;"",BL$3='Bonding Program'!$M$24),'Bonding Program'!$L$24,0)-IF(AND('Bonding Program'!$P$24&lt;&gt;"",BL$3='Bonding Program'!$P$24),'Bonding Program'!$O$24,0)-IF(AND('Bonding Program'!$R$24&lt;&gt;"",BL$3='Bonding Program'!$R$24),'Bonding Program'!$Q$24,0),0)</f>
        <v>0</v>
      </c>
      <c r="BM165" s="19" t="n">
        <f aca="false">IF(AND('Bonding Program'!$S$24=1,BM$3='Bonding Program'!$H$24),'Bonding Program'!$AA$24,0)-IF(BM$3&lt;='Bonding Program'!$C$8,IF(AND('Bonding Program'!$K$24&lt;&gt;"",BM$3='Bonding Program'!$K$24),'Bonding Program'!$J$24,0)-IF(AND('Bonding Program'!$M$24&lt;&gt;"",BM$3='Bonding Program'!$M$24),'Bonding Program'!$L$24,0)-IF(AND('Bonding Program'!$P$24&lt;&gt;"",BM$3='Bonding Program'!$P$24),'Bonding Program'!$O$24,0)-IF(AND('Bonding Program'!$R$24&lt;&gt;"",BM$3='Bonding Program'!$R$24),'Bonding Program'!$Q$24,0),0)</f>
        <v>0</v>
      </c>
      <c r="BN165" s="19" t="n">
        <f aca="false">IF(AND('Bonding Program'!$S$24=1,BN$3='Bonding Program'!$H$24),'Bonding Program'!$AA$24,0)-IF(BN$3&lt;='Bonding Program'!$C$8,IF(AND('Bonding Program'!$K$24&lt;&gt;"",BN$3='Bonding Program'!$K$24),'Bonding Program'!$J$24,0)-IF(AND('Bonding Program'!$M$24&lt;&gt;"",BN$3='Bonding Program'!$M$24),'Bonding Program'!$L$24,0)-IF(AND('Bonding Program'!$P$24&lt;&gt;"",BN$3='Bonding Program'!$P$24),'Bonding Program'!$O$24,0)-IF(AND('Bonding Program'!$R$24&lt;&gt;"",BN$3='Bonding Program'!$R$24),'Bonding Program'!$Q$24,0),0)</f>
        <v>0</v>
      </c>
      <c r="BO165" s="19" t="n">
        <f aca="false">IF(AND('Bonding Program'!$S$24=1,BO$3='Bonding Program'!$H$24),'Bonding Program'!$AA$24,0)-IF(BO$3&lt;='Bonding Program'!$C$8,IF(AND('Bonding Program'!$K$24&lt;&gt;"",BO$3='Bonding Program'!$K$24),'Bonding Program'!$J$24,0)-IF(AND('Bonding Program'!$M$24&lt;&gt;"",BO$3='Bonding Program'!$M$24),'Bonding Program'!$L$24,0)-IF(AND('Bonding Program'!$P$24&lt;&gt;"",BO$3='Bonding Program'!$P$24),'Bonding Program'!$O$24,0)-IF(AND('Bonding Program'!$R$24&lt;&gt;"",BO$3='Bonding Program'!$R$24),'Bonding Program'!$Q$24,0),0)</f>
        <v>0</v>
      </c>
      <c r="BP165" s="19" t="n">
        <f aca="false">IF(AND('Bonding Program'!$S$24=1,BP$3='Bonding Program'!$H$24),'Bonding Program'!$AA$24,0)-IF(BP$3&lt;='Bonding Program'!$C$8,IF(AND('Bonding Program'!$K$24&lt;&gt;"",BP$3='Bonding Program'!$K$24),'Bonding Program'!$J$24,0)-IF(AND('Bonding Program'!$M$24&lt;&gt;"",BP$3='Bonding Program'!$M$24),'Bonding Program'!$L$24,0)-IF(AND('Bonding Program'!$P$24&lt;&gt;"",BP$3='Bonding Program'!$P$24),'Bonding Program'!$O$24,0)-IF(AND('Bonding Program'!$R$24&lt;&gt;"",BP$3='Bonding Program'!$R$24),'Bonding Program'!$Q$24,0),0)</f>
        <v>0</v>
      </c>
      <c r="BQ165" s="19" t="n">
        <f aca="false">IF(AND('Bonding Program'!$S$24=1,BQ$3='Bonding Program'!$H$24),'Bonding Program'!$AA$24,0)-IF(BQ$3&lt;='Bonding Program'!$C$8,IF(AND('Bonding Program'!$K$24&lt;&gt;"",BQ$3='Bonding Program'!$K$24),'Bonding Program'!$J$24,0)-IF(AND('Bonding Program'!$M$24&lt;&gt;"",BQ$3='Bonding Program'!$M$24),'Bonding Program'!$L$24,0)-IF(AND('Bonding Program'!$P$24&lt;&gt;"",BQ$3='Bonding Program'!$P$24),'Bonding Program'!$O$24,0)-IF(AND('Bonding Program'!$R$24&lt;&gt;"",BQ$3='Bonding Program'!$R$24),'Bonding Program'!$Q$24,0),0)</f>
        <v>0</v>
      </c>
      <c r="BR165" s="19" t="n">
        <f aca="false">IF(AND('Bonding Program'!$S$24=1,BR$3='Bonding Program'!$H$24),'Bonding Program'!$AA$24,0)-IF(BR$3&lt;='Bonding Program'!$C$8,IF(AND('Bonding Program'!$K$24&lt;&gt;"",BR$3='Bonding Program'!$K$24),'Bonding Program'!$J$24,0)-IF(AND('Bonding Program'!$M$24&lt;&gt;"",BR$3='Bonding Program'!$M$24),'Bonding Program'!$L$24,0)-IF(AND('Bonding Program'!$P$24&lt;&gt;"",BR$3='Bonding Program'!$P$24),'Bonding Program'!$O$24,0)-IF(AND('Bonding Program'!$R$24&lt;&gt;"",BR$3='Bonding Program'!$R$24),'Bonding Program'!$Q$24,0),0)</f>
        <v>0</v>
      </c>
      <c r="BS165" s="19" t="n">
        <f aca="false">IF(AND('Bonding Program'!$S$24=1,BS$3='Bonding Program'!$H$24),'Bonding Program'!$AA$24,0)-IF(BS$3&lt;='Bonding Program'!$C$8,IF(AND('Bonding Program'!$K$24&lt;&gt;"",BS$3='Bonding Program'!$K$24),'Bonding Program'!$J$24,0)-IF(AND('Bonding Program'!$M$24&lt;&gt;"",BS$3='Bonding Program'!$M$24),'Bonding Program'!$L$24,0)-IF(AND('Bonding Program'!$P$24&lt;&gt;"",BS$3='Bonding Program'!$P$24),'Bonding Program'!$O$24,0)-IF(AND('Bonding Program'!$R$24&lt;&gt;"",BS$3='Bonding Program'!$R$24),'Bonding Program'!$Q$24,0),0)</f>
        <v>0</v>
      </c>
      <c r="BT165" s="19" t="n">
        <f aca="false">IF(AND('Bonding Program'!$S$24=1,BT$3='Bonding Program'!$H$24),'Bonding Program'!$AA$24,0)-IF(BT$3&lt;='Bonding Program'!$C$8,IF(AND('Bonding Program'!$K$24&lt;&gt;"",BT$3='Bonding Program'!$K$24),'Bonding Program'!$J$24,0)-IF(AND('Bonding Program'!$M$24&lt;&gt;"",BT$3='Bonding Program'!$M$24),'Bonding Program'!$L$24,0)-IF(AND('Bonding Program'!$P$24&lt;&gt;"",BT$3='Bonding Program'!$P$24),'Bonding Program'!$O$24,0)-IF(AND('Bonding Program'!$R$24&lt;&gt;"",BT$3='Bonding Program'!$R$24),'Bonding Program'!$Q$24,0),0)</f>
        <v>0</v>
      </c>
      <c r="BU165" s="19" t="n">
        <f aca="false">IF(AND('Bonding Program'!$S$24=1,BU$3='Bonding Program'!$H$24),'Bonding Program'!$AA$24,0)-IF(BU$3&lt;='Bonding Program'!$C$8,IF(AND('Bonding Program'!$K$24&lt;&gt;"",BU$3='Bonding Program'!$K$24),'Bonding Program'!$J$24,0)-IF(AND('Bonding Program'!$M$24&lt;&gt;"",BU$3='Bonding Program'!$M$24),'Bonding Program'!$L$24,0)-IF(AND('Bonding Program'!$P$24&lt;&gt;"",BU$3='Bonding Program'!$P$24),'Bonding Program'!$O$24,0)-IF(AND('Bonding Program'!$R$24&lt;&gt;"",BU$3='Bonding Program'!$R$24),'Bonding Program'!$Q$24,0),0)</f>
        <v>0</v>
      </c>
      <c r="BV165" s="19" t="n">
        <f aca="false">IF(AND('Bonding Program'!$S$24=1,BV$3='Bonding Program'!$H$24),'Bonding Program'!$AA$24,0)-IF(BV$3&lt;='Bonding Program'!$C$8,IF(AND('Bonding Program'!$K$24&lt;&gt;"",BV$3='Bonding Program'!$K$24),'Bonding Program'!$J$24,0)-IF(AND('Bonding Program'!$M$24&lt;&gt;"",BV$3='Bonding Program'!$M$24),'Bonding Program'!$L$24,0)-IF(AND('Bonding Program'!$P$24&lt;&gt;"",BV$3='Bonding Program'!$P$24),'Bonding Program'!$O$24,0)-IF(AND('Bonding Program'!$R$24&lt;&gt;"",BV$3='Bonding Program'!$R$24),'Bonding Program'!$Q$24,0),0)</f>
        <v>0</v>
      </c>
      <c r="BW165" s="19" t="n">
        <f aca="false">IF(AND('Bonding Program'!$S$24=1,BW$3='Bonding Program'!$H$24),'Bonding Program'!$AA$24,0)-IF(BW$3&lt;='Bonding Program'!$C$8,IF(AND('Bonding Program'!$K$24&lt;&gt;"",BW$3='Bonding Program'!$K$24),'Bonding Program'!$J$24,0)-IF(AND('Bonding Program'!$M$24&lt;&gt;"",BW$3='Bonding Program'!$M$24),'Bonding Program'!$L$24,0)-IF(AND('Bonding Program'!$P$24&lt;&gt;"",BW$3='Bonding Program'!$P$24),'Bonding Program'!$O$24,0)-IF(AND('Bonding Program'!$R$24&lt;&gt;"",BW$3='Bonding Program'!$R$24),'Bonding Program'!$Q$24,0),0)</f>
        <v>0</v>
      </c>
      <c r="BX165" s="19" t="n">
        <f aca="false">IF(AND('Bonding Program'!$S$24=1,BX$3='Bonding Program'!$H$24),'Bonding Program'!$AA$24,0)-IF(BX$3&lt;='Bonding Program'!$C$8,IF(AND('Bonding Program'!$K$24&lt;&gt;"",BX$3='Bonding Program'!$K$24),'Bonding Program'!$J$24,0)-IF(AND('Bonding Program'!$M$24&lt;&gt;"",BX$3='Bonding Program'!$M$24),'Bonding Program'!$L$24,0)-IF(AND('Bonding Program'!$P$24&lt;&gt;"",BX$3='Bonding Program'!$P$24),'Bonding Program'!$O$24,0)-IF(AND('Bonding Program'!$R$24&lt;&gt;"",BX$3='Bonding Program'!$R$24),'Bonding Program'!$Q$24,0),0)</f>
        <v>0</v>
      </c>
      <c r="BY165" s="19" t="n">
        <f aca="false">IF(AND('Bonding Program'!$S$24=1,BY$3='Bonding Program'!$H$24),'Bonding Program'!$AA$24,0)-IF(BY$3&lt;='Bonding Program'!$C$8,IF(AND('Bonding Program'!$K$24&lt;&gt;"",BY$3='Bonding Program'!$K$24),'Bonding Program'!$J$24,0)-IF(AND('Bonding Program'!$M$24&lt;&gt;"",BY$3='Bonding Program'!$M$24),'Bonding Program'!$L$24,0)-IF(AND('Bonding Program'!$P$24&lt;&gt;"",BY$3='Bonding Program'!$P$24),'Bonding Program'!$O$24,0)-IF(AND('Bonding Program'!$R$24&lt;&gt;"",BY$3='Bonding Program'!$R$24),'Bonding Program'!$Q$24,0),0)</f>
        <v>0</v>
      </c>
      <c r="BZ165" s="19" t="n">
        <f aca="false">IF(AND('Bonding Program'!$S$24=1,BZ$3='Bonding Program'!$H$24),'Bonding Program'!$AA$24,0)-IF(BZ$3&lt;='Bonding Program'!$C$8,IF(AND('Bonding Program'!$K$24&lt;&gt;"",BZ$3='Bonding Program'!$K$24),'Bonding Program'!$J$24,0)-IF(AND('Bonding Program'!$M$24&lt;&gt;"",BZ$3='Bonding Program'!$M$24),'Bonding Program'!$L$24,0)-IF(AND('Bonding Program'!$P$24&lt;&gt;"",BZ$3='Bonding Program'!$P$24),'Bonding Program'!$O$24,0)-IF(AND('Bonding Program'!$R$24&lt;&gt;"",BZ$3='Bonding Program'!$R$24),'Bonding Program'!$Q$24,0),0)</f>
        <v>0</v>
      </c>
      <c r="CA165" s="19" t="n">
        <f aca="false">IF(AND('Bonding Program'!$S$24=1,CA$3='Bonding Program'!$H$24),'Bonding Program'!$AA$24,0)-IF(CA$3&lt;='Bonding Program'!$C$8,IF(AND('Bonding Program'!$K$24&lt;&gt;"",CA$3='Bonding Program'!$K$24),'Bonding Program'!$J$24,0)-IF(AND('Bonding Program'!$M$24&lt;&gt;"",CA$3='Bonding Program'!$M$24),'Bonding Program'!$L$24,0)-IF(AND('Bonding Program'!$P$24&lt;&gt;"",CA$3='Bonding Program'!$P$24),'Bonding Program'!$O$24,0)-IF(AND('Bonding Program'!$R$24&lt;&gt;"",CA$3='Bonding Program'!$R$24),'Bonding Program'!$Q$24,0),0)</f>
        <v>0</v>
      </c>
      <c r="CB165" s="19" t="n">
        <f aca="false">IF(AND('Bonding Program'!$S$24=1,CB$3='Bonding Program'!$H$24),'Bonding Program'!$AA$24,0)-IF(CB$3&lt;='Bonding Program'!$C$8,IF(AND('Bonding Program'!$K$24&lt;&gt;"",CB$3='Bonding Program'!$K$24),'Bonding Program'!$J$24,0)-IF(AND('Bonding Program'!$M$24&lt;&gt;"",CB$3='Bonding Program'!$M$24),'Bonding Program'!$L$24,0)-IF(AND('Bonding Program'!$P$24&lt;&gt;"",CB$3='Bonding Program'!$P$24),'Bonding Program'!$O$24,0)-IF(AND('Bonding Program'!$R$24&lt;&gt;"",CB$3='Bonding Program'!$R$24),'Bonding Program'!$Q$24,0),0)</f>
        <v>0</v>
      </c>
      <c r="CC165" s="19" t="n">
        <f aca="false">IF(AND('Bonding Program'!$S$24=1,CC$3='Bonding Program'!$H$24),'Bonding Program'!$AA$24,0)-IF(CC$3&lt;='Bonding Program'!$C$8,IF(AND('Bonding Program'!$K$24&lt;&gt;"",CC$3='Bonding Program'!$K$24),'Bonding Program'!$J$24,0)-IF(AND('Bonding Program'!$M$24&lt;&gt;"",CC$3='Bonding Program'!$M$24),'Bonding Program'!$L$24,0)-IF(AND('Bonding Program'!$P$24&lt;&gt;"",CC$3='Bonding Program'!$P$24),'Bonding Program'!$O$24,0)-IF(AND('Bonding Program'!$R$24&lt;&gt;"",CC$3='Bonding Program'!$R$24),'Bonding Program'!$Q$24,0),0)</f>
        <v>0</v>
      </c>
      <c r="CD165" s="19" t="n">
        <f aca="false">IF(AND('Bonding Program'!$S$24=1,CD$3='Bonding Program'!$H$24),'Bonding Program'!$AA$24,0)-IF(CD$3&lt;='Bonding Program'!$C$8,IF(AND('Bonding Program'!$K$24&lt;&gt;"",CD$3='Bonding Program'!$K$24),'Bonding Program'!$J$24,0)-IF(AND('Bonding Program'!$M$24&lt;&gt;"",CD$3='Bonding Program'!$M$24),'Bonding Program'!$L$24,0)-IF(AND('Bonding Program'!$P$24&lt;&gt;"",CD$3='Bonding Program'!$P$24),'Bonding Program'!$O$24,0)-IF(AND('Bonding Program'!$R$24&lt;&gt;"",CD$3='Bonding Program'!$R$24),'Bonding Program'!$Q$24,0),0)</f>
        <v>0</v>
      </c>
      <c r="CE165" s="19" t="n">
        <f aca="false">IF(AND('Bonding Program'!$S$24=1,CE$3='Bonding Program'!$H$24),'Bonding Program'!$AA$24,0)-IF(CE$3&lt;='Bonding Program'!$C$8,IF(AND('Bonding Program'!$K$24&lt;&gt;"",CE$3='Bonding Program'!$K$24),'Bonding Program'!$J$24,0)-IF(AND('Bonding Program'!$M$24&lt;&gt;"",CE$3='Bonding Program'!$M$24),'Bonding Program'!$L$24,0)-IF(AND('Bonding Program'!$P$24&lt;&gt;"",CE$3='Bonding Program'!$P$24),'Bonding Program'!$O$24,0)-IF(AND('Bonding Program'!$R$24&lt;&gt;"",CE$3='Bonding Program'!$R$24),'Bonding Program'!$Q$24,0),0)</f>
        <v>0</v>
      </c>
      <c r="CF165" s="19" t="n">
        <f aca="false">IF(AND('Bonding Program'!$S$24=1,CF$3='Bonding Program'!$H$24),'Bonding Program'!$AA$24,0)-IF(CF$3&lt;='Bonding Program'!$C$8,IF(AND('Bonding Program'!$K$24&lt;&gt;"",CF$3='Bonding Program'!$K$24),'Bonding Program'!$J$24,0)-IF(AND('Bonding Program'!$M$24&lt;&gt;"",CF$3='Bonding Program'!$M$24),'Bonding Program'!$L$24,0)-IF(AND('Bonding Program'!$P$24&lt;&gt;"",CF$3='Bonding Program'!$P$24),'Bonding Program'!$O$24,0)-IF(AND('Bonding Program'!$R$24&lt;&gt;"",CF$3='Bonding Program'!$R$24),'Bonding Program'!$Q$24,0),0)</f>
        <v>0</v>
      </c>
      <c r="CG165" s="19" t="n">
        <f aca="false">IF(AND('Bonding Program'!$S$24=1,CG$3='Bonding Program'!$H$24),'Bonding Program'!$AA$24,0)-IF(CG$3&lt;='Bonding Program'!$C$8,IF(AND('Bonding Program'!$K$24&lt;&gt;"",CG$3='Bonding Program'!$K$24),'Bonding Program'!$J$24,0)-IF(AND('Bonding Program'!$M$24&lt;&gt;"",CG$3='Bonding Program'!$M$24),'Bonding Program'!$L$24,0)-IF(AND('Bonding Program'!$P$24&lt;&gt;"",CG$3='Bonding Program'!$P$24),'Bonding Program'!$O$24,0)-IF(AND('Bonding Program'!$R$24&lt;&gt;"",CG$3='Bonding Program'!$R$24),'Bonding Program'!$Q$24,0),0)</f>
        <v>0</v>
      </c>
      <c r="CH165" s="19" t="n">
        <f aca="false">IF(AND('Bonding Program'!$S$24=1,CH$3='Bonding Program'!$H$24),'Bonding Program'!$AA$24,0)-IF(CH$3&lt;='Bonding Program'!$C$8,IF(AND('Bonding Program'!$K$24&lt;&gt;"",CH$3='Bonding Program'!$K$24),'Bonding Program'!$J$24,0)-IF(AND('Bonding Program'!$M$24&lt;&gt;"",CH$3='Bonding Program'!$M$24),'Bonding Program'!$L$24,0)-IF(AND('Bonding Program'!$P$24&lt;&gt;"",CH$3='Bonding Program'!$P$24),'Bonding Program'!$O$24,0)-IF(AND('Bonding Program'!$R$24&lt;&gt;"",CH$3='Bonding Program'!$R$24),'Bonding Program'!$Q$24,0),0)</f>
        <v>0</v>
      </c>
      <c r="CI165" s="19" t="n">
        <f aca="false">IF(AND('Bonding Program'!$S$24=1,CI$3='Bonding Program'!$H$24),'Bonding Program'!$AA$24,0)-IF(CI$3&lt;='Bonding Program'!$C$8,IF(AND('Bonding Program'!$K$24&lt;&gt;"",CI$3='Bonding Program'!$K$24),'Bonding Program'!$J$24,0)-IF(AND('Bonding Program'!$M$24&lt;&gt;"",CI$3='Bonding Program'!$M$24),'Bonding Program'!$L$24,0)-IF(AND('Bonding Program'!$P$24&lt;&gt;"",CI$3='Bonding Program'!$P$24),'Bonding Program'!$O$24,0)-IF(AND('Bonding Program'!$R$24&lt;&gt;"",CI$3='Bonding Program'!$R$24),'Bonding Program'!$Q$24,0),0)</f>
        <v>0</v>
      </c>
      <c r="CJ165" s="19" t="n">
        <f aca="false">IF(AND('Bonding Program'!$S$24=1,CJ$3='Bonding Program'!$H$24),'Bonding Program'!$AA$24,0)-IF(CJ$3&lt;='Bonding Program'!$C$8,IF(AND('Bonding Program'!$K$24&lt;&gt;"",CJ$3='Bonding Program'!$K$24),'Bonding Program'!$J$24,0)-IF(AND('Bonding Program'!$M$24&lt;&gt;"",CJ$3='Bonding Program'!$M$24),'Bonding Program'!$L$24,0)-IF(AND('Bonding Program'!$P$24&lt;&gt;"",CJ$3='Bonding Program'!$P$24),'Bonding Program'!$O$24,0)-IF(AND('Bonding Program'!$R$24&lt;&gt;"",CJ$3='Bonding Program'!$R$24),'Bonding Program'!$Q$24,0),0)</f>
        <v>0</v>
      </c>
      <c r="CK165" s="19" t="n">
        <f aca="false">IF(AND('Bonding Program'!$S$24=1,CK$3='Bonding Program'!$H$24),'Bonding Program'!$AA$24,0)-IF(CK$3&lt;='Bonding Program'!$C$8,IF(AND('Bonding Program'!$K$24&lt;&gt;"",CK$3='Bonding Program'!$K$24),'Bonding Program'!$J$24,0)-IF(AND('Bonding Program'!$M$24&lt;&gt;"",CK$3='Bonding Program'!$M$24),'Bonding Program'!$L$24,0)-IF(AND('Bonding Program'!$P$24&lt;&gt;"",CK$3='Bonding Program'!$P$24),'Bonding Program'!$O$24,0)-IF(AND('Bonding Program'!$R$24&lt;&gt;"",CK$3='Bonding Program'!$R$24),'Bonding Program'!$Q$24,0),0)</f>
        <v>0</v>
      </c>
      <c r="CL165" s="19" t="n">
        <f aca="false">IF(AND('Bonding Program'!$S$24=1,CL$3='Bonding Program'!$H$24),'Bonding Program'!$AA$24,0)-IF(CL$3&lt;='Bonding Program'!$C$8,IF(AND('Bonding Program'!$K$24&lt;&gt;"",CL$3='Bonding Program'!$K$24),'Bonding Program'!$J$24,0)-IF(AND('Bonding Program'!$M$24&lt;&gt;"",CL$3='Bonding Program'!$M$24),'Bonding Program'!$L$24,0)-IF(AND('Bonding Program'!$P$24&lt;&gt;"",CL$3='Bonding Program'!$P$24),'Bonding Program'!$O$24,0)-IF(AND('Bonding Program'!$R$24&lt;&gt;"",CL$3='Bonding Program'!$R$24),'Bonding Program'!$Q$24,0),0)</f>
        <v>0</v>
      </c>
      <c r="CM165" s="19" t="n">
        <f aca="false">IF(AND('Bonding Program'!$S$24=1,CM$3='Bonding Program'!$H$24),'Bonding Program'!$AA$24,0)-IF(CM$3&lt;='Bonding Program'!$C$8,IF(AND('Bonding Program'!$K$24&lt;&gt;"",CM$3='Bonding Program'!$K$24),'Bonding Program'!$J$24,0)-IF(AND('Bonding Program'!$M$24&lt;&gt;"",CM$3='Bonding Program'!$M$24),'Bonding Program'!$L$24,0)-IF(AND('Bonding Program'!$P$24&lt;&gt;"",CM$3='Bonding Program'!$P$24),'Bonding Program'!$O$24,0)-IF(AND('Bonding Program'!$R$24&lt;&gt;"",CM$3='Bonding Program'!$R$24),'Bonding Program'!$Q$24,0),0)</f>
        <v>0</v>
      </c>
      <c r="CN165" s="19" t="n">
        <f aca="false">IF(AND('Bonding Program'!$S$24=1,CN$3='Bonding Program'!$H$24),'Bonding Program'!$AA$24,0)-IF(CN$3&lt;='Bonding Program'!$C$8,IF(AND('Bonding Program'!$K$24&lt;&gt;"",CN$3='Bonding Program'!$K$24),'Bonding Program'!$J$24,0)-IF(AND('Bonding Program'!$M$24&lt;&gt;"",CN$3='Bonding Program'!$M$24),'Bonding Program'!$L$24,0)-IF(AND('Bonding Program'!$P$24&lt;&gt;"",CN$3='Bonding Program'!$P$24),'Bonding Program'!$O$24,0)-IF(AND('Bonding Program'!$R$24&lt;&gt;"",CN$3='Bonding Program'!$R$24),'Bonding Program'!$Q$24,0),0)</f>
        <v>0</v>
      </c>
      <c r="CO165" s="19" t="n">
        <f aca="false">IF(AND('Bonding Program'!$S$24=1,CO$3='Bonding Program'!$H$24),'Bonding Program'!$AA$24,0)-IF(CO$3&lt;='Bonding Program'!$C$8,IF(AND('Bonding Program'!$K$24&lt;&gt;"",CO$3='Bonding Program'!$K$24),'Bonding Program'!$J$24,0)-IF(AND('Bonding Program'!$M$24&lt;&gt;"",CO$3='Bonding Program'!$M$24),'Bonding Program'!$L$24,0)-IF(AND('Bonding Program'!$P$24&lt;&gt;"",CO$3='Bonding Program'!$P$24),'Bonding Program'!$O$24,0)-IF(AND('Bonding Program'!$R$24&lt;&gt;"",CO$3='Bonding Program'!$R$24),'Bonding Program'!$Q$24,0),0)</f>
        <v>0</v>
      </c>
      <c r="CP165" s="19" t="n">
        <f aca="false">IF(AND('Bonding Program'!$S$24=1,CP$3='Bonding Program'!$H$24),'Bonding Program'!$AA$24,0)-IF(CP$3&lt;='Bonding Program'!$C$8,IF(AND('Bonding Program'!$K$24&lt;&gt;"",CP$3='Bonding Program'!$K$24),'Bonding Program'!$J$24,0)-IF(AND('Bonding Program'!$M$24&lt;&gt;"",CP$3='Bonding Program'!$M$24),'Bonding Program'!$L$24,0)-IF(AND('Bonding Program'!$P$24&lt;&gt;"",CP$3='Bonding Program'!$P$24),'Bonding Program'!$O$24,0)-IF(AND('Bonding Program'!$R$24&lt;&gt;"",CP$3='Bonding Program'!$R$24),'Bonding Program'!$Q$24,0),0)</f>
        <v>0</v>
      </c>
      <c r="CQ165" s="19" t="n">
        <f aca="false">IF(AND('Bonding Program'!$S$24=1,CQ$3='Bonding Program'!$H$24),'Bonding Program'!$AA$24,0)-IF(CQ$3&lt;='Bonding Program'!$C$8,IF(AND('Bonding Program'!$K$24&lt;&gt;"",CQ$3='Bonding Program'!$K$24),'Bonding Program'!$J$24,0)-IF(AND('Bonding Program'!$M$24&lt;&gt;"",CQ$3='Bonding Program'!$M$24),'Bonding Program'!$L$24,0)-IF(AND('Bonding Program'!$P$24&lt;&gt;"",CQ$3='Bonding Program'!$P$24),'Bonding Program'!$O$24,0)-IF(AND('Bonding Program'!$R$24&lt;&gt;"",CQ$3='Bonding Program'!$R$24),'Bonding Program'!$Q$24,0),0)</f>
        <v>0</v>
      </c>
      <c r="CR165" s="19" t="n">
        <f aca="false">IF(AND('Bonding Program'!$S$24=1,CR$3='Bonding Program'!$H$24),'Bonding Program'!$AA$24,0)-IF(CR$3&lt;='Bonding Program'!$C$8,IF(AND('Bonding Program'!$K$24&lt;&gt;"",CR$3='Bonding Program'!$K$24),'Bonding Program'!$J$24,0)-IF(AND('Bonding Program'!$M$24&lt;&gt;"",CR$3='Bonding Program'!$M$24),'Bonding Program'!$L$24,0)-IF(AND('Bonding Program'!$P$24&lt;&gt;"",CR$3='Bonding Program'!$P$24),'Bonding Program'!$O$24,0)-IF(AND('Bonding Program'!$R$24&lt;&gt;"",CR$3='Bonding Program'!$R$24),'Bonding Program'!$Q$24,0),0)</f>
        <v>0</v>
      </c>
      <c r="CS165" s="19" t="n">
        <f aca="false">IF(AND('Bonding Program'!$S$24=1,CS$3='Bonding Program'!$H$24),'Bonding Program'!$AA$24,0)-IF(CS$3&lt;='Bonding Program'!$C$8,IF(AND('Bonding Program'!$K$24&lt;&gt;"",CS$3='Bonding Program'!$K$24),'Bonding Program'!$J$24,0)-IF(AND('Bonding Program'!$M$24&lt;&gt;"",CS$3='Bonding Program'!$M$24),'Bonding Program'!$L$24,0)-IF(AND('Bonding Program'!$P$24&lt;&gt;"",CS$3='Bonding Program'!$P$24),'Bonding Program'!$O$24,0)-IF(AND('Bonding Program'!$R$24&lt;&gt;"",CS$3='Bonding Program'!$R$24),'Bonding Program'!$Q$24,0),0)</f>
        <v>0</v>
      </c>
      <c r="CT165" s="19" t="n">
        <f aca="false">IF(AND('Bonding Program'!$S$24=1,CT$3='Bonding Program'!$H$24),'Bonding Program'!$AA$24,0)-IF(CT$3&lt;='Bonding Program'!$C$8,IF(AND('Bonding Program'!$K$24&lt;&gt;"",CT$3='Bonding Program'!$K$24),'Bonding Program'!$J$24,0)-IF(AND('Bonding Program'!$M$24&lt;&gt;"",CT$3='Bonding Program'!$M$24),'Bonding Program'!$L$24,0)-IF(AND('Bonding Program'!$P$24&lt;&gt;"",CT$3='Bonding Program'!$P$24),'Bonding Program'!$O$24,0)-IF(AND('Bonding Program'!$R$24&lt;&gt;"",CT$3='Bonding Program'!$R$24),'Bonding Program'!$Q$24,0),0)</f>
        <v>0</v>
      </c>
      <c r="CU165" s="19" t="n">
        <f aca="false">IF(AND('Bonding Program'!$S$24=1,CU$3='Bonding Program'!$H$24),'Bonding Program'!$AA$24,0)-IF(CU$3&lt;='Bonding Program'!$C$8,IF(AND('Bonding Program'!$K$24&lt;&gt;"",CU$3='Bonding Program'!$K$24),'Bonding Program'!$J$24,0)-IF(AND('Bonding Program'!$M$24&lt;&gt;"",CU$3='Bonding Program'!$M$24),'Bonding Program'!$L$24,0)-IF(AND('Bonding Program'!$P$24&lt;&gt;"",CU$3='Bonding Program'!$P$24),'Bonding Program'!$O$24,0)-IF(AND('Bonding Program'!$R$24&lt;&gt;"",CU$3='Bonding Program'!$R$24),'Bonding Program'!$Q$24,0),0)</f>
        <v>0</v>
      </c>
      <c r="CV165" s="19" t="n">
        <f aca="false">IF(AND('Bonding Program'!$S$24=1,CV$3='Bonding Program'!$H$24),'Bonding Program'!$AA$24,0)-IF(CV$3&lt;='Bonding Program'!$C$8,IF(AND('Bonding Program'!$K$24&lt;&gt;"",CV$3='Bonding Program'!$K$24),'Bonding Program'!$J$24,0)-IF(AND('Bonding Program'!$M$24&lt;&gt;"",CV$3='Bonding Program'!$M$24),'Bonding Program'!$L$24,0)-IF(AND('Bonding Program'!$P$24&lt;&gt;"",CV$3='Bonding Program'!$P$24),'Bonding Program'!$O$24,0)-IF(AND('Bonding Program'!$R$24&lt;&gt;"",CV$3='Bonding Program'!$R$24),'Bonding Program'!$Q$24,0),0)</f>
        <v>0</v>
      </c>
      <c r="CW165" s="19" t="n">
        <f aca="false">IF(AND('Bonding Program'!$S$24=1,CW$3='Bonding Program'!$H$24),'Bonding Program'!$AA$24,0)-IF(CW$3&lt;='Bonding Program'!$C$8,IF(AND('Bonding Program'!$K$24&lt;&gt;"",CW$3='Bonding Program'!$K$24),'Bonding Program'!$J$24,0)-IF(AND('Bonding Program'!$M$24&lt;&gt;"",CW$3='Bonding Program'!$M$24),'Bonding Program'!$L$24,0)-IF(AND('Bonding Program'!$P$24&lt;&gt;"",CW$3='Bonding Program'!$P$24),'Bonding Program'!$O$24,0)-IF(AND('Bonding Program'!$R$24&lt;&gt;"",CW$3='Bonding Program'!$R$24),'Bonding Program'!$Q$24,0),0)</f>
        <v>0</v>
      </c>
      <c r="CX165" s="19" t="n">
        <f aca="false">IF(AND('Bonding Program'!$S$24=1,CX$3='Bonding Program'!$H$24),'Bonding Program'!$AA$24,0)-IF(CX$3&lt;='Bonding Program'!$C$8,IF(AND('Bonding Program'!$K$24&lt;&gt;"",CX$3='Bonding Program'!$K$24),'Bonding Program'!$J$24,0)-IF(AND('Bonding Program'!$M$24&lt;&gt;"",CX$3='Bonding Program'!$M$24),'Bonding Program'!$L$24,0)-IF(AND('Bonding Program'!$P$24&lt;&gt;"",CX$3='Bonding Program'!$P$24),'Bonding Program'!$O$24,0)-IF(AND('Bonding Program'!$R$24&lt;&gt;"",CX$3='Bonding Program'!$R$24),'Bonding Program'!$Q$24,0),0)</f>
        <v>0</v>
      </c>
      <c r="CY165" s="19" t="n">
        <f aca="false">IF(AND('Bonding Program'!$S$24=1,CY$3='Bonding Program'!$H$24),'Bonding Program'!$AA$24,0)-IF(CY$3&lt;='Bonding Program'!$C$8,IF(AND('Bonding Program'!$K$24&lt;&gt;"",CY$3='Bonding Program'!$K$24),'Bonding Program'!$J$24,0)-IF(AND('Bonding Program'!$M$24&lt;&gt;"",CY$3='Bonding Program'!$M$24),'Bonding Program'!$L$24,0)-IF(AND('Bonding Program'!$P$24&lt;&gt;"",CY$3='Bonding Program'!$P$24),'Bonding Program'!$O$24,0)-IF(AND('Bonding Program'!$R$24&lt;&gt;"",CY$3='Bonding Program'!$R$24),'Bonding Program'!$Q$24,0),0)</f>
        <v>0</v>
      </c>
      <c r="CZ165" s="19" t="n">
        <f aca="false">IF(AND('Bonding Program'!$S$24=1,CZ$3='Bonding Program'!$H$24),'Bonding Program'!$AA$24,0)-IF(CZ$3&lt;='Bonding Program'!$C$8,IF(AND('Bonding Program'!$K$24&lt;&gt;"",CZ$3='Bonding Program'!$K$24),'Bonding Program'!$J$24,0)-IF(AND('Bonding Program'!$M$24&lt;&gt;"",CZ$3='Bonding Program'!$M$24),'Bonding Program'!$L$24,0)-IF(AND('Bonding Program'!$P$24&lt;&gt;"",CZ$3='Bonding Program'!$P$24),'Bonding Program'!$O$24,0)-IF(AND('Bonding Program'!$R$24&lt;&gt;"",CZ$3='Bonding Program'!$R$24),'Bonding Program'!$Q$24,0),0)</f>
        <v>0</v>
      </c>
      <c r="DA165" s="19" t="n">
        <f aca="false">IF(AND('Bonding Program'!$S$24=1,DA$3='Bonding Program'!$H$24),'Bonding Program'!$AA$24,0)-IF(DA$3&lt;='Bonding Program'!$C$8,IF(AND('Bonding Program'!$K$24&lt;&gt;"",DA$3='Bonding Program'!$K$24),'Bonding Program'!$J$24,0)-IF(AND('Bonding Program'!$M$24&lt;&gt;"",DA$3='Bonding Program'!$M$24),'Bonding Program'!$L$24,0)-IF(AND('Bonding Program'!$P$24&lt;&gt;"",DA$3='Bonding Program'!$P$24),'Bonding Program'!$O$24,0)-IF(AND('Bonding Program'!$R$24&lt;&gt;"",DA$3='Bonding Program'!$R$24),'Bonding Program'!$Q$24,0),0)</f>
        <v>0</v>
      </c>
      <c r="DB165" s="19" t="n">
        <f aca="false">IF(AND('Bonding Program'!$S$24=1,DB$3='Bonding Program'!$H$24),'Bonding Program'!$AA$24,0)-IF(DB$3&lt;='Bonding Program'!$C$8,IF(AND('Bonding Program'!$K$24&lt;&gt;"",DB$3='Bonding Program'!$K$24),'Bonding Program'!$J$24,0)-IF(AND('Bonding Program'!$M$24&lt;&gt;"",DB$3='Bonding Program'!$M$24),'Bonding Program'!$L$24,0)-IF(AND('Bonding Program'!$P$24&lt;&gt;"",DB$3='Bonding Program'!$P$24),'Bonding Program'!$O$24,0)-IF(AND('Bonding Program'!$R$24&lt;&gt;"",DB$3='Bonding Program'!$R$24),'Bonding Program'!$Q$24,0),0)</f>
        <v>0</v>
      </c>
      <c r="DC165" s="19" t="n">
        <f aca="false">IF(AND('Bonding Program'!$S$24=1,DC$3='Bonding Program'!$H$24),'Bonding Program'!$AA$24,0)-IF(DC$3&lt;='Bonding Program'!$C$8,IF(AND('Bonding Program'!$K$24&lt;&gt;"",DC$3='Bonding Program'!$K$24),'Bonding Program'!$J$24,0)-IF(AND('Bonding Program'!$M$24&lt;&gt;"",DC$3='Bonding Program'!$M$24),'Bonding Program'!$L$24,0)-IF(AND('Bonding Program'!$P$24&lt;&gt;"",DC$3='Bonding Program'!$P$24),'Bonding Program'!$O$24,0)-IF(AND('Bonding Program'!$R$24&lt;&gt;"",DC$3='Bonding Program'!$R$24),'Bonding Program'!$Q$24,0),0)</f>
        <v>0</v>
      </c>
      <c r="DD165" s="19" t="n">
        <f aca="false">IF(AND('Bonding Program'!$S$24=1,DD$3='Bonding Program'!$H$24),'Bonding Program'!$AA$24,0)-IF(DD$3&lt;='Bonding Program'!$C$8,IF(AND('Bonding Program'!$K$24&lt;&gt;"",DD$3='Bonding Program'!$K$24),'Bonding Program'!$J$24,0)-IF(AND('Bonding Program'!$M$24&lt;&gt;"",DD$3='Bonding Program'!$M$24),'Bonding Program'!$L$24,0)-IF(AND('Bonding Program'!$P$24&lt;&gt;"",DD$3='Bonding Program'!$P$24),'Bonding Program'!$O$24,0)-IF(AND('Bonding Program'!$R$24&lt;&gt;"",DD$3='Bonding Program'!$R$24),'Bonding Program'!$Q$24,0),0)</f>
        <v>0</v>
      </c>
      <c r="DE165" s="19" t="n">
        <f aca="false">IF(AND('Bonding Program'!$S$24=1,DE$3='Bonding Program'!$H$24),'Bonding Program'!$AA$24,0)-IF(DE$3&lt;='Bonding Program'!$C$8,IF(AND('Bonding Program'!$K$24&lt;&gt;"",DE$3='Bonding Program'!$K$24),'Bonding Program'!$J$24,0)-IF(AND('Bonding Program'!$M$24&lt;&gt;"",DE$3='Bonding Program'!$M$24),'Bonding Program'!$L$24,0)-IF(AND('Bonding Program'!$P$24&lt;&gt;"",DE$3='Bonding Program'!$P$24),'Bonding Program'!$O$24,0)-IF(AND('Bonding Program'!$R$24&lt;&gt;"",DE$3='Bonding Program'!$R$24),'Bonding Program'!$Q$24,0),0)</f>
        <v>0</v>
      </c>
    </row>
    <row r="166" customFormat="false" ht="15" hidden="false" customHeight="true" outlineLevel="1" collapsed="false">
      <c r="A166" s="28" t="s">
        <v>21</v>
      </c>
      <c r="B166" s="19" t="n">
        <f aca="false">IF(AND('Bonding Program'!$S$25=1,B$3='Bonding Program'!$H$25),'Bonding Program'!$AA$25,0)-IF(B$3&lt;='Bonding Program'!$C$8,IF(AND('Bonding Program'!$K$25&lt;&gt;"",B$3='Bonding Program'!$K$25),'Bonding Program'!$J$25,0)-IF(AND('Bonding Program'!$M$25&lt;&gt;"",B$3='Bonding Program'!$M$25),'Bonding Program'!$L$25,0)-IF(AND('Bonding Program'!$P$25&lt;&gt;"",B$3='Bonding Program'!$P$25),'Bonding Program'!$O$25,0)-IF(AND('Bonding Program'!$R$25&lt;&gt;"",B$3='Bonding Program'!$R$25),'Bonding Program'!$Q$25,0),0)</f>
        <v>0</v>
      </c>
      <c r="C166" s="19" t="n">
        <f aca="false">IF(AND('Bonding Program'!$S$25=1,C$3='Bonding Program'!$H$25),'Bonding Program'!$AA$25,0)-IF(C$3&lt;='Bonding Program'!$C$8,IF(AND('Bonding Program'!$K$25&lt;&gt;"",C$3='Bonding Program'!$K$25),'Bonding Program'!$J$25,0)-IF(AND('Bonding Program'!$M$25&lt;&gt;"",C$3='Bonding Program'!$M$25),'Bonding Program'!$L$25,0)-IF(AND('Bonding Program'!$P$25&lt;&gt;"",C$3='Bonding Program'!$P$25),'Bonding Program'!$O$25,0)-IF(AND('Bonding Program'!$R$25&lt;&gt;"",C$3='Bonding Program'!$R$25),'Bonding Program'!$Q$25,0),0)</f>
        <v>0</v>
      </c>
      <c r="D166" s="19" t="n">
        <f aca="false">IF(AND('Bonding Program'!$S$25=1,D$3='Bonding Program'!$H$25),'Bonding Program'!$AA$25,0)-IF(D$3&lt;='Bonding Program'!$C$8,IF(AND('Bonding Program'!$K$25&lt;&gt;"",D$3='Bonding Program'!$K$25),'Bonding Program'!$J$25,0)-IF(AND('Bonding Program'!$M$25&lt;&gt;"",D$3='Bonding Program'!$M$25),'Bonding Program'!$L$25,0)-IF(AND('Bonding Program'!$P$25&lt;&gt;"",D$3='Bonding Program'!$P$25),'Bonding Program'!$O$25,0)-IF(AND('Bonding Program'!$R$25&lt;&gt;"",D$3='Bonding Program'!$R$25),'Bonding Program'!$Q$25,0),0)</f>
        <v>0</v>
      </c>
      <c r="E166" s="19" t="n">
        <f aca="false">IF(AND('Bonding Program'!$S$25=1,E$3='Bonding Program'!$H$25),'Bonding Program'!$AA$25,0)-IF(E$3&lt;='Bonding Program'!$C$8,IF(AND('Bonding Program'!$K$25&lt;&gt;"",E$3='Bonding Program'!$K$25),'Bonding Program'!$J$25,0)-IF(AND('Bonding Program'!$M$25&lt;&gt;"",E$3='Bonding Program'!$M$25),'Bonding Program'!$L$25,0)-IF(AND('Bonding Program'!$P$25&lt;&gt;"",E$3='Bonding Program'!$P$25),'Bonding Program'!$O$25,0)-IF(AND('Bonding Program'!$R$25&lt;&gt;"",E$3='Bonding Program'!$R$25),'Bonding Program'!$Q$25,0),0)</f>
        <v>0</v>
      </c>
      <c r="F166" s="19" t="n">
        <f aca="false">IF(AND('Bonding Program'!$S$25=1,F$3='Bonding Program'!$H$25),'Bonding Program'!$AA$25,0)-IF(F$3&lt;='Bonding Program'!$C$8,IF(AND('Bonding Program'!$K$25&lt;&gt;"",F$3='Bonding Program'!$K$25),'Bonding Program'!$J$25,0)-IF(AND('Bonding Program'!$M$25&lt;&gt;"",F$3='Bonding Program'!$M$25),'Bonding Program'!$L$25,0)-IF(AND('Bonding Program'!$P$25&lt;&gt;"",F$3='Bonding Program'!$P$25),'Bonding Program'!$O$25,0)-IF(AND('Bonding Program'!$R$25&lt;&gt;"",F$3='Bonding Program'!$R$25),'Bonding Program'!$Q$25,0),0)</f>
        <v>0</v>
      </c>
      <c r="G166" s="19" t="n">
        <f aca="false">IF(AND('Bonding Program'!$S$25=1,G$3='Bonding Program'!$H$25),'Bonding Program'!$AA$25,0)-IF(G$3&lt;='Bonding Program'!$C$8,IF(AND('Bonding Program'!$K$25&lt;&gt;"",G$3='Bonding Program'!$K$25),'Bonding Program'!$J$25,0)-IF(AND('Bonding Program'!$M$25&lt;&gt;"",G$3='Bonding Program'!$M$25),'Bonding Program'!$L$25,0)-IF(AND('Bonding Program'!$P$25&lt;&gt;"",G$3='Bonding Program'!$P$25),'Bonding Program'!$O$25,0)-IF(AND('Bonding Program'!$R$25&lt;&gt;"",G$3='Bonding Program'!$R$25),'Bonding Program'!$Q$25,0),0)</f>
        <v>0</v>
      </c>
      <c r="H166" s="19" t="n">
        <f aca="false">IF(AND('Bonding Program'!$S$25=1,H$3='Bonding Program'!$H$25),'Bonding Program'!$AA$25,0)-IF(H$3&lt;='Bonding Program'!$C$8,IF(AND('Bonding Program'!$K$25&lt;&gt;"",H$3='Bonding Program'!$K$25),'Bonding Program'!$J$25,0)-IF(AND('Bonding Program'!$M$25&lt;&gt;"",H$3='Bonding Program'!$M$25),'Bonding Program'!$L$25,0)-IF(AND('Bonding Program'!$P$25&lt;&gt;"",H$3='Bonding Program'!$P$25),'Bonding Program'!$O$25,0)-IF(AND('Bonding Program'!$R$25&lt;&gt;"",H$3='Bonding Program'!$R$25),'Bonding Program'!$Q$25,0),0)</f>
        <v>0</v>
      </c>
      <c r="I166" s="19" t="n">
        <f aca="false">IF(AND('Bonding Program'!$S$25=1,I$3='Bonding Program'!$H$25),'Bonding Program'!$AA$25,0)-IF(I$3&lt;='Bonding Program'!$C$8,IF(AND('Bonding Program'!$K$25&lt;&gt;"",I$3='Bonding Program'!$K$25),'Bonding Program'!$J$25,0)-IF(AND('Bonding Program'!$M$25&lt;&gt;"",I$3='Bonding Program'!$M$25),'Bonding Program'!$L$25,0)-IF(AND('Bonding Program'!$P$25&lt;&gt;"",I$3='Bonding Program'!$P$25),'Bonding Program'!$O$25,0)-IF(AND('Bonding Program'!$R$25&lt;&gt;"",I$3='Bonding Program'!$R$25),'Bonding Program'!$Q$25,0),0)</f>
        <v>0</v>
      </c>
      <c r="J166" s="19" t="n">
        <f aca="false">IF(AND('Bonding Program'!$S$25=1,J$3='Bonding Program'!$H$25),'Bonding Program'!$AA$25,0)-IF(J$3&lt;='Bonding Program'!$C$8,IF(AND('Bonding Program'!$K$25&lt;&gt;"",J$3='Bonding Program'!$K$25),'Bonding Program'!$J$25,0)-IF(AND('Bonding Program'!$M$25&lt;&gt;"",J$3='Bonding Program'!$M$25),'Bonding Program'!$L$25,0)-IF(AND('Bonding Program'!$P$25&lt;&gt;"",J$3='Bonding Program'!$P$25),'Bonding Program'!$O$25,0)-IF(AND('Bonding Program'!$R$25&lt;&gt;"",J$3='Bonding Program'!$R$25),'Bonding Program'!$Q$25,0),0)</f>
        <v>0</v>
      </c>
      <c r="K166" s="19" t="n">
        <f aca="false">IF(AND('Bonding Program'!$S$25=1,K$3='Bonding Program'!$H$25),'Bonding Program'!$AA$25,0)-IF(K$3&lt;='Bonding Program'!$C$8,IF(AND('Bonding Program'!$K$25&lt;&gt;"",K$3='Bonding Program'!$K$25),'Bonding Program'!$J$25,0)-IF(AND('Bonding Program'!$M$25&lt;&gt;"",K$3='Bonding Program'!$M$25),'Bonding Program'!$L$25,0)-IF(AND('Bonding Program'!$P$25&lt;&gt;"",K$3='Bonding Program'!$P$25),'Bonding Program'!$O$25,0)-IF(AND('Bonding Program'!$R$25&lt;&gt;"",K$3='Bonding Program'!$R$25),'Bonding Program'!$Q$25,0),0)</f>
        <v>0</v>
      </c>
      <c r="L166" s="19" t="n">
        <f aca="false">IF(AND('Bonding Program'!$S$25=1,L$3='Bonding Program'!$H$25),'Bonding Program'!$AA$25,0)-IF(L$3&lt;='Bonding Program'!$C$8,IF(AND('Bonding Program'!$K$25&lt;&gt;"",L$3='Bonding Program'!$K$25),'Bonding Program'!$J$25,0)-IF(AND('Bonding Program'!$M$25&lt;&gt;"",L$3='Bonding Program'!$M$25),'Bonding Program'!$L$25,0)-IF(AND('Bonding Program'!$P$25&lt;&gt;"",L$3='Bonding Program'!$P$25),'Bonding Program'!$O$25,0)-IF(AND('Bonding Program'!$R$25&lt;&gt;"",L$3='Bonding Program'!$R$25),'Bonding Program'!$Q$25,0),0)</f>
        <v>0</v>
      </c>
      <c r="M166" s="19" t="n">
        <f aca="false">IF(AND('Bonding Program'!$S$25=1,M$3='Bonding Program'!$H$25),'Bonding Program'!$AA$25,0)-IF(M$3&lt;='Bonding Program'!$C$8,IF(AND('Bonding Program'!$K$25&lt;&gt;"",M$3='Bonding Program'!$K$25),'Bonding Program'!$J$25,0)-IF(AND('Bonding Program'!$M$25&lt;&gt;"",M$3='Bonding Program'!$M$25),'Bonding Program'!$L$25,0)-IF(AND('Bonding Program'!$P$25&lt;&gt;"",M$3='Bonding Program'!$P$25),'Bonding Program'!$O$25,0)-IF(AND('Bonding Program'!$R$25&lt;&gt;"",M$3='Bonding Program'!$R$25),'Bonding Program'!$Q$25,0),0)</f>
        <v>0</v>
      </c>
      <c r="N166" s="19" t="n">
        <f aca="false">IF(AND('Bonding Program'!$S$25=1,N$3='Bonding Program'!$H$25),'Bonding Program'!$AA$25,0)-IF(N$3&lt;='Bonding Program'!$C$8,IF(AND('Bonding Program'!$K$25&lt;&gt;"",N$3='Bonding Program'!$K$25),'Bonding Program'!$J$25,0)-IF(AND('Bonding Program'!$M$25&lt;&gt;"",N$3='Bonding Program'!$M$25),'Bonding Program'!$L$25,0)-IF(AND('Bonding Program'!$P$25&lt;&gt;"",N$3='Bonding Program'!$P$25),'Bonding Program'!$O$25,0)-IF(AND('Bonding Program'!$R$25&lt;&gt;"",N$3='Bonding Program'!$R$25),'Bonding Program'!$Q$25,0),0)</f>
        <v>0</v>
      </c>
      <c r="O166" s="19" t="n">
        <f aca="false">IF(AND('Bonding Program'!$S$25=1,O$3='Bonding Program'!$H$25),'Bonding Program'!$AA$25,0)-IF(O$3&lt;='Bonding Program'!$C$8,IF(AND('Bonding Program'!$K$25&lt;&gt;"",O$3='Bonding Program'!$K$25),'Bonding Program'!$J$25,0)-IF(AND('Bonding Program'!$M$25&lt;&gt;"",O$3='Bonding Program'!$M$25),'Bonding Program'!$L$25,0)-IF(AND('Bonding Program'!$P$25&lt;&gt;"",O$3='Bonding Program'!$P$25),'Bonding Program'!$O$25,0)-IF(AND('Bonding Program'!$R$25&lt;&gt;"",O$3='Bonding Program'!$R$25),'Bonding Program'!$Q$25,0),0)</f>
        <v>0</v>
      </c>
      <c r="P166" s="19" t="n">
        <f aca="false">IF(AND('Bonding Program'!$S$25=1,P$3='Bonding Program'!$H$25),'Bonding Program'!$AA$25,0)-IF(P$3&lt;='Bonding Program'!$C$8,IF(AND('Bonding Program'!$K$25&lt;&gt;"",P$3='Bonding Program'!$K$25),'Bonding Program'!$J$25,0)-IF(AND('Bonding Program'!$M$25&lt;&gt;"",P$3='Bonding Program'!$M$25),'Bonding Program'!$L$25,0)-IF(AND('Bonding Program'!$P$25&lt;&gt;"",P$3='Bonding Program'!$P$25),'Bonding Program'!$O$25,0)-IF(AND('Bonding Program'!$R$25&lt;&gt;"",P$3='Bonding Program'!$R$25),'Bonding Program'!$Q$25,0),0)</f>
        <v>0</v>
      </c>
      <c r="Q166" s="19" t="n">
        <f aca="false">IF(AND('Bonding Program'!$S$25=1,Q$3='Bonding Program'!$H$25),'Bonding Program'!$AA$25,0)-IF(Q$3&lt;='Bonding Program'!$C$8,IF(AND('Bonding Program'!$K$25&lt;&gt;"",Q$3='Bonding Program'!$K$25),'Bonding Program'!$J$25,0)-IF(AND('Bonding Program'!$M$25&lt;&gt;"",Q$3='Bonding Program'!$M$25),'Bonding Program'!$L$25,0)-IF(AND('Bonding Program'!$P$25&lt;&gt;"",Q$3='Bonding Program'!$P$25),'Bonding Program'!$O$25,0)-IF(AND('Bonding Program'!$R$25&lt;&gt;"",Q$3='Bonding Program'!$R$25),'Bonding Program'!$Q$25,0),0)</f>
        <v>0</v>
      </c>
      <c r="R166" s="19" t="n">
        <f aca="false">IF(AND('Bonding Program'!$S$25=1,R$3='Bonding Program'!$H$25),'Bonding Program'!$AA$25,0)-IF(R$3&lt;='Bonding Program'!$C$8,IF(AND('Bonding Program'!$K$25&lt;&gt;"",R$3='Bonding Program'!$K$25),'Bonding Program'!$J$25,0)-IF(AND('Bonding Program'!$M$25&lt;&gt;"",R$3='Bonding Program'!$M$25),'Bonding Program'!$L$25,0)-IF(AND('Bonding Program'!$P$25&lt;&gt;"",R$3='Bonding Program'!$P$25),'Bonding Program'!$O$25,0)-IF(AND('Bonding Program'!$R$25&lt;&gt;"",R$3='Bonding Program'!$R$25),'Bonding Program'!$Q$25,0),0)</f>
        <v>0</v>
      </c>
      <c r="S166" s="19" t="n">
        <f aca="false">IF(AND('Bonding Program'!$S$25=1,S$3='Bonding Program'!$H$25),'Bonding Program'!$AA$25,0)-IF(S$3&lt;='Bonding Program'!$C$8,IF(AND('Bonding Program'!$K$25&lt;&gt;"",S$3='Bonding Program'!$K$25),'Bonding Program'!$J$25,0)-IF(AND('Bonding Program'!$M$25&lt;&gt;"",S$3='Bonding Program'!$M$25),'Bonding Program'!$L$25,0)-IF(AND('Bonding Program'!$P$25&lt;&gt;"",S$3='Bonding Program'!$P$25),'Bonding Program'!$O$25,0)-IF(AND('Bonding Program'!$R$25&lt;&gt;"",S$3='Bonding Program'!$R$25),'Bonding Program'!$Q$25,0),0)</f>
        <v>-200563.017426108</v>
      </c>
      <c r="T166" s="19" t="n">
        <f aca="false">IF(AND('Bonding Program'!$S$25=1,T$3='Bonding Program'!$H$25),'Bonding Program'!$AA$25,0)-IF(T$3&lt;='Bonding Program'!$C$8,IF(AND('Bonding Program'!$K$25&lt;&gt;"",T$3='Bonding Program'!$K$25),'Bonding Program'!$J$25,0)-IF(AND('Bonding Program'!$M$25&lt;&gt;"",T$3='Bonding Program'!$M$25),'Bonding Program'!$L$25,0)-IF(AND('Bonding Program'!$P$25&lt;&gt;"",T$3='Bonding Program'!$P$25),'Bonding Program'!$O$25,0)-IF(AND('Bonding Program'!$R$25&lt;&gt;"",T$3='Bonding Program'!$R$25),'Bonding Program'!$Q$25,0),0)</f>
        <v>0</v>
      </c>
      <c r="U166" s="19" t="n">
        <f aca="false">IF(AND('Bonding Program'!$S$25=1,U$3='Bonding Program'!$H$25),'Bonding Program'!$AA$25,0)-IF(U$3&lt;='Bonding Program'!$C$8,IF(AND('Bonding Program'!$K$25&lt;&gt;"",U$3='Bonding Program'!$K$25),'Bonding Program'!$J$25,0)-IF(AND('Bonding Program'!$M$25&lt;&gt;"",U$3='Bonding Program'!$M$25),'Bonding Program'!$L$25,0)-IF(AND('Bonding Program'!$P$25&lt;&gt;"",U$3='Bonding Program'!$P$25),'Bonding Program'!$O$25,0)-IF(AND('Bonding Program'!$R$25&lt;&gt;"",U$3='Bonding Program'!$R$25),'Bonding Program'!$Q$25,0),0)</f>
        <v>0</v>
      </c>
      <c r="V166" s="19" t="n">
        <f aca="false">IF(AND('Bonding Program'!$S$25=1,V$3='Bonding Program'!$H$25),'Bonding Program'!$AA$25,0)-IF(V$3&lt;='Bonding Program'!$C$8,IF(AND('Bonding Program'!$K$25&lt;&gt;"",V$3='Bonding Program'!$K$25),'Bonding Program'!$J$25,0)-IF(AND('Bonding Program'!$M$25&lt;&gt;"",V$3='Bonding Program'!$M$25),'Bonding Program'!$L$25,0)-IF(AND('Bonding Program'!$P$25&lt;&gt;"",V$3='Bonding Program'!$P$25),'Bonding Program'!$O$25,0)-IF(AND('Bonding Program'!$R$25&lt;&gt;"",V$3='Bonding Program'!$R$25),'Bonding Program'!$Q$25,0),0)</f>
        <v>0</v>
      </c>
      <c r="W166" s="19" t="n">
        <f aca="false">IF(AND('Bonding Program'!$S$25=1,W$3='Bonding Program'!$H$25),'Bonding Program'!$AA$25,0)-IF(W$3&lt;='Bonding Program'!$C$8,IF(AND('Bonding Program'!$K$25&lt;&gt;"",W$3='Bonding Program'!$K$25),'Bonding Program'!$J$25,0)-IF(AND('Bonding Program'!$M$25&lt;&gt;"",W$3='Bonding Program'!$M$25),'Bonding Program'!$L$25,0)-IF(AND('Bonding Program'!$P$25&lt;&gt;"",W$3='Bonding Program'!$P$25),'Bonding Program'!$O$25,0)-IF(AND('Bonding Program'!$R$25&lt;&gt;"",W$3='Bonding Program'!$R$25),'Bonding Program'!$Q$25,0),0)</f>
        <v>0</v>
      </c>
      <c r="X166" s="19" t="n">
        <f aca="false">IF(AND('Bonding Program'!$S$25=1,X$3='Bonding Program'!$H$25),'Bonding Program'!$AA$25,0)-IF(X$3&lt;='Bonding Program'!$C$8,IF(AND('Bonding Program'!$K$25&lt;&gt;"",X$3='Bonding Program'!$K$25),'Bonding Program'!$J$25,0)-IF(AND('Bonding Program'!$M$25&lt;&gt;"",X$3='Bonding Program'!$M$25),'Bonding Program'!$L$25,0)-IF(AND('Bonding Program'!$P$25&lt;&gt;"",X$3='Bonding Program'!$P$25),'Bonding Program'!$O$25,0)-IF(AND('Bonding Program'!$R$25&lt;&gt;"",X$3='Bonding Program'!$R$25),'Bonding Program'!$Q$25,0),0)</f>
        <v>0</v>
      </c>
      <c r="Y166" s="19" t="n">
        <f aca="false">IF(AND('Bonding Program'!$S$25=1,Y$3='Bonding Program'!$H$25),'Bonding Program'!$AA$25,0)-IF(Y$3&lt;='Bonding Program'!$C$8,IF(AND('Bonding Program'!$K$25&lt;&gt;"",Y$3='Bonding Program'!$K$25),'Bonding Program'!$J$25,0)-IF(AND('Bonding Program'!$M$25&lt;&gt;"",Y$3='Bonding Program'!$M$25),'Bonding Program'!$L$25,0)-IF(AND('Bonding Program'!$P$25&lt;&gt;"",Y$3='Bonding Program'!$P$25),'Bonding Program'!$O$25,0)-IF(AND('Bonding Program'!$R$25&lt;&gt;"",Y$3='Bonding Program'!$R$25),'Bonding Program'!$Q$25,0),0)</f>
        <v>0</v>
      </c>
      <c r="Z166" s="19" t="n">
        <f aca="false">IF(AND('Bonding Program'!$S$25=1,Z$3='Bonding Program'!$H$25),'Bonding Program'!$AA$25,0)-IF(Z$3&lt;='Bonding Program'!$C$8,IF(AND('Bonding Program'!$K$25&lt;&gt;"",Z$3='Bonding Program'!$K$25),'Bonding Program'!$J$25,0)-IF(AND('Bonding Program'!$M$25&lt;&gt;"",Z$3='Bonding Program'!$M$25),'Bonding Program'!$L$25,0)-IF(AND('Bonding Program'!$P$25&lt;&gt;"",Z$3='Bonding Program'!$P$25),'Bonding Program'!$O$25,0)-IF(AND('Bonding Program'!$R$25&lt;&gt;"",Z$3='Bonding Program'!$R$25),'Bonding Program'!$Q$25,0),0)</f>
        <v>0</v>
      </c>
      <c r="AA166" s="19" t="n">
        <f aca="false">IF(AND('Bonding Program'!$S$25=1,AA$3='Bonding Program'!$H$25),'Bonding Program'!$AA$25,0)-IF(AA$3&lt;='Bonding Program'!$C$8,IF(AND('Bonding Program'!$K$25&lt;&gt;"",AA$3='Bonding Program'!$K$25),'Bonding Program'!$J$25,0)-IF(AND('Bonding Program'!$M$25&lt;&gt;"",AA$3='Bonding Program'!$M$25),'Bonding Program'!$L$25,0)-IF(AND('Bonding Program'!$P$25&lt;&gt;"",AA$3='Bonding Program'!$P$25),'Bonding Program'!$O$25,0)-IF(AND('Bonding Program'!$R$25&lt;&gt;"",AA$3='Bonding Program'!$R$25),'Bonding Program'!$Q$25,0),0)</f>
        <v>0</v>
      </c>
      <c r="AB166" s="19" t="n">
        <f aca="false">IF(AND('Bonding Program'!$S$25=1,AB$3='Bonding Program'!$H$25),'Bonding Program'!$AA$25,0)-IF(AB$3&lt;='Bonding Program'!$C$8,IF(AND('Bonding Program'!$K$25&lt;&gt;"",AB$3='Bonding Program'!$K$25),'Bonding Program'!$J$25,0)-IF(AND('Bonding Program'!$M$25&lt;&gt;"",AB$3='Bonding Program'!$M$25),'Bonding Program'!$L$25,0)-IF(AND('Bonding Program'!$P$25&lt;&gt;"",AB$3='Bonding Program'!$P$25),'Bonding Program'!$O$25,0)-IF(AND('Bonding Program'!$R$25&lt;&gt;"",AB$3='Bonding Program'!$R$25),'Bonding Program'!$Q$25,0),0)</f>
        <v>0</v>
      </c>
      <c r="AC166" s="19" t="n">
        <f aca="false">IF(AND('Bonding Program'!$S$25=1,AC$3='Bonding Program'!$H$25),'Bonding Program'!$AA$25,0)-IF(AC$3&lt;='Bonding Program'!$C$8,IF(AND('Bonding Program'!$K$25&lt;&gt;"",AC$3='Bonding Program'!$K$25),'Bonding Program'!$J$25,0)-IF(AND('Bonding Program'!$M$25&lt;&gt;"",AC$3='Bonding Program'!$M$25),'Bonding Program'!$L$25,0)-IF(AND('Bonding Program'!$P$25&lt;&gt;"",AC$3='Bonding Program'!$P$25),'Bonding Program'!$O$25,0)-IF(AND('Bonding Program'!$R$25&lt;&gt;"",AC$3='Bonding Program'!$R$25),'Bonding Program'!$Q$25,0),0)</f>
        <v>0</v>
      </c>
      <c r="AD166" s="19" t="n">
        <f aca="false">IF(AND('Bonding Program'!$S$25=1,AD$3='Bonding Program'!$H$25),'Bonding Program'!$AA$25,0)-IF(AD$3&lt;='Bonding Program'!$C$8,IF(AND('Bonding Program'!$K$25&lt;&gt;"",AD$3='Bonding Program'!$K$25),'Bonding Program'!$J$25,0)-IF(AND('Bonding Program'!$M$25&lt;&gt;"",AD$3='Bonding Program'!$M$25),'Bonding Program'!$L$25,0)-IF(AND('Bonding Program'!$P$25&lt;&gt;"",AD$3='Bonding Program'!$P$25),'Bonding Program'!$O$25,0)-IF(AND('Bonding Program'!$R$25&lt;&gt;"",AD$3='Bonding Program'!$R$25),'Bonding Program'!$Q$25,0),0)</f>
        <v>0</v>
      </c>
      <c r="AE166" s="19" t="n">
        <f aca="false">IF(AND('Bonding Program'!$S$25=1,AE$3='Bonding Program'!$H$25),'Bonding Program'!$AA$25,0)-IF(AE$3&lt;='Bonding Program'!$C$8,IF(AND('Bonding Program'!$K$25&lt;&gt;"",AE$3='Bonding Program'!$K$25),'Bonding Program'!$J$25,0)-IF(AND('Bonding Program'!$M$25&lt;&gt;"",AE$3='Bonding Program'!$M$25),'Bonding Program'!$L$25,0)-IF(AND('Bonding Program'!$P$25&lt;&gt;"",AE$3='Bonding Program'!$P$25),'Bonding Program'!$O$25,0)-IF(AND('Bonding Program'!$R$25&lt;&gt;"",AE$3='Bonding Program'!$R$25),'Bonding Program'!$Q$25,0),0)</f>
        <v>0</v>
      </c>
      <c r="AF166" s="19" t="n">
        <f aca="false">IF(AND('Bonding Program'!$S$25=1,AF$3='Bonding Program'!$H$25),'Bonding Program'!$AA$25,0)-IF(AF$3&lt;='Bonding Program'!$C$8,IF(AND('Bonding Program'!$K$25&lt;&gt;"",AF$3='Bonding Program'!$K$25),'Bonding Program'!$J$25,0)-IF(AND('Bonding Program'!$M$25&lt;&gt;"",AF$3='Bonding Program'!$M$25),'Bonding Program'!$L$25,0)-IF(AND('Bonding Program'!$P$25&lt;&gt;"",AF$3='Bonding Program'!$P$25),'Bonding Program'!$O$25,0)-IF(AND('Bonding Program'!$R$25&lt;&gt;"",AF$3='Bonding Program'!$R$25),'Bonding Program'!$Q$25,0),0)</f>
        <v>0</v>
      </c>
      <c r="AG166" s="19" t="n">
        <f aca="false">IF(AND('Bonding Program'!$S$25=1,AG$3='Bonding Program'!$H$25),'Bonding Program'!$AA$25,0)-IF(AG$3&lt;='Bonding Program'!$C$8,IF(AND('Bonding Program'!$K$25&lt;&gt;"",AG$3='Bonding Program'!$K$25),'Bonding Program'!$J$25,0)-IF(AND('Bonding Program'!$M$25&lt;&gt;"",AG$3='Bonding Program'!$M$25),'Bonding Program'!$L$25,0)-IF(AND('Bonding Program'!$P$25&lt;&gt;"",AG$3='Bonding Program'!$P$25),'Bonding Program'!$O$25,0)-IF(AND('Bonding Program'!$R$25&lt;&gt;"",AG$3='Bonding Program'!$R$25),'Bonding Program'!$Q$25,0),0)</f>
        <v>0</v>
      </c>
      <c r="AH166" s="19" t="n">
        <f aca="false">IF(AND('Bonding Program'!$S$25=1,AH$3='Bonding Program'!$H$25),'Bonding Program'!$AA$25,0)-IF(AH$3&lt;='Bonding Program'!$C$8,IF(AND('Bonding Program'!$K$25&lt;&gt;"",AH$3='Bonding Program'!$K$25),'Bonding Program'!$J$25,0)-IF(AND('Bonding Program'!$M$25&lt;&gt;"",AH$3='Bonding Program'!$M$25),'Bonding Program'!$L$25,0)-IF(AND('Bonding Program'!$P$25&lt;&gt;"",AH$3='Bonding Program'!$P$25),'Bonding Program'!$O$25,0)-IF(AND('Bonding Program'!$R$25&lt;&gt;"",AH$3='Bonding Program'!$R$25),'Bonding Program'!$Q$25,0),0)</f>
        <v>0</v>
      </c>
      <c r="AI166" s="19" t="n">
        <f aca="false">IF(AND('Bonding Program'!$S$25=1,AI$3='Bonding Program'!$H$25),'Bonding Program'!$AA$25,0)-IF(AI$3&lt;='Bonding Program'!$C$8,IF(AND('Bonding Program'!$K$25&lt;&gt;"",AI$3='Bonding Program'!$K$25),'Bonding Program'!$J$25,0)-IF(AND('Bonding Program'!$M$25&lt;&gt;"",AI$3='Bonding Program'!$M$25),'Bonding Program'!$L$25,0)-IF(AND('Bonding Program'!$P$25&lt;&gt;"",AI$3='Bonding Program'!$P$25),'Bonding Program'!$O$25,0)-IF(AND('Bonding Program'!$R$25&lt;&gt;"",AI$3='Bonding Program'!$R$25),'Bonding Program'!$Q$25,0),0)</f>
        <v>0</v>
      </c>
      <c r="AJ166" s="19" t="n">
        <f aca="false">IF(AND('Bonding Program'!$S$25=1,AJ$3='Bonding Program'!$H$25),'Bonding Program'!$AA$25,0)-IF(AJ$3&lt;='Bonding Program'!$C$8,IF(AND('Bonding Program'!$K$25&lt;&gt;"",AJ$3='Bonding Program'!$K$25),'Bonding Program'!$J$25,0)-IF(AND('Bonding Program'!$M$25&lt;&gt;"",AJ$3='Bonding Program'!$M$25),'Bonding Program'!$L$25,0)-IF(AND('Bonding Program'!$P$25&lt;&gt;"",AJ$3='Bonding Program'!$P$25),'Bonding Program'!$O$25,0)-IF(AND('Bonding Program'!$R$25&lt;&gt;"",AJ$3='Bonding Program'!$R$25),'Bonding Program'!$Q$25,0),0)</f>
        <v>0</v>
      </c>
      <c r="AK166" s="19" t="n">
        <f aca="false">IF(AND('Bonding Program'!$S$25=1,AK$3='Bonding Program'!$H$25),'Bonding Program'!$AA$25,0)-IF(AK$3&lt;='Bonding Program'!$C$8,IF(AND('Bonding Program'!$K$25&lt;&gt;"",AK$3='Bonding Program'!$K$25),'Bonding Program'!$J$25,0)-IF(AND('Bonding Program'!$M$25&lt;&gt;"",AK$3='Bonding Program'!$M$25),'Bonding Program'!$L$25,0)-IF(AND('Bonding Program'!$P$25&lt;&gt;"",AK$3='Bonding Program'!$P$25),'Bonding Program'!$O$25,0)-IF(AND('Bonding Program'!$R$25&lt;&gt;"",AK$3='Bonding Program'!$R$25),'Bonding Program'!$Q$25,0),0)</f>
        <v>0</v>
      </c>
      <c r="AL166" s="19" t="n">
        <f aca="false">IF(AND('Bonding Program'!$S$25=1,AL$3='Bonding Program'!$H$25),'Bonding Program'!$AA$25,0)-IF(AL$3&lt;='Bonding Program'!$C$8,IF(AND('Bonding Program'!$K$25&lt;&gt;"",AL$3='Bonding Program'!$K$25),'Bonding Program'!$J$25,0)-IF(AND('Bonding Program'!$M$25&lt;&gt;"",AL$3='Bonding Program'!$M$25),'Bonding Program'!$L$25,0)-IF(AND('Bonding Program'!$P$25&lt;&gt;"",AL$3='Bonding Program'!$P$25),'Bonding Program'!$O$25,0)-IF(AND('Bonding Program'!$R$25&lt;&gt;"",AL$3='Bonding Program'!$R$25),'Bonding Program'!$Q$25,0),0)</f>
        <v>0</v>
      </c>
      <c r="AM166" s="19" t="n">
        <f aca="false">IF(AND('Bonding Program'!$S$25=1,AM$3='Bonding Program'!$H$25),'Bonding Program'!$AA$25,0)-IF(AM$3&lt;='Bonding Program'!$C$8,IF(AND('Bonding Program'!$K$25&lt;&gt;"",AM$3='Bonding Program'!$K$25),'Bonding Program'!$J$25,0)-IF(AND('Bonding Program'!$M$25&lt;&gt;"",AM$3='Bonding Program'!$M$25),'Bonding Program'!$L$25,0)-IF(AND('Bonding Program'!$P$25&lt;&gt;"",AM$3='Bonding Program'!$P$25),'Bonding Program'!$O$25,0)-IF(AND('Bonding Program'!$R$25&lt;&gt;"",AM$3='Bonding Program'!$R$25),'Bonding Program'!$Q$25,0),0)</f>
        <v>0</v>
      </c>
      <c r="AN166" s="19" t="n">
        <f aca="false">IF(AND('Bonding Program'!$S$25=1,AN$3='Bonding Program'!$H$25),'Bonding Program'!$AA$25,0)-IF(AN$3&lt;='Bonding Program'!$C$8,IF(AND('Bonding Program'!$K$25&lt;&gt;"",AN$3='Bonding Program'!$K$25),'Bonding Program'!$J$25,0)-IF(AND('Bonding Program'!$M$25&lt;&gt;"",AN$3='Bonding Program'!$M$25),'Bonding Program'!$L$25,0)-IF(AND('Bonding Program'!$P$25&lt;&gt;"",AN$3='Bonding Program'!$P$25),'Bonding Program'!$O$25,0)-IF(AND('Bonding Program'!$R$25&lt;&gt;"",AN$3='Bonding Program'!$R$25),'Bonding Program'!$Q$25,0),0)</f>
        <v>0</v>
      </c>
      <c r="AO166" s="19" t="n">
        <f aca="false">IF(AND('Bonding Program'!$S$25=1,AO$3='Bonding Program'!$H$25),'Bonding Program'!$AA$25,0)-IF(AO$3&lt;='Bonding Program'!$C$8,IF(AND('Bonding Program'!$K$25&lt;&gt;"",AO$3='Bonding Program'!$K$25),'Bonding Program'!$J$25,0)-IF(AND('Bonding Program'!$M$25&lt;&gt;"",AO$3='Bonding Program'!$M$25),'Bonding Program'!$L$25,0)-IF(AND('Bonding Program'!$P$25&lt;&gt;"",AO$3='Bonding Program'!$P$25),'Bonding Program'!$O$25,0)-IF(AND('Bonding Program'!$R$25&lt;&gt;"",AO$3='Bonding Program'!$R$25),'Bonding Program'!$Q$25,0),0)</f>
        <v>0</v>
      </c>
      <c r="AP166" s="19" t="n">
        <f aca="false">IF(AND('Bonding Program'!$S$25=1,AP$3='Bonding Program'!$H$25),'Bonding Program'!$AA$25,0)-IF(AP$3&lt;='Bonding Program'!$C$8,IF(AND('Bonding Program'!$K$25&lt;&gt;"",AP$3='Bonding Program'!$K$25),'Bonding Program'!$J$25,0)-IF(AND('Bonding Program'!$M$25&lt;&gt;"",AP$3='Bonding Program'!$M$25),'Bonding Program'!$L$25,0)-IF(AND('Bonding Program'!$P$25&lt;&gt;"",AP$3='Bonding Program'!$P$25),'Bonding Program'!$O$25,0)-IF(AND('Bonding Program'!$R$25&lt;&gt;"",AP$3='Bonding Program'!$R$25),'Bonding Program'!$Q$25,0),0)</f>
        <v>0</v>
      </c>
      <c r="AQ166" s="19" t="n">
        <f aca="false">IF(AND('Bonding Program'!$S$25=1,AQ$3='Bonding Program'!$H$25),'Bonding Program'!$AA$25,0)-IF(AQ$3&lt;='Bonding Program'!$C$8,IF(AND('Bonding Program'!$K$25&lt;&gt;"",AQ$3='Bonding Program'!$K$25),'Bonding Program'!$J$25,0)-IF(AND('Bonding Program'!$M$25&lt;&gt;"",AQ$3='Bonding Program'!$M$25),'Bonding Program'!$L$25,0)-IF(AND('Bonding Program'!$P$25&lt;&gt;"",AQ$3='Bonding Program'!$P$25),'Bonding Program'!$O$25,0)-IF(AND('Bonding Program'!$R$25&lt;&gt;"",AQ$3='Bonding Program'!$R$25),'Bonding Program'!$Q$25,0),0)</f>
        <v>0</v>
      </c>
      <c r="AR166" s="19" t="n">
        <f aca="false">IF(AND('Bonding Program'!$S$25=1,AR$3='Bonding Program'!$H$25),'Bonding Program'!$AA$25,0)-IF(AR$3&lt;='Bonding Program'!$C$8,IF(AND('Bonding Program'!$K$25&lt;&gt;"",AR$3='Bonding Program'!$K$25),'Bonding Program'!$J$25,0)-IF(AND('Bonding Program'!$M$25&lt;&gt;"",AR$3='Bonding Program'!$M$25),'Bonding Program'!$L$25,0)-IF(AND('Bonding Program'!$P$25&lt;&gt;"",AR$3='Bonding Program'!$P$25),'Bonding Program'!$O$25,0)-IF(AND('Bonding Program'!$R$25&lt;&gt;"",AR$3='Bonding Program'!$R$25),'Bonding Program'!$Q$25,0),0)</f>
        <v>0</v>
      </c>
      <c r="AS166" s="19" t="n">
        <f aca="false">IF(AND('Bonding Program'!$S$25=1,AS$3='Bonding Program'!$H$25),'Bonding Program'!$AA$25,0)-IF(AS$3&lt;='Bonding Program'!$C$8,IF(AND('Bonding Program'!$K$25&lt;&gt;"",AS$3='Bonding Program'!$K$25),'Bonding Program'!$J$25,0)-IF(AND('Bonding Program'!$M$25&lt;&gt;"",AS$3='Bonding Program'!$M$25),'Bonding Program'!$L$25,0)-IF(AND('Bonding Program'!$P$25&lt;&gt;"",AS$3='Bonding Program'!$P$25),'Bonding Program'!$O$25,0)-IF(AND('Bonding Program'!$R$25&lt;&gt;"",AS$3='Bonding Program'!$R$25),'Bonding Program'!$Q$25,0),0)</f>
        <v>0</v>
      </c>
      <c r="AT166" s="19" t="n">
        <f aca="false">IF(AND('Bonding Program'!$S$25=1,AT$3='Bonding Program'!$H$25),'Bonding Program'!$AA$25,0)-IF(AT$3&lt;='Bonding Program'!$C$8,IF(AND('Bonding Program'!$K$25&lt;&gt;"",AT$3='Bonding Program'!$K$25),'Bonding Program'!$J$25,0)-IF(AND('Bonding Program'!$M$25&lt;&gt;"",AT$3='Bonding Program'!$M$25),'Bonding Program'!$L$25,0)-IF(AND('Bonding Program'!$P$25&lt;&gt;"",AT$3='Bonding Program'!$P$25),'Bonding Program'!$O$25,0)-IF(AND('Bonding Program'!$R$25&lt;&gt;"",AT$3='Bonding Program'!$R$25),'Bonding Program'!$Q$25,0),0)</f>
        <v>0</v>
      </c>
      <c r="AU166" s="19" t="n">
        <f aca="false">IF(AND('Bonding Program'!$S$25=1,AU$3='Bonding Program'!$H$25),'Bonding Program'!$AA$25,0)-IF(AU$3&lt;='Bonding Program'!$C$8,IF(AND('Bonding Program'!$K$25&lt;&gt;"",AU$3='Bonding Program'!$K$25),'Bonding Program'!$J$25,0)-IF(AND('Bonding Program'!$M$25&lt;&gt;"",AU$3='Bonding Program'!$M$25),'Bonding Program'!$L$25,0)-IF(AND('Bonding Program'!$P$25&lt;&gt;"",AU$3='Bonding Program'!$P$25),'Bonding Program'!$O$25,0)-IF(AND('Bonding Program'!$R$25&lt;&gt;"",AU$3='Bonding Program'!$R$25),'Bonding Program'!$Q$25,0),0)</f>
        <v>0</v>
      </c>
      <c r="AV166" s="19" t="n">
        <f aca="false">IF(AND('Bonding Program'!$S$25=1,AV$3='Bonding Program'!$H$25),'Bonding Program'!$AA$25,0)-IF(AV$3&lt;='Bonding Program'!$C$8,IF(AND('Bonding Program'!$K$25&lt;&gt;"",AV$3='Bonding Program'!$K$25),'Bonding Program'!$J$25,0)-IF(AND('Bonding Program'!$M$25&lt;&gt;"",AV$3='Bonding Program'!$M$25),'Bonding Program'!$L$25,0)-IF(AND('Bonding Program'!$P$25&lt;&gt;"",AV$3='Bonding Program'!$P$25),'Bonding Program'!$O$25,0)-IF(AND('Bonding Program'!$R$25&lt;&gt;"",AV$3='Bonding Program'!$R$25),'Bonding Program'!$Q$25,0),0)</f>
        <v>0</v>
      </c>
      <c r="AW166" s="19" t="n">
        <f aca="false">IF(AND('Bonding Program'!$S$25=1,AW$3='Bonding Program'!$H$25),'Bonding Program'!$AA$25,0)-IF(AW$3&lt;='Bonding Program'!$C$8,IF(AND('Bonding Program'!$K$25&lt;&gt;"",AW$3='Bonding Program'!$K$25),'Bonding Program'!$J$25,0)-IF(AND('Bonding Program'!$M$25&lt;&gt;"",AW$3='Bonding Program'!$M$25),'Bonding Program'!$L$25,0)-IF(AND('Bonding Program'!$P$25&lt;&gt;"",AW$3='Bonding Program'!$P$25),'Bonding Program'!$O$25,0)-IF(AND('Bonding Program'!$R$25&lt;&gt;"",AW$3='Bonding Program'!$R$25),'Bonding Program'!$Q$25,0),0)</f>
        <v>0</v>
      </c>
      <c r="AX166" s="19" t="n">
        <f aca="false">IF(AND('Bonding Program'!$S$25=1,AX$3='Bonding Program'!$H$25),'Bonding Program'!$AA$25,0)-IF(AX$3&lt;='Bonding Program'!$C$8,IF(AND('Bonding Program'!$K$25&lt;&gt;"",AX$3='Bonding Program'!$K$25),'Bonding Program'!$J$25,0)-IF(AND('Bonding Program'!$M$25&lt;&gt;"",AX$3='Bonding Program'!$M$25),'Bonding Program'!$L$25,0)-IF(AND('Bonding Program'!$P$25&lt;&gt;"",AX$3='Bonding Program'!$P$25),'Bonding Program'!$O$25,0)-IF(AND('Bonding Program'!$R$25&lt;&gt;"",AX$3='Bonding Program'!$R$25),'Bonding Program'!$Q$25,0),0)</f>
        <v>0</v>
      </c>
      <c r="AY166" s="19" t="n">
        <f aca="false">IF(AND('Bonding Program'!$S$25=1,AY$3='Bonding Program'!$H$25),'Bonding Program'!$AA$25,0)-IF(AY$3&lt;='Bonding Program'!$C$8,IF(AND('Bonding Program'!$K$25&lt;&gt;"",AY$3='Bonding Program'!$K$25),'Bonding Program'!$J$25,0)-IF(AND('Bonding Program'!$M$25&lt;&gt;"",AY$3='Bonding Program'!$M$25),'Bonding Program'!$L$25,0)-IF(AND('Bonding Program'!$P$25&lt;&gt;"",AY$3='Bonding Program'!$P$25),'Bonding Program'!$O$25,0)-IF(AND('Bonding Program'!$R$25&lt;&gt;"",AY$3='Bonding Program'!$R$25),'Bonding Program'!$Q$25,0),0)</f>
        <v>0</v>
      </c>
      <c r="AZ166" s="19" t="n">
        <f aca="false">IF(AND('Bonding Program'!$S$25=1,AZ$3='Bonding Program'!$H$25),'Bonding Program'!$AA$25,0)-IF(AZ$3&lt;='Bonding Program'!$C$8,IF(AND('Bonding Program'!$K$25&lt;&gt;"",AZ$3='Bonding Program'!$K$25),'Bonding Program'!$J$25,0)-IF(AND('Bonding Program'!$M$25&lt;&gt;"",AZ$3='Bonding Program'!$M$25),'Bonding Program'!$L$25,0)-IF(AND('Bonding Program'!$P$25&lt;&gt;"",AZ$3='Bonding Program'!$P$25),'Bonding Program'!$O$25,0)-IF(AND('Bonding Program'!$R$25&lt;&gt;"",AZ$3='Bonding Program'!$R$25),'Bonding Program'!$Q$25,0),0)</f>
        <v>0</v>
      </c>
      <c r="BA166" s="19" t="n">
        <f aca="false">IF(AND('Bonding Program'!$S$25=1,BA$3='Bonding Program'!$H$25),'Bonding Program'!$AA$25,0)-IF(BA$3&lt;='Bonding Program'!$C$8,IF(AND('Bonding Program'!$K$25&lt;&gt;"",BA$3='Bonding Program'!$K$25),'Bonding Program'!$J$25,0)-IF(AND('Bonding Program'!$M$25&lt;&gt;"",BA$3='Bonding Program'!$M$25),'Bonding Program'!$L$25,0)-IF(AND('Bonding Program'!$P$25&lt;&gt;"",BA$3='Bonding Program'!$P$25),'Bonding Program'!$O$25,0)-IF(AND('Bonding Program'!$R$25&lt;&gt;"",BA$3='Bonding Program'!$R$25),'Bonding Program'!$Q$25,0),0)</f>
        <v>0</v>
      </c>
      <c r="BB166" s="19" t="n">
        <f aca="false">IF(AND('Bonding Program'!$S$25=1,BB$3='Bonding Program'!$H$25),'Bonding Program'!$AA$25,0)-IF(BB$3&lt;='Bonding Program'!$C$8,IF(AND('Bonding Program'!$K$25&lt;&gt;"",BB$3='Bonding Program'!$K$25),'Bonding Program'!$J$25,0)-IF(AND('Bonding Program'!$M$25&lt;&gt;"",BB$3='Bonding Program'!$M$25),'Bonding Program'!$L$25,0)-IF(AND('Bonding Program'!$P$25&lt;&gt;"",BB$3='Bonding Program'!$P$25),'Bonding Program'!$O$25,0)-IF(AND('Bonding Program'!$R$25&lt;&gt;"",BB$3='Bonding Program'!$R$25),'Bonding Program'!$Q$25,0),0)</f>
        <v>0</v>
      </c>
      <c r="BC166" s="19" t="n">
        <f aca="false">IF(AND('Bonding Program'!$S$25=1,BC$3='Bonding Program'!$H$25),'Bonding Program'!$AA$25,0)-IF(BC$3&lt;='Bonding Program'!$C$8,IF(AND('Bonding Program'!$K$25&lt;&gt;"",BC$3='Bonding Program'!$K$25),'Bonding Program'!$J$25,0)-IF(AND('Bonding Program'!$M$25&lt;&gt;"",BC$3='Bonding Program'!$M$25),'Bonding Program'!$L$25,0)-IF(AND('Bonding Program'!$P$25&lt;&gt;"",BC$3='Bonding Program'!$P$25),'Bonding Program'!$O$25,0)-IF(AND('Bonding Program'!$R$25&lt;&gt;"",BC$3='Bonding Program'!$R$25),'Bonding Program'!$Q$25,0),0)</f>
        <v>0</v>
      </c>
      <c r="BD166" s="19" t="n">
        <f aca="false">IF(AND('Bonding Program'!$S$25=1,BD$3='Bonding Program'!$H$25),'Bonding Program'!$AA$25,0)-IF(BD$3&lt;='Bonding Program'!$C$8,IF(AND('Bonding Program'!$K$25&lt;&gt;"",BD$3='Bonding Program'!$K$25),'Bonding Program'!$J$25,0)-IF(AND('Bonding Program'!$M$25&lt;&gt;"",BD$3='Bonding Program'!$M$25),'Bonding Program'!$L$25,0)-IF(AND('Bonding Program'!$P$25&lt;&gt;"",BD$3='Bonding Program'!$P$25),'Bonding Program'!$O$25,0)-IF(AND('Bonding Program'!$R$25&lt;&gt;"",BD$3='Bonding Program'!$R$25),'Bonding Program'!$Q$25,0),0)</f>
        <v>0</v>
      </c>
      <c r="BE166" s="19" t="n">
        <f aca="false">IF(AND('Bonding Program'!$S$25=1,BE$3='Bonding Program'!$H$25),'Bonding Program'!$AA$25,0)-IF(BE$3&lt;='Bonding Program'!$C$8,IF(AND('Bonding Program'!$K$25&lt;&gt;"",BE$3='Bonding Program'!$K$25),'Bonding Program'!$J$25,0)-IF(AND('Bonding Program'!$M$25&lt;&gt;"",BE$3='Bonding Program'!$M$25),'Bonding Program'!$L$25,0)-IF(AND('Bonding Program'!$P$25&lt;&gt;"",BE$3='Bonding Program'!$P$25),'Bonding Program'!$O$25,0)-IF(AND('Bonding Program'!$R$25&lt;&gt;"",BE$3='Bonding Program'!$R$25),'Bonding Program'!$Q$25,0),0)</f>
        <v>0</v>
      </c>
      <c r="BF166" s="19" t="n">
        <f aca="false">IF(AND('Bonding Program'!$S$25=1,BF$3='Bonding Program'!$H$25),'Bonding Program'!$AA$25,0)-IF(BF$3&lt;='Bonding Program'!$C$8,IF(AND('Bonding Program'!$K$25&lt;&gt;"",BF$3='Bonding Program'!$K$25),'Bonding Program'!$J$25,0)-IF(AND('Bonding Program'!$M$25&lt;&gt;"",BF$3='Bonding Program'!$M$25),'Bonding Program'!$L$25,0)-IF(AND('Bonding Program'!$P$25&lt;&gt;"",BF$3='Bonding Program'!$P$25),'Bonding Program'!$O$25,0)-IF(AND('Bonding Program'!$R$25&lt;&gt;"",BF$3='Bonding Program'!$R$25),'Bonding Program'!$Q$25,0),0)</f>
        <v>0</v>
      </c>
      <c r="BG166" s="19" t="n">
        <f aca="false">IF(AND('Bonding Program'!$S$25=1,BG$3='Bonding Program'!$H$25),'Bonding Program'!$AA$25,0)-IF(BG$3&lt;='Bonding Program'!$C$8,IF(AND('Bonding Program'!$K$25&lt;&gt;"",BG$3='Bonding Program'!$K$25),'Bonding Program'!$J$25,0)-IF(AND('Bonding Program'!$M$25&lt;&gt;"",BG$3='Bonding Program'!$M$25),'Bonding Program'!$L$25,0)-IF(AND('Bonding Program'!$P$25&lt;&gt;"",BG$3='Bonding Program'!$P$25),'Bonding Program'!$O$25,0)-IF(AND('Bonding Program'!$R$25&lt;&gt;"",BG$3='Bonding Program'!$R$25),'Bonding Program'!$Q$25,0),0)</f>
        <v>0</v>
      </c>
      <c r="BH166" s="19" t="n">
        <f aca="false">IF(AND('Bonding Program'!$S$25=1,BH$3='Bonding Program'!$H$25),'Bonding Program'!$AA$25,0)-IF(BH$3&lt;='Bonding Program'!$C$8,IF(AND('Bonding Program'!$K$25&lt;&gt;"",BH$3='Bonding Program'!$K$25),'Bonding Program'!$J$25,0)-IF(AND('Bonding Program'!$M$25&lt;&gt;"",BH$3='Bonding Program'!$M$25),'Bonding Program'!$L$25,0)-IF(AND('Bonding Program'!$P$25&lt;&gt;"",BH$3='Bonding Program'!$P$25),'Bonding Program'!$O$25,0)-IF(AND('Bonding Program'!$R$25&lt;&gt;"",BH$3='Bonding Program'!$R$25),'Bonding Program'!$Q$25,0),0)</f>
        <v>0</v>
      </c>
      <c r="BI166" s="19" t="n">
        <f aca="false">IF(AND('Bonding Program'!$S$25=1,BI$3='Bonding Program'!$H$25),'Bonding Program'!$AA$25,0)-IF(BI$3&lt;='Bonding Program'!$C$8,IF(AND('Bonding Program'!$K$25&lt;&gt;"",BI$3='Bonding Program'!$K$25),'Bonding Program'!$J$25,0)-IF(AND('Bonding Program'!$M$25&lt;&gt;"",BI$3='Bonding Program'!$M$25),'Bonding Program'!$L$25,0)-IF(AND('Bonding Program'!$P$25&lt;&gt;"",BI$3='Bonding Program'!$P$25),'Bonding Program'!$O$25,0)-IF(AND('Bonding Program'!$R$25&lt;&gt;"",BI$3='Bonding Program'!$R$25),'Bonding Program'!$Q$25,0),0)</f>
        <v>0</v>
      </c>
      <c r="BJ166" s="19" t="n">
        <f aca="false">IF(AND('Bonding Program'!$S$25=1,BJ$3='Bonding Program'!$H$25),'Bonding Program'!$AA$25,0)-IF(BJ$3&lt;='Bonding Program'!$C$8,IF(AND('Bonding Program'!$K$25&lt;&gt;"",BJ$3='Bonding Program'!$K$25),'Bonding Program'!$J$25,0)-IF(AND('Bonding Program'!$M$25&lt;&gt;"",BJ$3='Bonding Program'!$M$25),'Bonding Program'!$L$25,0)-IF(AND('Bonding Program'!$P$25&lt;&gt;"",BJ$3='Bonding Program'!$P$25),'Bonding Program'!$O$25,0)-IF(AND('Bonding Program'!$R$25&lt;&gt;"",BJ$3='Bonding Program'!$R$25),'Bonding Program'!$Q$25,0),0)</f>
        <v>0</v>
      </c>
      <c r="BK166" s="19" t="n">
        <f aca="false">IF(AND('Bonding Program'!$S$25=1,BK$3='Bonding Program'!$H$25),'Bonding Program'!$AA$25,0)-IF(BK$3&lt;='Bonding Program'!$C$8,IF(AND('Bonding Program'!$K$25&lt;&gt;"",BK$3='Bonding Program'!$K$25),'Bonding Program'!$J$25,0)-IF(AND('Bonding Program'!$M$25&lt;&gt;"",BK$3='Bonding Program'!$M$25),'Bonding Program'!$L$25,0)-IF(AND('Bonding Program'!$P$25&lt;&gt;"",BK$3='Bonding Program'!$P$25),'Bonding Program'!$O$25,0)-IF(AND('Bonding Program'!$R$25&lt;&gt;"",BK$3='Bonding Program'!$R$25),'Bonding Program'!$Q$25,0),0)</f>
        <v>0</v>
      </c>
      <c r="BL166" s="19" t="n">
        <f aca="false">IF(AND('Bonding Program'!$S$25=1,BL$3='Bonding Program'!$H$25),'Bonding Program'!$AA$25,0)-IF(BL$3&lt;='Bonding Program'!$C$8,IF(AND('Bonding Program'!$K$25&lt;&gt;"",BL$3='Bonding Program'!$K$25),'Bonding Program'!$J$25,0)-IF(AND('Bonding Program'!$M$25&lt;&gt;"",BL$3='Bonding Program'!$M$25),'Bonding Program'!$L$25,0)-IF(AND('Bonding Program'!$P$25&lt;&gt;"",BL$3='Bonding Program'!$P$25),'Bonding Program'!$O$25,0)-IF(AND('Bonding Program'!$R$25&lt;&gt;"",BL$3='Bonding Program'!$R$25),'Bonding Program'!$Q$25,0),0)</f>
        <v>0</v>
      </c>
      <c r="BM166" s="19" t="n">
        <f aca="false">IF(AND('Bonding Program'!$S$25=1,BM$3='Bonding Program'!$H$25),'Bonding Program'!$AA$25,0)-IF(BM$3&lt;='Bonding Program'!$C$8,IF(AND('Bonding Program'!$K$25&lt;&gt;"",BM$3='Bonding Program'!$K$25),'Bonding Program'!$J$25,0)-IF(AND('Bonding Program'!$M$25&lt;&gt;"",BM$3='Bonding Program'!$M$25),'Bonding Program'!$L$25,0)-IF(AND('Bonding Program'!$P$25&lt;&gt;"",BM$3='Bonding Program'!$P$25),'Bonding Program'!$O$25,0)-IF(AND('Bonding Program'!$R$25&lt;&gt;"",BM$3='Bonding Program'!$R$25),'Bonding Program'!$Q$25,0),0)</f>
        <v>0</v>
      </c>
      <c r="BN166" s="19" t="n">
        <f aca="false">IF(AND('Bonding Program'!$S$25=1,BN$3='Bonding Program'!$H$25),'Bonding Program'!$AA$25,0)-IF(BN$3&lt;='Bonding Program'!$C$8,IF(AND('Bonding Program'!$K$25&lt;&gt;"",BN$3='Bonding Program'!$K$25),'Bonding Program'!$J$25,0)-IF(AND('Bonding Program'!$M$25&lt;&gt;"",BN$3='Bonding Program'!$M$25),'Bonding Program'!$L$25,0)-IF(AND('Bonding Program'!$P$25&lt;&gt;"",BN$3='Bonding Program'!$P$25),'Bonding Program'!$O$25,0)-IF(AND('Bonding Program'!$R$25&lt;&gt;"",BN$3='Bonding Program'!$R$25),'Bonding Program'!$Q$25,0),0)</f>
        <v>0</v>
      </c>
      <c r="BO166" s="19" t="n">
        <f aca="false">IF(AND('Bonding Program'!$S$25=1,BO$3='Bonding Program'!$H$25),'Bonding Program'!$AA$25,0)-IF(BO$3&lt;='Bonding Program'!$C$8,IF(AND('Bonding Program'!$K$25&lt;&gt;"",BO$3='Bonding Program'!$K$25),'Bonding Program'!$J$25,0)-IF(AND('Bonding Program'!$M$25&lt;&gt;"",BO$3='Bonding Program'!$M$25),'Bonding Program'!$L$25,0)-IF(AND('Bonding Program'!$P$25&lt;&gt;"",BO$3='Bonding Program'!$P$25),'Bonding Program'!$O$25,0)-IF(AND('Bonding Program'!$R$25&lt;&gt;"",BO$3='Bonding Program'!$R$25),'Bonding Program'!$Q$25,0),0)</f>
        <v>0</v>
      </c>
      <c r="BP166" s="19" t="n">
        <f aca="false">IF(AND('Bonding Program'!$S$25=1,BP$3='Bonding Program'!$H$25),'Bonding Program'!$AA$25,0)-IF(BP$3&lt;='Bonding Program'!$C$8,IF(AND('Bonding Program'!$K$25&lt;&gt;"",BP$3='Bonding Program'!$K$25),'Bonding Program'!$J$25,0)-IF(AND('Bonding Program'!$M$25&lt;&gt;"",BP$3='Bonding Program'!$M$25),'Bonding Program'!$L$25,0)-IF(AND('Bonding Program'!$P$25&lt;&gt;"",BP$3='Bonding Program'!$P$25),'Bonding Program'!$O$25,0)-IF(AND('Bonding Program'!$R$25&lt;&gt;"",BP$3='Bonding Program'!$R$25),'Bonding Program'!$Q$25,0),0)</f>
        <v>0</v>
      </c>
      <c r="BQ166" s="19" t="n">
        <f aca="false">IF(AND('Bonding Program'!$S$25=1,BQ$3='Bonding Program'!$H$25),'Bonding Program'!$AA$25,0)-IF(BQ$3&lt;='Bonding Program'!$C$8,IF(AND('Bonding Program'!$K$25&lt;&gt;"",BQ$3='Bonding Program'!$K$25),'Bonding Program'!$J$25,0)-IF(AND('Bonding Program'!$M$25&lt;&gt;"",BQ$3='Bonding Program'!$M$25),'Bonding Program'!$L$25,0)-IF(AND('Bonding Program'!$P$25&lt;&gt;"",BQ$3='Bonding Program'!$P$25),'Bonding Program'!$O$25,0)-IF(AND('Bonding Program'!$R$25&lt;&gt;"",BQ$3='Bonding Program'!$R$25),'Bonding Program'!$Q$25,0),0)</f>
        <v>0</v>
      </c>
      <c r="BR166" s="19" t="n">
        <f aca="false">IF(AND('Bonding Program'!$S$25=1,BR$3='Bonding Program'!$H$25),'Bonding Program'!$AA$25,0)-IF(BR$3&lt;='Bonding Program'!$C$8,IF(AND('Bonding Program'!$K$25&lt;&gt;"",BR$3='Bonding Program'!$K$25),'Bonding Program'!$J$25,0)-IF(AND('Bonding Program'!$M$25&lt;&gt;"",BR$3='Bonding Program'!$M$25),'Bonding Program'!$L$25,0)-IF(AND('Bonding Program'!$P$25&lt;&gt;"",BR$3='Bonding Program'!$P$25),'Bonding Program'!$O$25,0)-IF(AND('Bonding Program'!$R$25&lt;&gt;"",BR$3='Bonding Program'!$R$25),'Bonding Program'!$Q$25,0),0)</f>
        <v>0</v>
      </c>
      <c r="BS166" s="19" t="n">
        <f aca="false">IF(AND('Bonding Program'!$S$25=1,BS$3='Bonding Program'!$H$25),'Bonding Program'!$AA$25,0)-IF(BS$3&lt;='Bonding Program'!$C$8,IF(AND('Bonding Program'!$K$25&lt;&gt;"",BS$3='Bonding Program'!$K$25),'Bonding Program'!$J$25,0)-IF(AND('Bonding Program'!$M$25&lt;&gt;"",BS$3='Bonding Program'!$M$25),'Bonding Program'!$L$25,0)-IF(AND('Bonding Program'!$P$25&lt;&gt;"",BS$3='Bonding Program'!$P$25),'Bonding Program'!$O$25,0)-IF(AND('Bonding Program'!$R$25&lt;&gt;"",BS$3='Bonding Program'!$R$25),'Bonding Program'!$Q$25,0),0)</f>
        <v>0</v>
      </c>
      <c r="BT166" s="19" t="n">
        <f aca="false">IF(AND('Bonding Program'!$S$25=1,BT$3='Bonding Program'!$H$25),'Bonding Program'!$AA$25,0)-IF(BT$3&lt;='Bonding Program'!$C$8,IF(AND('Bonding Program'!$K$25&lt;&gt;"",BT$3='Bonding Program'!$K$25),'Bonding Program'!$J$25,0)-IF(AND('Bonding Program'!$M$25&lt;&gt;"",BT$3='Bonding Program'!$M$25),'Bonding Program'!$L$25,0)-IF(AND('Bonding Program'!$P$25&lt;&gt;"",BT$3='Bonding Program'!$P$25),'Bonding Program'!$O$25,0)-IF(AND('Bonding Program'!$R$25&lt;&gt;"",BT$3='Bonding Program'!$R$25),'Bonding Program'!$Q$25,0),0)</f>
        <v>0</v>
      </c>
      <c r="BU166" s="19" t="n">
        <f aca="false">IF(AND('Bonding Program'!$S$25=1,BU$3='Bonding Program'!$H$25),'Bonding Program'!$AA$25,0)-IF(BU$3&lt;='Bonding Program'!$C$8,IF(AND('Bonding Program'!$K$25&lt;&gt;"",BU$3='Bonding Program'!$K$25),'Bonding Program'!$J$25,0)-IF(AND('Bonding Program'!$M$25&lt;&gt;"",BU$3='Bonding Program'!$M$25),'Bonding Program'!$L$25,0)-IF(AND('Bonding Program'!$P$25&lt;&gt;"",BU$3='Bonding Program'!$P$25),'Bonding Program'!$O$25,0)-IF(AND('Bonding Program'!$R$25&lt;&gt;"",BU$3='Bonding Program'!$R$25),'Bonding Program'!$Q$25,0),0)</f>
        <v>0</v>
      </c>
      <c r="BV166" s="19" t="n">
        <f aca="false">IF(AND('Bonding Program'!$S$25=1,BV$3='Bonding Program'!$H$25),'Bonding Program'!$AA$25,0)-IF(BV$3&lt;='Bonding Program'!$C$8,IF(AND('Bonding Program'!$K$25&lt;&gt;"",BV$3='Bonding Program'!$K$25),'Bonding Program'!$J$25,0)-IF(AND('Bonding Program'!$M$25&lt;&gt;"",BV$3='Bonding Program'!$M$25),'Bonding Program'!$L$25,0)-IF(AND('Bonding Program'!$P$25&lt;&gt;"",BV$3='Bonding Program'!$P$25),'Bonding Program'!$O$25,0)-IF(AND('Bonding Program'!$R$25&lt;&gt;"",BV$3='Bonding Program'!$R$25),'Bonding Program'!$Q$25,0),0)</f>
        <v>0</v>
      </c>
      <c r="BW166" s="19" t="n">
        <f aca="false">IF(AND('Bonding Program'!$S$25=1,BW$3='Bonding Program'!$H$25),'Bonding Program'!$AA$25,0)-IF(BW$3&lt;='Bonding Program'!$C$8,IF(AND('Bonding Program'!$K$25&lt;&gt;"",BW$3='Bonding Program'!$K$25),'Bonding Program'!$J$25,0)-IF(AND('Bonding Program'!$M$25&lt;&gt;"",BW$3='Bonding Program'!$M$25),'Bonding Program'!$L$25,0)-IF(AND('Bonding Program'!$P$25&lt;&gt;"",BW$3='Bonding Program'!$P$25),'Bonding Program'!$O$25,0)-IF(AND('Bonding Program'!$R$25&lt;&gt;"",BW$3='Bonding Program'!$R$25),'Bonding Program'!$Q$25,0),0)</f>
        <v>0</v>
      </c>
      <c r="BX166" s="19" t="n">
        <f aca="false">IF(AND('Bonding Program'!$S$25=1,BX$3='Bonding Program'!$H$25),'Bonding Program'!$AA$25,0)-IF(BX$3&lt;='Bonding Program'!$C$8,IF(AND('Bonding Program'!$K$25&lt;&gt;"",BX$3='Bonding Program'!$K$25),'Bonding Program'!$J$25,0)-IF(AND('Bonding Program'!$M$25&lt;&gt;"",BX$3='Bonding Program'!$M$25),'Bonding Program'!$L$25,0)-IF(AND('Bonding Program'!$P$25&lt;&gt;"",BX$3='Bonding Program'!$P$25),'Bonding Program'!$O$25,0)-IF(AND('Bonding Program'!$R$25&lt;&gt;"",BX$3='Bonding Program'!$R$25),'Bonding Program'!$Q$25,0),0)</f>
        <v>0</v>
      </c>
      <c r="BY166" s="19" t="n">
        <f aca="false">IF(AND('Bonding Program'!$S$25=1,BY$3='Bonding Program'!$H$25),'Bonding Program'!$AA$25,0)-IF(BY$3&lt;='Bonding Program'!$C$8,IF(AND('Bonding Program'!$K$25&lt;&gt;"",BY$3='Bonding Program'!$K$25),'Bonding Program'!$J$25,0)-IF(AND('Bonding Program'!$M$25&lt;&gt;"",BY$3='Bonding Program'!$M$25),'Bonding Program'!$L$25,0)-IF(AND('Bonding Program'!$P$25&lt;&gt;"",BY$3='Bonding Program'!$P$25),'Bonding Program'!$O$25,0)-IF(AND('Bonding Program'!$R$25&lt;&gt;"",BY$3='Bonding Program'!$R$25),'Bonding Program'!$Q$25,0),0)</f>
        <v>0</v>
      </c>
      <c r="BZ166" s="19" t="n">
        <f aca="false">IF(AND('Bonding Program'!$S$25=1,BZ$3='Bonding Program'!$H$25),'Bonding Program'!$AA$25,0)-IF(BZ$3&lt;='Bonding Program'!$C$8,IF(AND('Bonding Program'!$K$25&lt;&gt;"",BZ$3='Bonding Program'!$K$25),'Bonding Program'!$J$25,0)-IF(AND('Bonding Program'!$M$25&lt;&gt;"",BZ$3='Bonding Program'!$M$25),'Bonding Program'!$L$25,0)-IF(AND('Bonding Program'!$P$25&lt;&gt;"",BZ$3='Bonding Program'!$P$25),'Bonding Program'!$O$25,0)-IF(AND('Bonding Program'!$R$25&lt;&gt;"",BZ$3='Bonding Program'!$R$25),'Bonding Program'!$Q$25,0),0)</f>
        <v>0</v>
      </c>
      <c r="CA166" s="19" t="n">
        <f aca="false">IF(AND('Bonding Program'!$S$25=1,CA$3='Bonding Program'!$H$25),'Bonding Program'!$AA$25,0)-IF(CA$3&lt;='Bonding Program'!$C$8,IF(AND('Bonding Program'!$K$25&lt;&gt;"",CA$3='Bonding Program'!$K$25),'Bonding Program'!$J$25,0)-IF(AND('Bonding Program'!$M$25&lt;&gt;"",CA$3='Bonding Program'!$M$25),'Bonding Program'!$L$25,0)-IF(AND('Bonding Program'!$P$25&lt;&gt;"",CA$3='Bonding Program'!$P$25),'Bonding Program'!$O$25,0)-IF(AND('Bonding Program'!$R$25&lt;&gt;"",CA$3='Bonding Program'!$R$25),'Bonding Program'!$Q$25,0),0)</f>
        <v>0</v>
      </c>
      <c r="CB166" s="19" t="n">
        <f aca="false">IF(AND('Bonding Program'!$S$25=1,CB$3='Bonding Program'!$H$25),'Bonding Program'!$AA$25,0)-IF(CB$3&lt;='Bonding Program'!$C$8,IF(AND('Bonding Program'!$K$25&lt;&gt;"",CB$3='Bonding Program'!$K$25),'Bonding Program'!$J$25,0)-IF(AND('Bonding Program'!$M$25&lt;&gt;"",CB$3='Bonding Program'!$M$25),'Bonding Program'!$L$25,0)-IF(AND('Bonding Program'!$P$25&lt;&gt;"",CB$3='Bonding Program'!$P$25),'Bonding Program'!$O$25,0)-IF(AND('Bonding Program'!$R$25&lt;&gt;"",CB$3='Bonding Program'!$R$25),'Bonding Program'!$Q$25,0),0)</f>
        <v>0</v>
      </c>
      <c r="CC166" s="19" t="n">
        <f aca="false">IF(AND('Bonding Program'!$S$25=1,CC$3='Bonding Program'!$H$25),'Bonding Program'!$AA$25,0)-IF(CC$3&lt;='Bonding Program'!$C$8,IF(AND('Bonding Program'!$K$25&lt;&gt;"",CC$3='Bonding Program'!$K$25),'Bonding Program'!$J$25,0)-IF(AND('Bonding Program'!$M$25&lt;&gt;"",CC$3='Bonding Program'!$M$25),'Bonding Program'!$L$25,0)-IF(AND('Bonding Program'!$P$25&lt;&gt;"",CC$3='Bonding Program'!$P$25),'Bonding Program'!$O$25,0)-IF(AND('Bonding Program'!$R$25&lt;&gt;"",CC$3='Bonding Program'!$R$25),'Bonding Program'!$Q$25,0),0)</f>
        <v>0</v>
      </c>
      <c r="CD166" s="19" t="n">
        <f aca="false">IF(AND('Bonding Program'!$S$25=1,CD$3='Bonding Program'!$H$25),'Bonding Program'!$AA$25,0)-IF(CD$3&lt;='Bonding Program'!$C$8,IF(AND('Bonding Program'!$K$25&lt;&gt;"",CD$3='Bonding Program'!$K$25),'Bonding Program'!$J$25,0)-IF(AND('Bonding Program'!$M$25&lt;&gt;"",CD$3='Bonding Program'!$M$25),'Bonding Program'!$L$25,0)-IF(AND('Bonding Program'!$P$25&lt;&gt;"",CD$3='Bonding Program'!$P$25),'Bonding Program'!$O$25,0)-IF(AND('Bonding Program'!$R$25&lt;&gt;"",CD$3='Bonding Program'!$R$25),'Bonding Program'!$Q$25,0),0)</f>
        <v>0</v>
      </c>
      <c r="CE166" s="19" t="n">
        <f aca="false">IF(AND('Bonding Program'!$S$25=1,CE$3='Bonding Program'!$H$25),'Bonding Program'!$AA$25,0)-IF(CE$3&lt;='Bonding Program'!$C$8,IF(AND('Bonding Program'!$K$25&lt;&gt;"",CE$3='Bonding Program'!$K$25),'Bonding Program'!$J$25,0)-IF(AND('Bonding Program'!$M$25&lt;&gt;"",CE$3='Bonding Program'!$M$25),'Bonding Program'!$L$25,0)-IF(AND('Bonding Program'!$P$25&lt;&gt;"",CE$3='Bonding Program'!$P$25),'Bonding Program'!$O$25,0)-IF(AND('Bonding Program'!$R$25&lt;&gt;"",CE$3='Bonding Program'!$R$25),'Bonding Program'!$Q$25,0),0)</f>
        <v>0</v>
      </c>
      <c r="CF166" s="19" t="n">
        <f aca="false">IF(AND('Bonding Program'!$S$25=1,CF$3='Bonding Program'!$H$25),'Bonding Program'!$AA$25,0)-IF(CF$3&lt;='Bonding Program'!$C$8,IF(AND('Bonding Program'!$K$25&lt;&gt;"",CF$3='Bonding Program'!$K$25),'Bonding Program'!$J$25,0)-IF(AND('Bonding Program'!$M$25&lt;&gt;"",CF$3='Bonding Program'!$M$25),'Bonding Program'!$L$25,0)-IF(AND('Bonding Program'!$P$25&lt;&gt;"",CF$3='Bonding Program'!$P$25),'Bonding Program'!$O$25,0)-IF(AND('Bonding Program'!$R$25&lt;&gt;"",CF$3='Bonding Program'!$R$25),'Bonding Program'!$Q$25,0),0)</f>
        <v>0</v>
      </c>
      <c r="CG166" s="19" t="n">
        <f aca="false">IF(AND('Bonding Program'!$S$25=1,CG$3='Bonding Program'!$H$25),'Bonding Program'!$AA$25,0)-IF(CG$3&lt;='Bonding Program'!$C$8,IF(AND('Bonding Program'!$K$25&lt;&gt;"",CG$3='Bonding Program'!$K$25),'Bonding Program'!$J$25,0)-IF(AND('Bonding Program'!$M$25&lt;&gt;"",CG$3='Bonding Program'!$M$25),'Bonding Program'!$L$25,0)-IF(AND('Bonding Program'!$P$25&lt;&gt;"",CG$3='Bonding Program'!$P$25),'Bonding Program'!$O$25,0)-IF(AND('Bonding Program'!$R$25&lt;&gt;"",CG$3='Bonding Program'!$R$25),'Bonding Program'!$Q$25,0),0)</f>
        <v>0</v>
      </c>
      <c r="CH166" s="19" t="n">
        <f aca="false">IF(AND('Bonding Program'!$S$25=1,CH$3='Bonding Program'!$H$25),'Bonding Program'!$AA$25,0)-IF(CH$3&lt;='Bonding Program'!$C$8,IF(AND('Bonding Program'!$K$25&lt;&gt;"",CH$3='Bonding Program'!$K$25),'Bonding Program'!$J$25,0)-IF(AND('Bonding Program'!$M$25&lt;&gt;"",CH$3='Bonding Program'!$M$25),'Bonding Program'!$L$25,0)-IF(AND('Bonding Program'!$P$25&lt;&gt;"",CH$3='Bonding Program'!$P$25),'Bonding Program'!$O$25,0)-IF(AND('Bonding Program'!$R$25&lt;&gt;"",CH$3='Bonding Program'!$R$25),'Bonding Program'!$Q$25,0),0)</f>
        <v>0</v>
      </c>
      <c r="CI166" s="19" t="n">
        <f aca="false">IF(AND('Bonding Program'!$S$25=1,CI$3='Bonding Program'!$H$25),'Bonding Program'!$AA$25,0)-IF(CI$3&lt;='Bonding Program'!$C$8,IF(AND('Bonding Program'!$K$25&lt;&gt;"",CI$3='Bonding Program'!$K$25),'Bonding Program'!$J$25,0)-IF(AND('Bonding Program'!$M$25&lt;&gt;"",CI$3='Bonding Program'!$M$25),'Bonding Program'!$L$25,0)-IF(AND('Bonding Program'!$P$25&lt;&gt;"",CI$3='Bonding Program'!$P$25),'Bonding Program'!$O$25,0)-IF(AND('Bonding Program'!$R$25&lt;&gt;"",CI$3='Bonding Program'!$R$25),'Bonding Program'!$Q$25,0),0)</f>
        <v>0</v>
      </c>
      <c r="CJ166" s="19" t="n">
        <f aca="false">IF(AND('Bonding Program'!$S$25=1,CJ$3='Bonding Program'!$H$25),'Bonding Program'!$AA$25,0)-IF(CJ$3&lt;='Bonding Program'!$C$8,IF(AND('Bonding Program'!$K$25&lt;&gt;"",CJ$3='Bonding Program'!$K$25),'Bonding Program'!$J$25,0)-IF(AND('Bonding Program'!$M$25&lt;&gt;"",CJ$3='Bonding Program'!$M$25),'Bonding Program'!$L$25,0)-IF(AND('Bonding Program'!$P$25&lt;&gt;"",CJ$3='Bonding Program'!$P$25),'Bonding Program'!$O$25,0)-IF(AND('Bonding Program'!$R$25&lt;&gt;"",CJ$3='Bonding Program'!$R$25),'Bonding Program'!$Q$25,0),0)</f>
        <v>0</v>
      </c>
      <c r="CK166" s="19" t="n">
        <f aca="false">IF(AND('Bonding Program'!$S$25=1,CK$3='Bonding Program'!$H$25),'Bonding Program'!$AA$25,0)-IF(CK$3&lt;='Bonding Program'!$C$8,IF(AND('Bonding Program'!$K$25&lt;&gt;"",CK$3='Bonding Program'!$K$25),'Bonding Program'!$J$25,0)-IF(AND('Bonding Program'!$M$25&lt;&gt;"",CK$3='Bonding Program'!$M$25),'Bonding Program'!$L$25,0)-IF(AND('Bonding Program'!$P$25&lt;&gt;"",CK$3='Bonding Program'!$P$25),'Bonding Program'!$O$25,0)-IF(AND('Bonding Program'!$R$25&lt;&gt;"",CK$3='Bonding Program'!$R$25),'Bonding Program'!$Q$25,0),0)</f>
        <v>0</v>
      </c>
      <c r="CL166" s="19" t="n">
        <f aca="false">IF(AND('Bonding Program'!$S$25=1,CL$3='Bonding Program'!$H$25),'Bonding Program'!$AA$25,0)-IF(CL$3&lt;='Bonding Program'!$C$8,IF(AND('Bonding Program'!$K$25&lt;&gt;"",CL$3='Bonding Program'!$K$25),'Bonding Program'!$J$25,0)-IF(AND('Bonding Program'!$M$25&lt;&gt;"",CL$3='Bonding Program'!$M$25),'Bonding Program'!$L$25,0)-IF(AND('Bonding Program'!$P$25&lt;&gt;"",CL$3='Bonding Program'!$P$25),'Bonding Program'!$O$25,0)-IF(AND('Bonding Program'!$R$25&lt;&gt;"",CL$3='Bonding Program'!$R$25),'Bonding Program'!$Q$25,0),0)</f>
        <v>0</v>
      </c>
      <c r="CM166" s="19" t="n">
        <f aca="false">IF(AND('Bonding Program'!$S$25=1,CM$3='Bonding Program'!$H$25),'Bonding Program'!$AA$25,0)-IF(CM$3&lt;='Bonding Program'!$C$8,IF(AND('Bonding Program'!$K$25&lt;&gt;"",CM$3='Bonding Program'!$K$25),'Bonding Program'!$J$25,0)-IF(AND('Bonding Program'!$M$25&lt;&gt;"",CM$3='Bonding Program'!$M$25),'Bonding Program'!$L$25,0)-IF(AND('Bonding Program'!$P$25&lt;&gt;"",CM$3='Bonding Program'!$P$25),'Bonding Program'!$O$25,0)-IF(AND('Bonding Program'!$R$25&lt;&gt;"",CM$3='Bonding Program'!$R$25),'Bonding Program'!$Q$25,0),0)</f>
        <v>0</v>
      </c>
      <c r="CN166" s="19" t="n">
        <f aca="false">IF(AND('Bonding Program'!$S$25=1,CN$3='Bonding Program'!$H$25),'Bonding Program'!$AA$25,0)-IF(CN$3&lt;='Bonding Program'!$C$8,IF(AND('Bonding Program'!$K$25&lt;&gt;"",CN$3='Bonding Program'!$K$25),'Bonding Program'!$J$25,0)-IF(AND('Bonding Program'!$M$25&lt;&gt;"",CN$3='Bonding Program'!$M$25),'Bonding Program'!$L$25,0)-IF(AND('Bonding Program'!$P$25&lt;&gt;"",CN$3='Bonding Program'!$P$25),'Bonding Program'!$O$25,0)-IF(AND('Bonding Program'!$R$25&lt;&gt;"",CN$3='Bonding Program'!$R$25),'Bonding Program'!$Q$25,0),0)</f>
        <v>0</v>
      </c>
      <c r="CO166" s="19" t="n">
        <f aca="false">IF(AND('Bonding Program'!$S$25=1,CO$3='Bonding Program'!$H$25),'Bonding Program'!$AA$25,0)-IF(CO$3&lt;='Bonding Program'!$C$8,IF(AND('Bonding Program'!$K$25&lt;&gt;"",CO$3='Bonding Program'!$K$25),'Bonding Program'!$J$25,0)-IF(AND('Bonding Program'!$M$25&lt;&gt;"",CO$3='Bonding Program'!$M$25),'Bonding Program'!$L$25,0)-IF(AND('Bonding Program'!$P$25&lt;&gt;"",CO$3='Bonding Program'!$P$25),'Bonding Program'!$O$25,0)-IF(AND('Bonding Program'!$R$25&lt;&gt;"",CO$3='Bonding Program'!$R$25),'Bonding Program'!$Q$25,0),0)</f>
        <v>0</v>
      </c>
      <c r="CP166" s="19" t="n">
        <f aca="false">IF(AND('Bonding Program'!$S$25=1,CP$3='Bonding Program'!$H$25),'Bonding Program'!$AA$25,0)-IF(CP$3&lt;='Bonding Program'!$C$8,IF(AND('Bonding Program'!$K$25&lt;&gt;"",CP$3='Bonding Program'!$K$25),'Bonding Program'!$J$25,0)-IF(AND('Bonding Program'!$M$25&lt;&gt;"",CP$3='Bonding Program'!$M$25),'Bonding Program'!$L$25,0)-IF(AND('Bonding Program'!$P$25&lt;&gt;"",CP$3='Bonding Program'!$P$25),'Bonding Program'!$O$25,0)-IF(AND('Bonding Program'!$R$25&lt;&gt;"",CP$3='Bonding Program'!$R$25),'Bonding Program'!$Q$25,0),0)</f>
        <v>0</v>
      </c>
      <c r="CQ166" s="19" t="n">
        <f aca="false">IF(AND('Bonding Program'!$S$25=1,CQ$3='Bonding Program'!$H$25),'Bonding Program'!$AA$25,0)-IF(CQ$3&lt;='Bonding Program'!$C$8,IF(AND('Bonding Program'!$K$25&lt;&gt;"",CQ$3='Bonding Program'!$K$25),'Bonding Program'!$J$25,0)-IF(AND('Bonding Program'!$M$25&lt;&gt;"",CQ$3='Bonding Program'!$M$25),'Bonding Program'!$L$25,0)-IF(AND('Bonding Program'!$P$25&lt;&gt;"",CQ$3='Bonding Program'!$P$25),'Bonding Program'!$O$25,0)-IF(AND('Bonding Program'!$R$25&lt;&gt;"",CQ$3='Bonding Program'!$R$25),'Bonding Program'!$Q$25,0),0)</f>
        <v>0</v>
      </c>
      <c r="CR166" s="19" t="n">
        <f aca="false">IF(AND('Bonding Program'!$S$25=1,CR$3='Bonding Program'!$H$25),'Bonding Program'!$AA$25,0)-IF(CR$3&lt;='Bonding Program'!$C$8,IF(AND('Bonding Program'!$K$25&lt;&gt;"",CR$3='Bonding Program'!$K$25),'Bonding Program'!$J$25,0)-IF(AND('Bonding Program'!$M$25&lt;&gt;"",CR$3='Bonding Program'!$M$25),'Bonding Program'!$L$25,0)-IF(AND('Bonding Program'!$P$25&lt;&gt;"",CR$3='Bonding Program'!$P$25),'Bonding Program'!$O$25,0)-IF(AND('Bonding Program'!$R$25&lt;&gt;"",CR$3='Bonding Program'!$R$25),'Bonding Program'!$Q$25,0),0)</f>
        <v>0</v>
      </c>
      <c r="CS166" s="19" t="n">
        <f aca="false">IF(AND('Bonding Program'!$S$25=1,CS$3='Bonding Program'!$H$25),'Bonding Program'!$AA$25,0)-IF(CS$3&lt;='Bonding Program'!$C$8,IF(AND('Bonding Program'!$K$25&lt;&gt;"",CS$3='Bonding Program'!$K$25),'Bonding Program'!$J$25,0)-IF(AND('Bonding Program'!$M$25&lt;&gt;"",CS$3='Bonding Program'!$M$25),'Bonding Program'!$L$25,0)-IF(AND('Bonding Program'!$P$25&lt;&gt;"",CS$3='Bonding Program'!$P$25),'Bonding Program'!$O$25,0)-IF(AND('Bonding Program'!$R$25&lt;&gt;"",CS$3='Bonding Program'!$R$25),'Bonding Program'!$Q$25,0),0)</f>
        <v>0</v>
      </c>
      <c r="CT166" s="19" t="n">
        <f aca="false">IF(AND('Bonding Program'!$S$25=1,CT$3='Bonding Program'!$H$25),'Bonding Program'!$AA$25,0)-IF(CT$3&lt;='Bonding Program'!$C$8,IF(AND('Bonding Program'!$K$25&lt;&gt;"",CT$3='Bonding Program'!$K$25),'Bonding Program'!$J$25,0)-IF(AND('Bonding Program'!$M$25&lt;&gt;"",CT$3='Bonding Program'!$M$25),'Bonding Program'!$L$25,0)-IF(AND('Bonding Program'!$P$25&lt;&gt;"",CT$3='Bonding Program'!$P$25),'Bonding Program'!$O$25,0)-IF(AND('Bonding Program'!$R$25&lt;&gt;"",CT$3='Bonding Program'!$R$25),'Bonding Program'!$Q$25,0),0)</f>
        <v>0</v>
      </c>
      <c r="CU166" s="19" t="n">
        <f aca="false">IF(AND('Bonding Program'!$S$25=1,CU$3='Bonding Program'!$H$25),'Bonding Program'!$AA$25,0)-IF(CU$3&lt;='Bonding Program'!$C$8,IF(AND('Bonding Program'!$K$25&lt;&gt;"",CU$3='Bonding Program'!$K$25),'Bonding Program'!$J$25,0)-IF(AND('Bonding Program'!$M$25&lt;&gt;"",CU$3='Bonding Program'!$M$25),'Bonding Program'!$L$25,0)-IF(AND('Bonding Program'!$P$25&lt;&gt;"",CU$3='Bonding Program'!$P$25),'Bonding Program'!$O$25,0)-IF(AND('Bonding Program'!$R$25&lt;&gt;"",CU$3='Bonding Program'!$R$25),'Bonding Program'!$Q$25,0),0)</f>
        <v>0</v>
      </c>
      <c r="CV166" s="19" t="n">
        <f aca="false">IF(AND('Bonding Program'!$S$25=1,CV$3='Bonding Program'!$H$25),'Bonding Program'!$AA$25,0)-IF(CV$3&lt;='Bonding Program'!$C$8,IF(AND('Bonding Program'!$K$25&lt;&gt;"",CV$3='Bonding Program'!$K$25),'Bonding Program'!$J$25,0)-IF(AND('Bonding Program'!$M$25&lt;&gt;"",CV$3='Bonding Program'!$M$25),'Bonding Program'!$L$25,0)-IF(AND('Bonding Program'!$P$25&lt;&gt;"",CV$3='Bonding Program'!$P$25),'Bonding Program'!$O$25,0)-IF(AND('Bonding Program'!$R$25&lt;&gt;"",CV$3='Bonding Program'!$R$25),'Bonding Program'!$Q$25,0),0)</f>
        <v>0</v>
      </c>
      <c r="CW166" s="19" t="n">
        <f aca="false">IF(AND('Bonding Program'!$S$25=1,CW$3='Bonding Program'!$H$25),'Bonding Program'!$AA$25,0)-IF(CW$3&lt;='Bonding Program'!$C$8,IF(AND('Bonding Program'!$K$25&lt;&gt;"",CW$3='Bonding Program'!$K$25),'Bonding Program'!$J$25,0)-IF(AND('Bonding Program'!$M$25&lt;&gt;"",CW$3='Bonding Program'!$M$25),'Bonding Program'!$L$25,0)-IF(AND('Bonding Program'!$P$25&lt;&gt;"",CW$3='Bonding Program'!$P$25),'Bonding Program'!$O$25,0)-IF(AND('Bonding Program'!$R$25&lt;&gt;"",CW$3='Bonding Program'!$R$25),'Bonding Program'!$Q$25,0),0)</f>
        <v>0</v>
      </c>
      <c r="CX166" s="19" t="n">
        <f aca="false">IF(AND('Bonding Program'!$S$25=1,CX$3='Bonding Program'!$H$25),'Bonding Program'!$AA$25,0)-IF(CX$3&lt;='Bonding Program'!$C$8,IF(AND('Bonding Program'!$K$25&lt;&gt;"",CX$3='Bonding Program'!$K$25),'Bonding Program'!$J$25,0)-IF(AND('Bonding Program'!$M$25&lt;&gt;"",CX$3='Bonding Program'!$M$25),'Bonding Program'!$L$25,0)-IF(AND('Bonding Program'!$P$25&lt;&gt;"",CX$3='Bonding Program'!$P$25),'Bonding Program'!$O$25,0)-IF(AND('Bonding Program'!$R$25&lt;&gt;"",CX$3='Bonding Program'!$R$25),'Bonding Program'!$Q$25,0),0)</f>
        <v>0</v>
      </c>
      <c r="CY166" s="19" t="n">
        <f aca="false">IF(AND('Bonding Program'!$S$25=1,CY$3='Bonding Program'!$H$25),'Bonding Program'!$AA$25,0)-IF(CY$3&lt;='Bonding Program'!$C$8,IF(AND('Bonding Program'!$K$25&lt;&gt;"",CY$3='Bonding Program'!$K$25),'Bonding Program'!$J$25,0)-IF(AND('Bonding Program'!$M$25&lt;&gt;"",CY$3='Bonding Program'!$M$25),'Bonding Program'!$L$25,0)-IF(AND('Bonding Program'!$P$25&lt;&gt;"",CY$3='Bonding Program'!$P$25),'Bonding Program'!$O$25,0)-IF(AND('Bonding Program'!$R$25&lt;&gt;"",CY$3='Bonding Program'!$R$25),'Bonding Program'!$Q$25,0),0)</f>
        <v>0</v>
      </c>
      <c r="CZ166" s="19" t="n">
        <f aca="false">IF(AND('Bonding Program'!$S$25=1,CZ$3='Bonding Program'!$H$25),'Bonding Program'!$AA$25,0)-IF(CZ$3&lt;='Bonding Program'!$C$8,IF(AND('Bonding Program'!$K$25&lt;&gt;"",CZ$3='Bonding Program'!$K$25),'Bonding Program'!$J$25,0)-IF(AND('Bonding Program'!$M$25&lt;&gt;"",CZ$3='Bonding Program'!$M$25),'Bonding Program'!$L$25,0)-IF(AND('Bonding Program'!$P$25&lt;&gt;"",CZ$3='Bonding Program'!$P$25),'Bonding Program'!$O$25,0)-IF(AND('Bonding Program'!$R$25&lt;&gt;"",CZ$3='Bonding Program'!$R$25),'Bonding Program'!$Q$25,0),0)</f>
        <v>0</v>
      </c>
      <c r="DA166" s="19" t="n">
        <f aca="false">IF(AND('Bonding Program'!$S$25=1,DA$3='Bonding Program'!$H$25),'Bonding Program'!$AA$25,0)-IF(DA$3&lt;='Bonding Program'!$C$8,IF(AND('Bonding Program'!$K$25&lt;&gt;"",DA$3='Bonding Program'!$K$25),'Bonding Program'!$J$25,0)-IF(AND('Bonding Program'!$M$25&lt;&gt;"",DA$3='Bonding Program'!$M$25),'Bonding Program'!$L$25,0)-IF(AND('Bonding Program'!$P$25&lt;&gt;"",DA$3='Bonding Program'!$P$25),'Bonding Program'!$O$25,0)-IF(AND('Bonding Program'!$R$25&lt;&gt;"",DA$3='Bonding Program'!$R$25),'Bonding Program'!$Q$25,0),0)</f>
        <v>0</v>
      </c>
      <c r="DB166" s="19" t="n">
        <f aca="false">IF(AND('Bonding Program'!$S$25=1,DB$3='Bonding Program'!$H$25),'Bonding Program'!$AA$25,0)-IF(DB$3&lt;='Bonding Program'!$C$8,IF(AND('Bonding Program'!$K$25&lt;&gt;"",DB$3='Bonding Program'!$K$25),'Bonding Program'!$J$25,0)-IF(AND('Bonding Program'!$M$25&lt;&gt;"",DB$3='Bonding Program'!$M$25),'Bonding Program'!$L$25,0)-IF(AND('Bonding Program'!$P$25&lt;&gt;"",DB$3='Bonding Program'!$P$25),'Bonding Program'!$O$25,0)-IF(AND('Bonding Program'!$R$25&lt;&gt;"",DB$3='Bonding Program'!$R$25),'Bonding Program'!$Q$25,0),0)</f>
        <v>0</v>
      </c>
      <c r="DC166" s="19" t="n">
        <f aca="false">IF(AND('Bonding Program'!$S$25=1,DC$3='Bonding Program'!$H$25),'Bonding Program'!$AA$25,0)-IF(DC$3&lt;='Bonding Program'!$C$8,IF(AND('Bonding Program'!$K$25&lt;&gt;"",DC$3='Bonding Program'!$K$25),'Bonding Program'!$J$25,0)-IF(AND('Bonding Program'!$M$25&lt;&gt;"",DC$3='Bonding Program'!$M$25),'Bonding Program'!$L$25,0)-IF(AND('Bonding Program'!$P$25&lt;&gt;"",DC$3='Bonding Program'!$P$25),'Bonding Program'!$O$25,0)-IF(AND('Bonding Program'!$R$25&lt;&gt;"",DC$3='Bonding Program'!$R$25),'Bonding Program'!$Q$25,0),0)</f>
        <v>0</v>
      </c>
      <c r="DD166" s="19" t="n">
        <f aca="false">IF(AND('Bonding Program'!$S$25=1,DD$3='Bonding Program'!$H$25),'Bonding Program'!$AA$25,0)-IF(DD$3&lt;='Bonding Program'!$C$8,IF(AND('Bonding Program'!$K$25&lt;&gt;"",DD$3='Bonding Program'!$K$25),'Bonding Program'!$J$25,0)-IF(AND('Bonding Program'!$M$25&lt;&gt;"",DD$3='Bonding Program'!$M$25),'Bonding Program'!$L$25,0)-IF(AND('Bonding Program'!$P$25&lt;&gt;"",DD$3='Bonding Program'!$P$25),'Bonding Program'!$O$25,0)-IF(AND('Bonding Program'!$R$25&lt;&gt;"",DD$3='Bonding Program'!$R$25),'Bonding Program'!$Q$25,0),0)</f>
        <v>0</v>
      </c>
      <c r="DE166" s="19" t="n">
        <f aca="false">IF(AND('Bonding Program'!$S$25=1,DE$3='Bonding Program'!$H$25),'Bonding Program'!$AA$25,0)-IF(DE$3&lt;='Bonding Program'!$C$8,IF(AND('Bonding Program'!$K$25&lt;&gt;"",DE$3='Bonding Program'!$K$25),'Bonding Program'!$J$25,0)-IF(AND('Bonding Program'!$M$25&lt;&gt;"",DE$3='Bonding Program'!$M$25),'Bonding Program'!$L$25,0)-IF(AND('Bonding Program'!$P$25&lt;&gt;"",DE$3='Bonding Program'!$P$25),'Bonding Program'!$O$25,0)-IF(AND('Bonding Program'!$R$25&lt;&gt;"",DE$3='Bonding Program'!$R$25),'Bonding Program'!$Q$25,0),0)</f>
        <v>0</v>
      </c>
    </row>
    <row r="167" customFormat="false" ht="15" hidden="false" customHeight="true" outlineLevel="1" collapsed="false">
      <c r="A167" s="28" t="s">
        <v>22</v>
      </c>
      <c r="B167" s="19" t="n">
        <f aca="false">IF(AND('Bonding Program'!$S$26=1,B$3='Bonding Program'!$H$26),'Bonding Program'!$AA$26,0)-IF(B$3&lt;='Bonding Program'!$C$8,IF(AND('Bonding Program'!$K$26&lt;&gt;"",B$3='Bonding Program'!$K$26),'Bonding Program'!$J$26,0)-IF(AND('Bonding Program'!$M$26&lt;&gt;"",B$3='Bonding Program'!$M$26),'Bonding Program'!$L$26,0)-IF(AND('Bonding Program'!$P$26&lt;&gt;"",B$3='Bonding Program'!$P$26),'Bonding Program'!$O$26,0)-IF(AND('Bonding Program'!$R$26&lt;&gt;"",B$3='Bonding Program'!$R$26),'Bonding Program'!$Q$26,0),0)</f>
        <v>0</v>
      </c>
      <c r="C167" s="19" t="n">
        <f aca="false">IF(AND('Bonding Program'!$S$26=1,C$3='Bonding Program'!$H$26),'Bonding Program'!$AA$26,0)-IF(C$3&lt;='Bonding Program'!$C$8,IF(AND('Bonding Program'!$K$26&lt;&gt;"",C$3='Bonding Program'!$K$26),'Bonding Program'!$J$26,0)-IF(AND('Bonding Program'!$M$26&lt;&gt;"",C$3='Bonding Program'!$M$26),'Bonding Program'!$L$26,0)-IF(AND('Bonding Program'!$P$26&lt;&gt;"",C$3='Bonding Program'!$P$26),'Bonding Program'!$O$26,0)-IF(AND('Bonding Program'!$R$26&lt;&gt;"",C$3='Bonding Program'!$R$26),'Bonding Program'!$Q$26,0),0)</f>
        <v>0</v>
      </c>
      <c r="D167" s="19" t="n">
        <f aca="false">IF(AND('Bonding Program'!$S$26=1,D$3='Bonding Program'!$H$26),'Bonding Program'!$AA$26,0)-IF(D$3&lt;='Bonding Program'!$C$8,IF(AND('Bonding Program'!$K$26&lt;&gt;"",D$3='Bonding Program'!$K$26),'Bonding Program'!$J$26,0)-IF(AND('Bonding Program'!$M$26&lt;&gt;"",D$3='Bonding Program'!$M$26),'Bonding Program'!$L$26,0)-IF(AND('Bonding Program'!$P$26&lt;&gt;"",D$3='Bonding Program'!$P$26),'Bonding Program'!$O$26,0)-IF(AND('Bonding Program'!$R$26&lt;&gt;"",D$3='Bonding Program'!$R$26),'Bonding Program'!$Q$26,0),0)</f>
        <v>0</v>
      </c>
      <c r="E167" s="19" t="n">
        <f aca="false">IF(AND('Bonding Program'!$S$26=1,E$3='Bonding Program'!$H$26),'Bonding Program'!$AA$26,0)-IF(E$3&lt;='Bonding Program'!$C$8,IF(AND('Bonding Program'!$K$26&lt;&gt;"",E$3='Bonding Program'!$K$26),'Bonding Program'!$J$26,0)-IF(AND('Bonding Program'!$M$26&lt;&gt;"",E$3='Bonding Program'!$M$26),'Bonding Program'!$L$26,0)-IF(AND('Bonding Program'!$P$26&lt;&gt;"",E$3='Bonding Program'!$P$26),'Bonding Program'!$O$26,0)-IF(AND('Bonding Program'!$R$26&lt;&gt;"",E$3='Bonding Program'!$R$26),'Bonding Program'!$Q$26,0),0)</f>
        <v>0</v>
      </c>
      <c r="F167" s="19" t="n">
        <f aca="false">IF(AND('Bonding Program'!$S$26=1,F$3='Bonding Program'!$H$26),'Bonding Program'!$AA$26,0)-IF(F$3&lt;='Bonding Program'!$C$8,IF(AND('Bonding Program'!$K$26&lt;&gt;"",F$3='Bonding Program'!$K$26),'Bonding Program'!$J$26,0)-IF(AND('Bonding Program'!$M$26&lt;&gt;"",F$3='Bonding Program'!$M$26),'Bonding Program'!$L$26,0)-IF(AND('Bonding Program'!$P$26&lt;&gt;"",F$3='Bonding Program'!$P$26),'Bonding Program'!$O$26,0)-IF(AND('Bonding Program'!$R$26&lt;&gt;"",F$3='Bonding Program'!$R$26),'Bonding Program'!$Q$26,0),0)</f>
        <v>0</v>
      </c>
      <c r="G167" s="19" t="n">
        <f aca="false">IF(AND('Bonding Program'!$S$26=1,G$3='Bonding Program'!$H$26),'Bonding Program'!$AA$26,0)-IF(G$3&lt;='Bonding Program'!$C$8,IF(AND('Bonding Program'!$K$26&lt;&gt;"",G$3='Bonding Program'!$K$26),'Bonding Program'!$J$26,0)-IF(AND('Bonding Program'!$M$26&lt;&gt;"",G$3='Bonding Program'!$M$26),'Bonding Program'!$L$26,0)-IF(AND('Bonding Program'!$P$26&lt;&gt;"",G$3='Bonding Program'!$P$26),'Bonding Program'!$O$26,0)-IF(AND('Bonding Program'!$R$26&lt;&gt;"",G$3='Bonding Program'!$R$26),'Bonding Program'!$Q$26,0),0)</f>
        <v>0</v>
      </c>
      <c r="H167" s="19" t="n">
        <f aca="false">IF(AND('Bonding Program'!$S$26=1,H$3='Bonding Program'!$H$26),'Bonding Program'!$AA$26,0)-IF(H$3&lt;='Bonding Program'!$C$8,IF(AND('Bonding Program'!$K$26&lt;&gt;"",H$3='Bonding Program'!$K$26),'Bonding Program'!$J$26,0)-IF(AND('Bonding Program'!$M$26&lt;&gt;"",H$3='Bonding Program'!$M$26),'Bonding Program'!$L$26,0)-IF(AND('Bonding Program'!$P$26&lt;&gt;"",H$3='Bonding Program'!$P$26),'Bonding Program'!$O$26,0)-IF(AND('Bonding Program'!$R$26&lt;&gt;"",H$3='Bonding Program'!$R$26),'Bonding Program'!$Q$26,0),0)</f>
        <v>0</v>
      </c>
      <c r="I167" s="19" t="n">
        <f aca="false">IF(AND('Bonding Program'!$S$26=1,I$3='Bonding Program'!$H$26),'Bonding Program'!$AA$26,0)-IF(I$3&lt;='Bonding Program'!$C$8,IF(AND('Bonding Program'!$K$26&lt;&gt;"",I$3='Bonding Program'!$K$26),'Bonding Program'!$J$26,0)-IF(AND('Bonding Program'!$M$26&lt;&gt;"",I$3='Bonding Program'!$M$26),'Bonding Program'!$L$26,0)-IF(AND('Bonding Program'!$P$26&lt;&gt;"",I$3='Bonding Program'!$P$26),'Bonding Program'!$O$26,0)-IF(AND('Bonding Program'!$R$26&lt;&gt;"",I$3='Bonding Program'!$R$26),'Bonding Program'!$Q$26,0),0)</f>
        <v>0</v>
      </c>
      <c r="J167" s="19" t="n">
        <f aca="false">IF(AND('Bonding Program'!$S$26=1,J$3='Bonding Program'!$H$26),'Bonding Program'!$AA$26,0)-IF(J$3&lt;='Bonding Program'!$C$8,IF(AND('Bonding Program'!$K$26&lt;&gt;"",J$3='Bonding Program'!$K$26),'Bonding Program'!$J$26,0)-IF(AND('Bonding Program'!$M$26&lt;&gt;"",J$3='Bonding Program'!$M$26),'Bonding Program'!$L$26,0)-IF(AND('Bonding Program'!$P$26&lt;&gt;"",J$3='Bonding Program'!$P$26),'Bonding Program'!$O$26,0)-IF(AND('Bonding Program'!$R$26&lt;&gt;"",J$3='Bonding Program'!$R$26),'Bonding Program'!$Q$26,0),0)</f>
        <v>0</v>
      </c>
      <c r="K167" s="19" t="n">
        <f aca="false">IF(AND('Bonding Program'!$S$26=1,K$3='Bonding Program'!$H$26),'Bonding Program'!$AA$26,0)-IF(K$3&lt;='Bonding Program'!$C$8,IF(AND('Bonding Program'!$K$26&lt;&gt;"",K$3='Bonding Program'!$K$26),'Bonding Program'!$J$26,0)-IF(AND('Bonding Program'!$M$26&lt;&gt;"",K$3='Bonding Program'!$M$26),'Bonding Program'!$L$26,0)-IF(AND('Bonding Program'!$P$26&lt;&gt;"",K$3='Bonding Program'!$P$26),'Bonding Program'!$O$26,0)-IF(AND('Bonding Program'!$R$26&lt;&gt;"",K$3='Bonding Program'!$R$26),'Bonding Program'!$Q$26,0),0)</f>
        <v>0</v>
      </c>
      <c r="L167" s="19" t="n">
        <f aca="false">IF(AND('Bonding Program'!$S$26=1,L$3='Bonding Program'!$H$26),'Bonding Program'!$AA$26,0)-IF(L$3&lt;='Bonding Program'!$C$8,IF(AND('Bonding Program'!$K$26&lt;&gt;"",L$3='Bonding Program'!$K$26),'Bonding Program'!$J$26,0)-IF(AND('Bonding Program'!$M$26&lt;&gt;"",L$3='Bonding Program'!$M$26),'Bonding Program'!$L$26,0)-IF(AND('Bonding Program'!$P$26&lt;&gt;"",L$3='Bonding Program'!$P$26),'Bonding Program'!$O$26,0)-IF(AND('Bonding Program'!$R$26&lt;&gt;"",L$3='Bonding Program'!$R$26),'Bonding Program'!$Q$26,0),0)</f>
        <v>0</v>
      </c>
      <c r="M167" s="19" t="n">
        <f aca="false">IF(AND('Bonding Program'!$S$26=1,M$3='Bonding Program'!$H$26),'Bonding Program'!$AA$26,0)-IF(M$3&lt;='Bonding Program'!$C$8,IF(AND('Bonding Program'!$K$26&lt;&gt;"",M$3='Bonding Program'!$K$26),'Bonding Program'!$J$26,0)-IF(AND('Bonding Program'!$M$26&lt;&gt;"",M$3='Bonding Program'!$M$26),'Bonding Program'!$L$26,0)-IF(AND('Bonding Program'!$P$26&lt;&gt;"",M$3='Bonding Program'!$P$26),'Bonding Program'!$O$26,0)-IF(AND('Bonding Program'!$R$26&lt;&gt;"",M$3='Bonding Program'!$R$26),'Bonding Program'!$Q$26,0),0)</f>
        <v>0</v>
      </c>
      <c r="N167" s="19" t="n">
        <f aca="false">IF(AND('Bonding Program'!$S$26=1,N$3='Bonding Program'!$H$26),'Bonding Program'!$AA$26,0)-IF(N$3&lt;='Bonding Program'!$C$8,IF(AND('Bonding Program'!$K$26&lt;&gt;"",N$3='Bonding Program'!$K$26),'Bonding Program'!$J$26,0)-IF(AND('Bonding Program'!$M$26&lt;&gt;"",N$3='Bonding Program'!$M$26),'Bonding Program'!$L$26,0)-IF(AND('Bonding Program'!$P$26&lt;&gt;"",N$3='Bonding Program'!$P$26),'Bonding Program'!$O$26,0)-IF(AND('Bonding Program'!$R$26&lt;&gt;"",N$3='Bonding Program'!$R$26),'Bonding Program'!$Q$26,0),0)</f>
        <v>0</v>
      </c>
      <c r="O167" s="19" t="n">
        <f aca="false">IF(AND('Bonding Program'!$S$26=1,O$3='Bonding Program'!$H$26),'Bonding Program'!$AA$26,0)-IF(O$3&lt;='Bonding Program'!$C$8,IF(AND('Bonding Program'!$K$26&lt;&gt;"",O$3='Bonding Program'!$K$26),'Bonding Program'!$J$26,0)-IF(AND('Bonding Program'!$M$26&lt;&gt;"",O$3='Bonding Program'!$M$26),'Bonding Program'!$L$26,0)-IF(AND('Bonding Program'!$P$26&lt;&gt;"",O$3='Bonding Program'!$P$26),'Bonding Program'!$O$26,0)-IF(AND('Bonding Program'!$R$26&lt;&gt;"",O$3='Bonding Program'!$R$26),'Bonding Program'!$Q$26,0),0)</f>
        <v>0</v>
      </c>
      <c r="P167" s="19" t="n">
        <f aca="false">IF(AND('Bonding Program'!$S$26=1,P$3='Bonding Program'!$H$26),'Bonding Program'!$AA$26,0)-IF(P$3&lt;='Bonding Program'!$C$8,IF(AND('Bonding Program'!$K$26&lt;&gt;"",P$3='Bonding Program'!$K$26),'Bonding Program'!$J$26,0)-IF(AND('Bonding Program'!$M$26&lt;&gt;"",P$3='Bonding Program'!$M$26),'Bonding Program'!$L$26,0)-IF(AND('Bonding Program'!$P$26&lt;&gt;"",P$3='Bonding Program'!$P$26),'Bonding Program'!$O$26,0)-IF(AND('Bonding Program'!$R$26&lt;&gt;"",P$3='Bonding Program'!$R$26),'Bonding Program'!$Q$26,0),0)</f>
        <v>0</v>
      </c>
      <c r="Q167" s="19" t="n">
        <f aca="false">IF(AND('Bonding Program'!$S$26=1,Q$3='Bonding Program'!$H$26),'Bonding Program'!$AA$26,0)-IF(Q$3&lt;='Bonding Program'!$C$8,IF(AND('Bonding Program'!$K$26&lt;&gt;"",Q$3='Bonding Program'!$K$26),'Bonding Program'!$J$26,0)-IF(AND('Bonding Program'!$M$26&lt;&gt;"",Q$3='Bonding Program'!$M$26),'Bonding Program'!$L$26,0)-IF(AND('Bonding Program'!$P$26&lt;&gt;"",Q$3='Bonding Program'!$P$26),'Bonding Program'!$O$26,0)-IF(AND('Bonding Program'!$R$26&lt;&gt;"",Q$3='Bonding Program'!$R$26),'Bonding Program'!$Q$26,0),0)</f>
        <v>0</v>
      </c>
      <c r="R167" s="19" t="n">
        <f aca="false">IF(AND('Bonding Program'!$S$26=1,R$3='Bonding Program'!$H$26),'Bonding Program'!$AA$26,0)-IF(R$3&lt;='Bonding Program'!$C$8,IF(AND('Bonding Program'!$K$26&lt;&gt;"",R$3='Bonding Program'!$K$26),'Bonding Program'!$J$26,0)-IF(AND('Bonding Program'!$M$26&lt;&gt;"",R$3='Bonding Program'!$M$26),'Bonding Program'!$L$26,0)-IF(AND('Bonding Program'!$P$26&lt;&gt;"",R$3='Bonding Program'!$P$26),'Bonding Program'!$O$26,0)-IF(AND('Bonding Program'!$R$26&lt;&gt;"",R$3='Bonding Program'!$R$26),'Bonding Program'!$Q$26,0),0)</f>
        <v>0</v>
      </c>
      <c r="S167" s="19" t="n">
        <f aca="false">IF(AND('Bonding Program'!$S$26=1,S$3='Bonding Program'!$H$26),'Bonding Program'!$AA$26,0)-IF(S$3&lt;='Bonding Program'!$C$8,IF(AND('Bonding Program'!$K$26&lt;&gt;"",S$3='Bonding Program'!$K$26),'Bonding Program'!$J$26,0)-IF(AND('Bonding Program'!$M$26&lt;&gt;"",S$3='Bonding Program'!$M$26),'Bonding Program'!$L$26,0)-IF(AND('Bonding Program'!$P$26&lt;&gt;"",S$3='Bonding Program'!$P$26),'Bonding Program'!$O$26,0)-IF(AND('Bonding Program'!$R$26&lt;&gt;"",S$3='Bonding Program'!$R$26),'Bonding Program'!$Q$26,0),0)</f>
        <v>0</v>
      </c>
      <c r="T167" s="19" t="n">
        <f aca="false">IF(AND('Bonding Program'!$S$26=1,T$3='Bonding Program'!$H$26),'Bonding Program'!$AA$26,0)-IF(T$3&lt;='Bonding Program'!$C$8,IF(AND('Bonding Program'!$K$26&lt;&gt;"",T$3='Bonding Program'!$K$26),'Bonding Program'!$J$26,0)-IF(AND('Bonding Program'!$M$26&lt;&gt;"",T$3='Bonding Program'!$M$26),'Bonding Program'!$L$26,0)-IF(AND('Bonding Program'!$P$26&lt;&gt;"",T$3='Bonding Program'!$P$26),'Bonding Program'!$O$26,0)-IF(AND('Bonding Program'!$R$26&lt;&gt;"",T$3='Bonding Program'!$R$26),'Bonding Program'!$Q$26,0),0)</f>
        <v>-326836.756046798</v>
      </c>
      <c r="U167" s="19" t="n">
        <f aca="false">IF(AND('Bonding Program'!$S$26=1,U$3='Bonding Program'!$H$26),'Bonding Program'!$AA$26,0)-IF(U$3&lt;='Bonding Program'!$C$8,IF(AND('Bonding Program'!$K$26&lt;&gt;"",U$3='Bonding Program'!$K$26),'Bonding Program'!$J$26,0)-IF(AND('Bonding Program'!$M$26&lt;&gt;"",U$3='Bonding Program'!$M$26),'Bonding Program'!$L$26,0)-IF(AND('Bonding Program'!$P$26&lt;&gt;"",U$3='Bonding Program'!$P$26),'Bonding Program'!$O$26,0)-IF(AND('Bonding Program'!$R$26&lt;&gt;"",U$3='Bonding Program'!$R$26),'Bonding Program'!$Q$26,0),0)</f>
        <v>0</v>
      </c>
      <c r="V167" s="19" t="n">
        <f aca="false">IF(AND('Bonding Program'!$S$26=1,V$3='Bonding Program'!$H$26),'Bonding Program'!$AA$26,0)-IF(V$3&lt;='Bonding Program'!$C$8,IF(AND('Bonding Program'!$K$26&lt;&gt;"",V$3='Bonding Program'!$K$26),'Bonding Program'!$J$26,0)-IF(AND('Bonding Program'!$M$26&lt;&gt;"",V$3='Bonding Program'!$M$26),'Bonding Program'!$L$26,0)-IF(AND('Bonding Program'!$P$26&lt;&gt;"",V$3='Bonding Program'!$P$26),'Bonding Program'!$O$26,0)-IF(AND('Bonding Program'!$R$26&lt;&gt;"",V$3='Bonding Program'!$R$26),'Bonding Program'!$Q$26,0),0)</f>
        <v>0</v>
      </c>
      <c r="W167" s="19" t="n">
        <f aca="false">IF(AND('Bonding Program'!$S$26=1,W$3='Bonding Program'!$H$26),'Bonding Program'!$AA$26,0)-IF(W$3&lt;='Bonding Program'!$C$8,IF(AND('Bonding Program'!$K$26&lt;&gt;"",W$3='Bonding Program'!$K$26),'Bonding Program'!$J$26,0)-IF(AND('Bonding Program'!$M$26&lt;&gt;"",W$3='Bonding Program'!$M$26),'Bonding Program'!$L$26,0)-IF(AND('Bonding Program'!$P$26&lt;&gt;"",W$3='Bonding Program'!$P$26),'Bonding Program'!$O$26,0)-IF(AND('Bonding Program'!$R$26&lt;&gt;"",W$3='Bonding Program'!$R$26),'Bonding Program'!$Q$26,0),0)</f>
        <v>0</v>
      </c>
      <c r="X167" s="19" t="n">
        <f aca="false">IF(AND('Bonding Program'!$S$26=1,X$3='Bonding Program'!$H$26),'Bonding Program'!$AA$26,0)-IF(X$3&lt;='Bonding Program'!$C$8,IF(AND('Bonding Program'!$K$26&lt;&gt;"",X$3='Bonding Program'!$K$26),'Bonding Program'!$J$26,0)-IF(AND('Bonding Program'!$M$26&lt;&gt;"",X$3='Bonding Program'!$M$26),'Bonding Program'!$L$26,0)-IF(AND('Bonding Program'!$P$26&lt;&gt;"",X$3='Bonding Program'!$P$26),'Bonding Program'!$O$26,0)-IF(AND('Bonding Program'!$R$26&lt;&gt;"",X$3='Bonding Program'!$R$26),'Bonding Program'!$Q$26,0),0)</f>
        <v>0</v>
      </c>
      <c r="Y167" s="19" t="n">
        <f aca="false">IF(AND('Bonding Program'!$S$26=1,Y$3='Bonding Program'!$H$26),'Bonding Program'!$AA$26,0)-IF(Y$3&lt;='Bonding Program'!$C$8,IF(AND('Bonding Program'!$K$26&lt;&gt;"",Y$3='Bonding Program'!$K$26),'Bonding Program'!$J$26,0)-IF(AND('Bonding Program'!$M$26&lt;&gt;"",Y$3='Bonding Program'!$M$26),'Bonding Program'!$L$26,0)-IF(AND('Bonding Program'!$P$26&lt;&gt;"",Y$3='Bonding Program'!$P$26),'Bonding Program'!$O$26,0)-IF(AND('Bonding Program'!$R$26&lt;&gt;"",Y$3='Bonding Program'!$R$26),'Bonding Program'!$Q$26,0),0)</f>
        <v>0</v>
      </c>
      <c r="Z167" s="19" t="n">
        <f aca="false">IF(AND('Bonding Program'!$S$26=1,Z$3='Bonding Program'!$H$26),'Bonding Program'!$AA$26,0)-IF(Z$3&lt;='Bonding Program'!$C$8,IF(AND('Bonding Program'!$K$26&lt;&gt;"",Z$3='Bonding Program'!$K$26),'Bonding Program'!$J$26,0)-IF(AND('Bonding Program'!$M$26&lt;&gt;"",Z$3='Bonding Program'!$M$26),'Bonding Program'!$L$26,0)-IF(AND('Bonding Program'!$P$26&lt;&gt;"",Z$3='Bonding Program'!$P$26),'Bonding Program'!$O$26,0)-IF(AND('Bonding Program'!$R$26&lt;&gt;"",Z$3='Bonding Program'!$R$26),'Bonding Program'!$Q$26,0),0)</f>
        <v>0</v>
      </c>
      <c r="AA167" s="19" t="n">
        <f aca="false">IF(AND('Bonding Program'!$S$26=1,AA$3='Bonding Program'!$H$26),'Bonding Program'!$AA$26,0)-IF(AA$3&lt;='Bonding Program'!$C$8,IF(AND('Bonding Program'!$K$26&lt;&gt;"",AA$3='Bonding Program'!$K$26),'Bonding Program'!$J$26,0)-IF(AND('Bonding Program'!$M$26&lt;&gt;"",AA$3='Bonding Program'!$M$26),'Bonding Program'!$L$26,0)-IF(AND('Bonding Program'!$P$26&lt;&gt;"",AA$3='Bonding Program'!$P$26),'Bonding Program'!$O$26,0)-IF(AND('Bonding Program'!$R$26&lt;&gt;"",AA$3='Bonding Program'!$R$26),'Bonding Program'!$Q$26,0),0)</f>
        <v>0</v>
      </c>
      <c r="AB167" s="19" t="n">
        <f aca="false">IF(AND('Bonding Program'!$S$26=1,AB$3='Bonding Program'!$H$26),'Bonding Program'!$AA$26,0)-IF(AB$3&lt;='Bonding Program'!$C$8,IF(AND('Bonding Program'!$K$26&lt;&gt;"",AB$3='Bonding Program'!$K$26),'Bonding Program'!$J$26,0)-IF(AND('Bonding Program'!$M$26&lt;&gt;"",AB$3='Bonding Program'!$M$26),'Bonding Program'!$L$26,0)-IF(AND('Bonding Program'!$P$26&lt;&gt;"",AB$3='Bonding Program'!$P$26),'Bonding Program'!$O$26,0)-IF(AND('Bonding Program'!$R$26&lt;&gt;"",AB$3='Bonding Program'!$R$26),'Bonding Program'!$Q$26,0),0)</f>
        <v>0</v>
      </c>
      <c r="AC167" s="19" t="n">
        <f aca="false">IF(AND('Bonding Program'!$S$26=1,AC$3='Bonding Program'!$H$26),'Bonding Program'!$AA$26,0)-IF(AC$3&lt;='Bonding Program'!$C$8,IF(AND('Bonding Program'!$K$26&lt;&gt;"",AC$3='Bonding Program'!$K$26),'Bonding Program'!$J$26,0)-IF(AND('Bonding Program'!$M$26&lt;&gt;"",AC$3='Bonding Program'!$M$26),'Bonding Program'!$L$26,0)-IF(AND('Bonding Program'!$P$26&lt;&gt;"",AC$3='Bonding Program'!$P$26),'Bonding Program'!$O$26,0)-IF(AND('Bonding Program'!$R$26&lt;&gt;"",AC$3='Bonding Program'!$R$26),'Bonding Program'!$Q$26,0),0)</f>
        <v>0</v>
      </c>
      <c r="AD167" s="19" t="n">
        <f aca="false">IF(AND('Bonding Program'!$S$26=1,AD$3='Bonding Program'!$H$26),'Bonding Program'!$AA$26,0)-IF(AD$3&lt;='Bonding Program'!$C$8,IF(AND('Bonding Program'!$K$26&lt;&gt;"",AD$3='Bonding Program'!$K$26),'Bonding Program'!$J$26,0)-IF(AND('Bonding Program'!$M$26&lt;&gt;"",AD$3='Bonding Program'!$M$26),'Bonding Program'!$L$26,0)-IF(AND('Bonding Program'!$P$26&lt;&gt;"",AD$3='Bonding Program'!$P$26),'Bonding Program'!$O$26,0)-IF(AND('Bonding Program'!$R$26&lt;&gt;"",AD$3='Bonding Program'!$R$26),'Bonding Program'!$Q$26,0),0)</f>
        <v>0</v>
      </c>
      <c r="AE167" s="19" t="n">
        <f aca="false">IF(AND('Bonding Program'!$S$26=1,AE$3='Bonding Program'!$H$26),'Bonding Program'!$AA$26,0)-IF(AE$3&lt;='Bonding Program'!$C$8,IF(AND('Bonding Program'!$K$26&lt;&gt;"",AE$3='Bonding Program'!$K$26),'Bonding Program'!$J$26,0)-IF(AND('Bonding Program'!$M$26&lt;&gt;"",AE$3='Bonding Program'!$M$26),'Bonding Program'!$L$26,0)-IF(AND('Bonding Program'!$P$26&lt;&gt;"",AE$3='Bonding Program'!$P$26),'Bonding Program'!$O$26,0)-IF(AND('Bonding Program'!$R$26&lt;&gt;"",AE$3='Bonding Program'!$R$26),'Bonding Program'!$Q$26,0),0)</f>
        <v>0</v>
      </c>
      <c r="AF167" s="19" t="n">
        <f aca="false">IF(AND('Bonding Program'!$S$26=1,AF$3='Bonding Program'!$H$26),'Bonding Program'!$AA$26,0)-IF(AF$3&lt;='Bonding Program'!$C$8,IF(AND('Bonding Program'!$K$26&lt;&gt;"",AF$3='Bonding Program'!$K$26),'Bonding Program'!$J$26,0)-IF(AND('Bonding Program'!$M$26&lt;&gt;"",AF$3='Bonding Program'!$M$26),'Bonding Program'!$L$26,0)-IF(AND('Bonding Program'!$P$26&lt;&gt;"",AF$3='Bonding Program'!$P$26),'Bonding Program'!$O$26,0)-IF(AND('Bonding Program'!$R$26&lt;&gt;"",AF$3='Bonding Program'!$R$26),'Bonding Program'!$Q$26,0),0)</f>
        <v>0</v>
      </c>
      <c r="AG167" s="19" t="n">
        <f aca="false">IF(AND('Bonding Program'!$S$26=1,AG$3='Bonding Program'!$H$26),'Bonding Program'!$AA$26,0)-IF(AG$3&lt;='Bonding Program'!$C$8,IF(AND('Bonding Program'!$K$26&lt;&gt;"",AG$3='Bonding Program'!$K$26),'Bonding Program'!$J$26,0)-IF(AND('Bonding Program'!$M$26&lt;&gt;"",AG$3='Bonding Program'!$M$26),'Bonding Program'!$L$26,0)-IF(AND('Bonding Program'!$P$26&lt;&gt;"",AG$3='Bonding Program'!$P$26),'Bonding Program'!$O$26,0)-IF(AND('Bonding Program'!$R$26&lt;&gt;"",AG$3='Bonding Program'!$R$26),'Bonding Program'!$Q$26,0),0)</f>
        <v>0</v>
      </c>
      <c r="AH167" s="19" t="n">
        <f aca="false">IF(AND('Bonding Program'!$S$26=1,AH$3='Bonding Program'!$H$26),'Bonding Program'!$AA$26,0)-IF(AH$3&lt;='Bonding Program'!$C$8,IF(AND('Bonding Program'!$K$26&lt;&gt;"",AH$3='Bonding Program'!$K$26),'Bonding Program'!$J$26,0)-IF(AND('Bonding Program'!$M$26&lt;&gt;"",AH$3='Bonding Program'!$M$26),'Bonding Program'!$L$26,0)-IF(AND('Bonding Program'!$P$26&lt;&gt;"",AH$3='Bonding Program'!$P$26),'Bonding Program'!$O$26,0)-IF(AND('Bonding Program'!$R$26&lt;&gt;"",AH$3='Bonding Program'!$R$26),'Bonding Program'!$Q$26,0),0)</f>
        <v>0</v>
      </c>
      <c r="AI167" s="19" t="n">
        <f aca="false">IF(AND('Bonding Program'!$S$26=1,AI$3='Bonding Program'!$H$26),'Bonding Program'!$AA$26,0)-IF(AI$3&lt;='Bonding Program'!$C$8,IF(AND('Bonding Program'!$K$26&lt;&gt;"",AI$3='Bonding Program'!$K$26),'Bonding Program'!$J$26,0)-IF(AND('Bonding Program'!$M$26&lt;&gt;"",AI$3='Bonding Program'!$M$26),'Bonding Program'!$L$26,0)-IF(AND('Bonding Program'!$P$26&lt;&gt;"",AI$3='Bonding Program'!$P$26),'Bonding Program'!$O$26,0)-IF(AND('Bonding Program'!$R$26&lt;&gt;"",AI$3='Bonding Program'!$R$26),'Bonding Program'!$Q$26,0),0)</f>
        <v>0</v>
      </c>
      <c r="AJ167" s="19" t="n">
        <f aca="false">IF(AND('Bonding Program'!$S$26=1,AJ$3='Bonding Program'!$H$26),'Bonding Program'!$AA$26,0)-IF(AJ$3&lt;='Bonding Program'!$C$8,IF(AND('Bonding Program'!$K$26&lt;&gt;"",AJ$3='Bonding Program'!$K$26),'Bonding Program'!$J$26,0)-IF(AND('Bonding Program'!$M$26&lt;&gt;"",AJ$3='Bonding Program'!$M$26),'Bonding Program'!$L$26,0)-IF(AND('Bonding Program'!$P$26&lt;&gt;"",AJ$3='Bonding Program'!$P$26),'Bonding Program'!$O$26,0)-IF(AND('Bonding Program'!$R$26&lt;&gt;"",AJ$3='Bonding Program'!$R$26),'Bonding Program'!$Q$26,0),0)</f>
        <v>0</v>
      </c>
      <c r="AK167" s="19" t="n">
        <f aca="false">IF(AND('Bonding Program'!$S$26=1,AK$3='Bonding Program'!$H$26),'Bonding Program'!$AA$26,0)-IF(AK$3&lt;='Bonding Program'!$C$8,IF(AND('Bonding Program'!$K$26&lt;&gt;"",AK$3='Bonding Program'!$K$26),'Bonding Program'!$J$26,0)-IF(AND('Bonding Program'!$M$26&lt;&gt;"",AK$3='Bonding Program'!$M$26),'Bonding Program'!$L$26,0)-IF(AND('Bonding Program'!$P$26&lt;&gt;"",AK$3='Bonding Program'!$P$26),'Bonding Program'!$O$26,0)-IF(AND('Bonding Program'!$R$26&lt;&gt;"",AK$3='Bonding Program'!$R$26),'Bonding Program'!$Q$26,0),0)</f>
        <v>0</v>
      </c>
      <c r="AL167" s="19" t="n">
        <f aca="false">IF(AND('Bonding Program'!$S$26=1,AL$3='Bonding Program'!$H$26),'Bonding Program'!$AA$26,0)-IF(AL$3&lt;='Bonding Program'!$C$8,IF(AND('Bonding Program'!$K$26&lt;&gt;"",AL$3='Bonding Program'!$K$26),'Bonding Program'!$J$26,0)-IF(AND('Bonding Program'!$M$26&lt;&gt;"",AL$3='Bonding Program'!$M$26),'Bonding Program'!$L$26,0)-IF(AND('Bonding Program'!$P$26&lt;&gt;"",AL$3='Bonding Program'!$P$26),'Bonding Program'!$O$26,0)-IF(AND('Bonding Program'!$R$26&lt;&gt;"",AL$3='Bonding Program'!$R$26),'Bonding Program'!$Q$26,0),0)</f>
        <v>0</v>
      </c>
      <c r="AM167" s="19" t="n">
        <f aca="false">IF(AND('Bonding Program'!$S$26=1,AM$3='Bonding Program'!$H$26),'Bonding Program'!$AA$26,0)-IF(AM$3&lt;='Bonding Program'!$C$8,IF(AND('Bonding Program'!$K$26&lt;&gt;"",AM$3='Bonding Program'!$K$26),'Bonding Program'!$J$26,0)-IF(AND('Bonding Program'!$M$26&lt;&gt;"",AM$3='Bonding Program'!$M$26),'Bonding Program'!$L$26,0)-IF(AND('Bonding Program'!$P$26&lt;&gt;"",AM$3='Bonding Program'!$P$26),'Bonding Program'!$O$26,0)-IF(AND('Bonding Program'!$R$26&lt;&gt;"",AM$3='Bonding Program'!$R$26),'Bonding Program'!$Q$26,0),0)</f>
        <v>0</v>
      </c>
      <c r="AN167" s="19" t="n">
        <f aca="false">IF(AND('Bonding Program'!$S$26=1,AN$3='Bonding Program'!$H$26),'Bonding Program'!$AA$26,0)-IF(AN$3&lt;='Bonding Program'!$C$8,IF(AND('Bonding Program'!$K$26&lt;&gt;"",AN$3='Bonding Program'!$K$26),'Bonding Program'!$J$26,0)-IF(AND('Bonding Program'!$M$26&lt;&gt;"",AN$3='Bonding Program'!$M$26),'Bonding Program'!$L$26,0)-IF(AND('Bonding Program'!$P$26&lt;&gt;"",AN$3='Bonding Program'!$P$26),'Bonding Program'!$O$26,0)-IF(AND('Bonding Program'!$R$26&lt;&gt;"",AN$3='Bonding Program'!$R$26),'Bonding Program'!$Q$26,0),0)</f>
        <v>0</v>
      </c>
      <c r="AO167" s="19" t="n">
        <f aca="false">IF(AND('Bonding Program'!$S$26=1,AO$3='Bonding Program'!$H$26),'Bonding Program'!$AA$26,0)-IF(AO$3&lt;='Bonding Program'!$C$8,IF(AND('Bonding Program'!$K$26&lt;&gt;"",AO$3='Bonding Program'!$K$26),'Bonding Program'!$J$26,0)-IF(AND('Bonding Program'!$M$26&lt;&gt;"",AO$3='Bonding Program'!$M$26),'Bonding Program'!$L$26,0)-IF(AND('Bonding Program'!$P$26&lt;&gt;"",AO$3='Bonding Program'!$P$26),'Bonding Program'!$O$26,0)-IF(AND('Bonding Program'!$R$26&lt;&gt;"",AO$3='Bonding Program'!$R$26),'Bonding Program'!$Q$26,0),0)</f>
        <v>0</v>
      </c>
      <c r="AP167" s="19" t="n">
        <f aca="false">IF(AND('Bonding Program'!$S$26=1,AP$3='Bonding Program'!$H$26),'Bonding Program'!$AA$26,0)-IF(AP$3&lt;='Bonding Program'!$C$8,IF(AND('Bonding Program'!$K$26&lt;&gt;"",AP$3='Bonding Program'!$K$26),'Bonding Program'!$J$26,0)-IF(AND('Bonding Program'!$M$26&lt;&gt;"",AP$3='Bonding Program'!$M$26),'Bonding Program'!$L$26,0)-IF(AND('Bonding Program'!$P$26&lt;&gt;"",AP$3='Bonding Program'!$P$26),'Bonding Program'!$O$26,0)-IF(AND('Bonding Program'!$R$26&lt;&gt;"",AP$3='Bonding Program'!$R$26),'Bonding Program'!$Q$26,0),0)</f>
        <v>0</v>
      </c>
      <c r="AQ167" s="19" t="n">
        <f aca="false">IF(AND('Bonding Program'!$S$26=1,AQ$3='Bonding Program'!$H$26),'Bonding Program'!$AA$26,0)-IF(AQ$3&lt;='Bonding Program'!$C$8,IF(AND('Bonding Program'!$K$26&lt;&gt;"",AQ$3='Bonding Program'!$K$26),'Bonding Program'!$J$26,0)-IF(AND('Bonding Program'!$M$26&lt;&gt;"",AQ$3='Bonding Program'!$M$26),'Bonding Program'!$L$26,0)-IF(AND('Bonding Program'!$P$26&lt;&gt;"",AQ$3='Bonding Program'!$P$26),'Bonding Program'!$O$26,0)-IF(AND('Bonding Program'!$R$26&lt;&gt;"",AQ$3='Bonding Program'!$R$26),'Bonding Program'!$Q$26,0),0)</f>
        <v>0</v>
      </c>
      <c r="AR167" s="19" t="n">
        <f aca="false">IF(AND('Bonding Program'!$S$26=1,AR$3='Bonding Program'!$H$26),'Bonding Program'!$AA$26,0)-IF(AR$3&lt;='Bonding Program'!$C$8,IF(AND('Bonding Program'!$K$26&lt;&gt;"",AR$3='Bonding Program'!$K$26),'Bonding Program'!$J$26,0)-IF(AND('Bonding Program'!$M$26&lt;&gt;"",AR$3='Bonding Program'!$M$26),'Bonding Program'!$L$26,0)-IF(AND('Bonding Program'!$P$26&lt;&gt;"",AR$3='Bonding Program'!$P$26),'Bonding Program'!$O$26,0)-IF(AND('Bonding Program'!$R$26&lt;&gt;"",AR$3='Bonding Program'!$R$26),'Bonding Program'!$Q$26,0),0)</f>
        <v>0</v>
      </c>
      <c r="AS167" s="19" t="n">
        <f aca="false">IF(AND('Bonding Program'!$S$26=1,AS$3='Bonding Program'!$H$26),'Bonding Program'!$AA$26,0)-IF(AS$3&lt;='Bonding Program'!$C$8,IF(AND('Bonding Program'!$K$26&lt;&gt;"",AS$3='Bonding Program'!$K$26),'Bonding Program'!$J$26,0)-IF(AND('Bonding Program'!$M$26&lt;&gt;"",AS$3='Bonding Program'!$M$26),'Bonding Program'!$L$26,0)-IF(AND('Bonding Program'!$P$26&lt;&gt;"",AS$3='Bonding Program'!$P$26),'Bonding Program'!$O$26,0)-IF(AND('Bonding Program'!$R$26&lt;&gt;"",AS$3='Bonding Program'!$R$26),'Bonding Program'!$Q$26,0),0)</f>
        <v>0</v>
      </c>
      <c r="AT167" s="19" t="n">
        <f aca="false">IF(AND('Bonding Program'!$S$26=1,AT$3='Bonding Program'!$H$26),'Bonding Program'!$AA$26,0)-IF(AT$3&lt;='Bonding Program'!$C$8,IF(AND('Bonding Program'!$K$26&lt;&gt;"",AT$3='Bonding Program'!$K$26),'Bonding Program'!$J$26,0)-IF(AND('Bonding Program'!$M$26&lt;&gt;"",AT$3='Bonding Program'!$M$26),'Bonding Program'!$L$26,0)-IF(AND('Bonding Program'!$P$26&lt;&gt;"",AT$3='Bonding Program'!$P$26),'Bonding Program'!$O$26,0)-IF(AND('Bonding Program'!$R$26&lt;&gt;"",AT$3='Bonding Program'!$R$26),'Bonding Program'!$Q$26,0),0)</f>
        <v>0</v>
      </c>
      <c r="AU167" s="19" t="n">
        <f aca="false">IF(AND('Bonding Program'!$S$26=1,AU$3='Bonding Program'!$H$26),'Bonding Program'!$AA$26,0)-IF(AU$3&lt;='Bonding Program'!$C$8,IF(AND('Bonding Program'!$K$26&lt;&gt;"",AU$3='Bonding Program'!$K$26),'Bonding Program'!$J$26,0)-IF(AND('Bonding Program'!$M$26&lt;&gt;"",AU$3='Bonding Program'!$M$26),'Bonding Program'!$L$26,0)-IF(AND('Bonding Program'!$P$26&lt;&gt;"",AU$3='Bonding Program'!$P$26),'Bonding Program'!$O$26,0)-IF(AND('Bonding Program'!$R$26&lt;&gt;"",AU$3='Bonding Program'!$R$26),'Bonding Program'!$Q$26,0),0)</f>
        <v>0</v>
      </c>
      <c r="AV167" s="19" t="n">
        <f aca="false">IF(AND('Bonding Program'!$S$26=1,AV$3='Bonding Program'!$H$26),'Bonding Program'!$AA$26,0)-IF(AV$3&lt;='Bonding Program'!$C$8,IF(AND('Bonding Program'!$K$26&lt;&gt;"",AV$3='Bonding Program'!$K$26),'Bonding Program'!$J$26,0)-IF(AND('Bonding Program'!$M$26&lt;&gt;"",AV$3='Bonding Program'!$M$26),'Bonding Program'!$L$26,0)-IF(AND('Bonding Program'!$P$26&lt;&gt;"",AV$3='Bonding Program'!$P$26),'Bonding Program'!$O$26,0)-IF(AND('Bonding Program'!$R$26&lt;&gt;"",AV$3='Bonding Program'!$R$26),'Bonding Program'!$Q$26,0),0)</f>
        <v>0</v>
      </c>
      <c r="AW167" s="19" t="n">
        <f aca="false">IF(AND('Bonding Program'!$S$26=1,AW$3='Bonding Program'!$H$26),'Bonding Program'!$AA$26,0)-IF(AW$3&lt;='Bonding Program'!$C$8,IF(AND('Bonding Program'!$K$26&lt;&gt;"",AW$3='Bonding Program'!$K$26),'Bonding Program'!$J$26,0)-IF(AND('Bonding Program'!$M$26&lt;&gt;"",AW$3='Bonding Program'!$M$26),'Bonding Program'!$L$26,0)-IF(AND('Bonding Program'!$P$26&lt;&gt;"",AW$3='Bonding Program'!$P$26),'Bonding Program'!$O$26,0)-IF(AND('Bonding Program'!$R$26&lt;&gt;"",AW$3='Bonding Program'!$R$26),'Bonding Program'!$Q$26,0),0)</f>
        <v>0</v>
      </c>
      <c r="AX167" s="19" t="n">
        <f aca="false">IF(AND('Bonding Program'!$S$26=1,AX$3='Bonding Program'!$H$26),'Bonding Program'!$AA$26,0)-IF(AX$3&lt;='Bonding Program'!$C$8,IF(AND('Bonding Program'!$K$26&lt;&gt;"",AX$3='Bonding Program'!$K$26),'Bonding Program'!$J$26,0)-IF(AND('Bonding Program'!$M$26&lt;&gt;"",AX$3='Bonding Program'!$M$26),'Bonding Program'!$L$26,0)-IF(AND('Bonding Program'!$P$26&lt;&gt;"",AX$3='Bonding Program'!$P$26),'Bonding Program'!$O$26,0)-IF(AND('Bonding Program'!$R$26&lt;&gt;"",AX$3='Bonding Program'!$R$26),'Bonding Program'!$Q$26,0),0)</f>
        <v>0</v>
      </c>
      <c r="AY167" s="19" t="n">
        <f aca="false">IF(AND('Bonding Program'!$S$26=1,AY$3='Bonding Program'!$H$26),'Bonding Program'!$AA$26,0)-IF(AY$3&lt;='Bonding Program'!$C$8,IF(AND('Bonding Program'!$K$26&lt;&gt;"",AY$3='Bonding Program'!$K$26),'Bonding Program'!$J$26,0)-IF(AND('Bonding Program'!$M$26&lt;&gt;"",AY$3='Bonding Program'!$M$26),'Bonding Program'!$L$26,0)-IF(AND('Bonding Program'!$P$26&lt;&gt;"",AY$3='Bonding Program'!$P$26),'Bonding Program'!$O$26,0)-IF(AND('Bonding Program'!$R$26&lt;&gt;"",AY$3='Bonding Program'!$R$26),'Bonding Program'!$Q$26,0),0)</f>
        <v>0</v>
      </c>
      <c r="AZ167" s="19" t="n">
        <f aca="false">IF(AND('Bonding Program'!$S$26=1,AZ$3='Bonding Program'!$H$26),'Bonding Program'!$AA$26,0)-IF(AZ$3&lt;='Bonding Program'!$C$8,IF(AND('Bonding Program'!$K$26&lt;&gt;"",AZ$3='Bonding Program'!$K$26),'Bonding Program'!$J$26,0)-IF(AND('Bonding Program'!$M$26&lt;&gt;"",AZ$3='Bonding Program'!$M$26),'Bonding Program'!$L$26,0)-IF(AND('Bonding Program'!$P$26&lt;&gt;"",AZ$3='Bonding Program'!$P$26),'Bonding Program'!$O$26,0)-IF(AND('Bonding Program'!$R$26&lt;&gt;"",AZ$3='Bonding Program'!$R$26),'Bonding Program'!$Q$26,0),0)</f>
        <v>0</v>
      </c>
      <c r="BA167" s="19" t="n">
        <f aca="false">IF(AND('Bonding Program'!$S$26=1,BA$3='Bonding Program'!$H$26),'Bonding Program'!$AA$26,0)-IF(BA$3&lt;='Bonding Program'!$C$8,IF(AND('Bonding Program'!$K$26&lt;&gt;"",BA$3='Bonding Program'!$K$26),'Bonding Program'!$J$26,0)-IF(AND('Bonding Program'!$M$26&lt;&gt;"",BA$3='Bonding Program'!$M$26),'Bonding Program'!$L$26,0)-IF(AND('Bonding Program'!$P$26&lt;&gt;"",BA$3='Bonding Program'!$P$26),'Bonding Program'!$O$26,0)-IF(AND('Bonding Program'!$R$26&lt;&gt;"",BA$3='Bonding Program'!$R$26),'Bonding Program'!$Q$26,0),0)</f>
        <v>0</v>
      </c>
      <c r="BB167" s="19" t="n">
        <f aca="false">IF(AND('Bonding Program'!$S$26=1,BB$3='Bonding Program'!$H$26),'Bonding Program'!$AA$26,0)-IF(BB$3&lt;='Bonding Program'!$C$8,IF(AND('Bonding Program'!$K$26&lt;&gt;"",BB$3='Bonding Program'!$K$26),'Bonding Program'!$J$26,0)-IF(AND('Bonding Program'!$M$26&lt;&gt;"",BB$3='Bonding Program'!$M$26),'Bonding Program'!$L$26,0)-IF(AND('Bonding Program'!$P$26&lt;&gt;"",BB$3='Bonding Program'!$P$26),'Bonding Program'!$O$26,0)-IF(AND('Bonding Program'!$R$26&lt;&gt;"",BB$3='Bonding Program'!$R$26),'Bonding Program'!$Q$26,0),0)</f>
        <v>0</v>
      </c>
      <c r="BC167" s="19" t="n">
        <f aca="false">IF(AND('Bonding Program'!$S$26=1,BC$3='Bonding Program'!$H$26),'Bonding Program'!$AA$26,0)-IF(BC$3&lt;='Bonding Program'!$C$8,IF(AND('Bonding Program'!$K$26&lt;&gt;"",BC$3='Bonding Program'!$K$26),'Bonding Program'!$J$26,0)-IF(AND('Bonding Program'!$M$26&lt;&gt;"",BC$3='Bonding Program'!$M$26),'Bonding Program'!$L$26,0)-IF(AND('Bonding Program'!$P$26&lt;&gt;"",BC$3='Bonding Program'!$P$26),'Bonding Program'!$O$26,0)-IF(AND('Bonding Program'!$R$26&lt;&gt;"",BC$3='Bonding Program'!$R$26),'Bonding Program'!$Q$26,0),0)</f>
        <v>0</v>
      </c>
      <c r="BD167" s="19" t="n">
        <f aca="false">IF(AND('Bonding Program'!$S$26=1,BD$3='Bonding Program'!$H$26),'Bonding Program'!$AA$26,0)-IF(BD$3&lt;='Bonding Program'!$C$8,IF(AND('Bonding Program'!$K$26&lt;&gt;"",BD$3='Bonding Program'!$K$26),'Bonding Program'!$J$26,0)-IF(AND('Bonding Program'!$M$26&lt;&gt;"",BD$3='Bonding Program'!$M$26),'Bonding Program'!$L$26,0)-IF(AND('Bonding Program'!$P$26&lt;&gt;"",BD$3='Bonding Program'!$P$26),'Bonding Program'!$O$26,0)-IF(AND('Bonding Program'!$R$26&lt;&gt;"",BD$3='Bonding Program'!$R$26),'Bonding Program'!$Q$26,0),0)</f>
        <v>0</v>
      </c>
      <c r="BE167" s="19" t="n">
        <f aca="false">IF(AND('Bonding Program'!$S$26=1,BE$3='Bonding Program'!$H$26),'Bonding Program'!$AA$26,0)-IF(BE$3&lt;='Bonding Program'!$C$8,IF(AND('Bonding Program'!$K$26&lt;&gt;"",BE$3='Bonding Program'!$K$26),'Bonding Program'!$J$26,0)-IF(AND('Bonding Program'!$M$26&lt;&gt;"",BE$3='Bonding Program'!$M$26),'Bonding Program'!$L$26,0)-IF(AND('Bonding Program'!$P$26&lt;&gt;"",BE$3='Bonding Program'!$P$26),'Bonding Program'!$O$26,0)-IF(AND('Bonding Program'!$R$26&lt;&gt;"",BE$3='Bonding Program'!$R$26),'Bonding Program'!$Q$26,0),0)</f>
        <v>0</v>
      </c>
      <c r="BF167" s="19" t="n">
        <f aca="false">IF(AND('Bonding Program'!$S$26=1,BF$3='Bonding Program'!$H$26),'Bonding Program'!$AA$26,0)-IF(BF$3&lt;='Bonding Program'!$C$8,IF(AND('Bonding Program'!$K$26&lt;&gt;"",BF$3='Bonding Program'!$K$26),'Bonding Program'!$J$26,0)-IF(AND('Bonding Program'!$M$26&lt;&gt;"",BF$3='Bonding Program'!$M$26),'Bonding Program'!$L$26,0)-IF(AND('Bonding Program'!$P$26&lt;&gt;"",BF$3='Bonding Program'!$P$26),'Bonding Program'!$O$26,0)-IF(AND('Bonding Program'!$R$26&lt;&gt;"",BF$3='Bonding Program'!$R$26),'Bonding Program'!$Q$26,0),0)</f>
        <v>0</v>
      </c>
      <c r="BG167" s="19" t="n">
        <f aca="false">IF(AND('Bonding Program'!$S$26=1,BG$3='Bonding Program'!$H$26),'Bonding Program'!$AA$26,0)-IF(BG$3&lt;='Bonding Program'!$C$8,IF(AND('Bonding Program'!$K$26&lt;&gt;"",BG$3='Bonding Program'!$K$26),'Bonding Program'!$J$26,0)-IF(AND('Bonding Program'!$M$26&lt;&gt;"",BG$3='Bonding Program'!$M$26),'Bonding Program'!$L$26,0)-IF(AND('Bonding Program'!$P$26&lt;&gt;"",BG$3='Bonding Program'!$P$26),'Bonding Program'!$O$26,0)-IF(AND('Bonding Program'!$R$26&lt;&gt;"",BG$3='Bonding Program'!$R$26),'Bonding Program'!$Q$26,0),0)</f>
        <v>0</v>
      </c>
      <c r="BH167" s="19" t="n">
        <f aca="false">IF(AND('Bonding Program'!$S$26=1,BH$3='Bonding Program'!$H$26),'Bonding Program'!$AA$26,0)-IF(BH$3&lt;='Bonding Program'!$C$8,IF(AND('Bonding Program'!$K$26&lt;&gt;"",BH$3='Bonding Program'!$K$26),'Bonding Program'!$J$26,0)-IF(AND('Bonding Program'!$M$26&lt;&gt;"",BH$3='Bonding Program'!$M$26),'Bonding Program'!$L$26,0)-IF(AND('Bonding Program'!$P$26&lt;&gt;"",BH$3='Bonding Program'!$P$26),'Bonding Program'!$O$26,0)-IF(AND('Bonding Program'!$R$26&lt;&gt;"",BH$3='Bonding Program'!$R$26),'Bonding Program'!$Q$26,0),0)</f>
        <v>0</v>
      </c>
      <c r="BI167" s="19" t="n">
        <f aca="false">IF(AND('Bonding Program'!$S$26=1,BI$3='Bonding Program'!$H$26),'Bonding Program'!$AA$26,0)-IF(BI$3&lt;='Bonding Program'!$C$8,IF(AND('Bonding Program'!$K$26&lt;&gt;"",BI$3='Bonding Program'!$K$26),'Bonding Program'!$J$26,0)-IF(AND('Bonding Program'!$M$26&lt;&gt;"",BI$3='Bonding Program'!$M$26),'Bonding Program'!$L$26,0)-IF(AND('Bonding Program'!$P$26&lt;&gt;"",BI$3='Bonding Program'!$P$26),'Bonding Program'!$O$26,0)-IF(AND('Bonding Program'!$R$26&lt;&gt;"",BI$3='Bonding Program'!$R$26),'Bonding Program'!$Q$26,0),0)</f>
        <v>0</v>
      </c>
      <c r="BJ167" s="19" t="n">
        <f aca="false">IF(AND('Bonding Program'!$S$26=1,BJ$3='Bonding Program'!$H$26),'Bonding Program'!$AA$26,0)-IF(BJ$3&lt;='Bonding Program'!$C$8,IF(AND('Bonding Program'!$K$26&lt;&gt;"",BJ$3='Bonding Program'!$K$26),'Bonding Program'!$J$26,0)-IF(AND('Bonding Program'!$M$26&lt;&gt;"",BJ$3='Bonding Program'!$M$26),'Bonding Program'!$L$26,0)-IF(AND('Bonding Program'!$P$26&lt;&gt;"",BJ$3='Bonding Program'!$P$26),'Bonding Program'!$O$26,0)-IF(AND('Bonding Program'!$R$26&lt;&gt;"",BJ$3='Bonding Program'!$R$26),'Bonding Program'!$Q$26,0),0)</f>
        <v>0</v>
      </c>
      <c r="BK167" s="19" t="n">
        <f aca="false">IF(AND('Bonding Program'!$S$26=1,BK$3='Bonding Program'!$H$26),'Bonding Program'!$AA$26,0)-IF(BK$3&lt;='Bonding Program'!$C$8,IF(AND('Bonding Program'!$K$26&lt;&gt;"",BK$3='Bonding Program'!$K$26),'Bonding Program'!$J$26,0)-IF(AND('Bonding Program'!$M$26&lt;&gt;"",BK$3='Bonding Program'!$M$26),'Bonding Program'!$L$26,0)-IF(AND('Bonding Program'!$P$26&lt;&gt;"",BK$3='Bonding Program'!$P$26),'Bonding Program'!$O$26,0)-IF(AND('Bonding Program'!$R$26&lt;&gt;"",BK$3='Bonding Program'!$R$26),'Bonding Program'!$Q$26,0),0)</f>
        <v>0</v>
      </c>
      <c r="BL167" s="19" t="n">
        <f aca="false">IF(AND('Bonding Program'!$S$26=1,BL$3='Bonding Program'!$H$26),'Bonding Program'!$AA$26,0)-IF(BL$3&lt;='Bonding Program'!$C$8,IF(AND('Bonding Program'!$K$26&lt;&gt;"",BL$3='Bonding Program'!$K$26),'Bonding Program'!$J$26,0)-IF(AND('Bonding Program'!$M$26&lt;&gt;"",BL$3='Bonding Program'!$M$26),'Bonding Program'!$L$26,0)-IF(AND('Bonding Program'!$P$26&lt;&gt;"",BL$3='Bonding Program'!$P$26),'Bonding Program'!$O$26,0)-IF(AND('Bonding Program'!$R$26&lt;&gt;"",BL$3='Bonding Program'!$R$26),'Bonding Program'!$Q$26,0),0)</f>
        <v>0</v>
      </c>
      <c r="BM167" s="19" t="n">
        <f aca="false">IF(AND('Bonding Program'!$S$26=1,BM$3='Bonding Program'!$H$26),'Bonding Program'!$AA$26,0)-IF(BM$3&lt;='Bonding Program'!$C$8,IF(AND('Bonding Program'!$K$26&lt;&gt;"",BM$3='Bonding Program'!$K$26),'Bonding Program'!$J$26,0)-IF(AND('Bonding Program'!$M$26&lt;&gt;"",BM$3='Bonding Program'!$M$26),'Bonding Program'!$L$26,0)-IF(AND('Bonding Program'!$P$26&lt;&gt;"",BM$3='Bonding Program'!$P$26),'Bonding Program'!$O$26,0)-IF(AND('Bonding Program'!$R$26&lt;&gt;"",BM$3='Bonding Program'!$R$26),'Bonding Program'!$Q$26,0),0)</f>
        <v>0</v>
      </c>
      <c r="BN167" s="19" t="n">
        <f aca="false">IF(AND('Bonding Program'!$S$26=1,BN$3='Bonding Program'!$H$26),'Bonding Program'!$AA$26,0)-IF(BN$3&lt;='Bonding Program'!$C$8,IF(AND('Bonding Program'!$K$26&lt;&gt;"",BN$3='Bonding Program'!$K$26),'Bonding Program'!$J$26,0)-IF(AND('Bonding Program'!$M$26&lt;&gt;"",BN$3='Bonding Program'!$M$26),'Bonding Program'!$L$26,0)-IF(AND('Bonding Program'!$P$26&lt;&gt;"",BN$3='Bonding Program'!$P$26),'Bonding Program'!$O$26,0)-IF(AND('Bonding Program'!$R$26&lt;&gt;"",BN$3='Bonding Program'!$R$26),'Bonding Program'!$Q$26,0),0)</f>
        <v>0</v>
      </c>
      <c r="BO167" s="19" t="n">
        <f aca="false">IF(AND('Bonding Program'!$S$26=1,BO$3='Bonding Program'!$H$26),'Bonding Program'!$AA$26,0)-IF(BO$3&lt;='Bonding Program'!$C$8,IF(AND('Bonding Program'!$K$26&lt;&gt;"",BO$3='Bonding Program'!$K$26),'Bonding Program'!$J$26,0)-IF(AND('Bonding Program'!$M$26&lt;&gt;"",BO$3='Bonding Program'!$M$26),'Bonding Program'!$L$26,0)-IF(AND('Bonding Program'!$P$26&lt;&gt;"",BO$3='Bonding Program'!$P$26),'Bonding Program'!$O$26,0)-IF(AND('Bonding Program'!$R$26&lt;&gt;"",BO$3='Bonding Program'!$R$26),'Bonding Program'!$Q$26,0),0)</f>
        <v>0</v>
      </c>
      <c r="BP167" s="19" t="n">
        <f aca="false">IF(AND('Bonding Program'!$S$26=1,BP$3='Bonding Program'!$H$26),'Bonding Program'!$AA$26,0)-IF(BP$3&lt;='Bonding Program'!$C$8,IF(AND('Bonding Program'!$K$26&lt;&gt;"",BP$3='Bonding Program'!$K$26),'Bonding Program'!$J$26,0)-IF(AND('Bonding Program'!$M$26&lt;&gt;"",BP$3='Bonding Program'!$M$26),'Bonding Program'!$L$26,0)-IF(AND('Bonding Program'!$P$26&lt;&gt;"",BP$3='Bonding Program'!$P$26),'Bonding Program'!$O$26,0)-IF(AND('Bonding Program'!$R$26&lt;&gt;"",BP$3='Bonding Program'!$R$26),'Bonding Program'!$Q$26,0),0)</f>
        <v>0</v>
      </c>
      <c r="BQ167" s="19" t="n">
        <f aca="false">IF(AND('Bonding Program'!$S$26=1,BQ$3='Bonding Program'!$H$26),'Bonding Program'!$AA$26,0)-IF(BQ$3&lt;='Bonding Program'!$C$8,IF(AND('Bonding Program'!$K$26&lt;&gt;"",BQ$3='Bonding Program'!$K$26),'Bonding Program'!$J$26,0)-IF(AND('Bonding Program'!$M$26&lt;&gt;"",BQ$3='Bonding Program'!$M$26),'Bonding Program'!$L$26,0)-IF(AND('Bonding Program'!$P$26&lt;&gt;"",BQ$3='Bonding Program'!$P$26),'Bonding Program'!$O$26,0)-IF(AND('Bonding Program'!$R$26&lt;&gt;"",BQ$3='Bonding Program'!$R$26),'Bonding Program'!$Q$26,0),0)</f>
        <v>0</v>
      </c>
      <c r="BR167" s="19" t="n">
        <f aca="false">IF(AND('Bonding Program'!$S$26=1,BR$3='Bonding Program'!$H$26),'Bonding Program'!$AA$26,0)-IF(BR$3&lt;='Bonding Program'!$C$8,IF(AND('Bonding Program'!$K$26&lt;&gt;"",BR$3='Bonding Program'!$K$26),'Bonding Program'!$J$26,0)-IF(AND('Bonding Program'!$M$26&lt;&gt;"",BR$3='Bonding Program'!$M$26),'Bonding Program'!$L$26,0)-IF(AND('Bonding Program'!$P$26&lt;&gt;"",BR$3='Bonding Program'!$P$26),'Bonding Program'!$O$26,0)-IF(AND('Bonding Program'!$R$26&lt;&gt;"",BR$3='Bonding Program'!$R$26),'Bonding Program'!$Q$26,0),0)</f>
        <v>0</v>
      </c>
      <c r="BS167" s="19" t="n">
        <f aca="false">IF(AND('Bonding Program'!$S$26=1,BS$3='Bonding Program'!$H$26),'Bonding Program'!$AA$26,0)-IF(BS$3&lt;='Bonding Program'!$C$8,IF(AND('Bonding Program'!$K$26&lt;&gt;"",BS$3='Bonding Program'!$K$26),'Bonding Program'!$J$26,0)-IF(AND('Bonding Program'!$M$26&lt;&gt;"",BS$3='Bonding Program'!$M$26),'Bonding Program'!$L$26,0)-IF(AND('Bonding Program'!$P$26&lt;&gt;"",BS$3='Bonding Program'!$P$26),'Bonding Program'!$O$26,0)-IF(AND('Bonding Program'!$R$26&lt;&gt;"",BS$3='Bonding Program'!$R$26),'Bonding Program'!$Q$26,0),0)</f>
        <v>0</v>
      </c>
      <c r="BT167" s="19" t="n">
        <f aca="false">IF(AND('Bonding Program'!$S$26=1,BT$3='Bonding Program'!$H$26),'Bonding Program'!$AA$26,0)-IF(BT$3&lt;='Bonding Program'!$C$8,IF(AND('Bonding Program'!$K$26&lt;&gt;"",BT$3='Bonding Program'!$K$26),'Bonding Program'!$J$26,0)-IF(AND('Bonding Program'!$M$26&lt;&gt;"",BT$3='Bonding Program'!$M$26),'Bonding Program'!$L$26,0)-IF(AND('Bonding Program'!$P$26&lt;&gt;"",BT$3='Bonding Program'!$P$26),'Bonding Program'!$O$26,0)-IF(AND('Bonding Program'!$R$26&lt;&gt;"",BT$3='Bonding Program'!$R$26),'Bonding Program'!$Q$26,0),0)</f>
        <v>0</v>
      </c>
      <c r="BU167" s="19" t="n">
        <f aca="false">IF(AND('Bonding Program'!$S$26=1,BU$3='Bonding Program'!$H$26),'Bonding Program'!$AA$26,0)-IF(BU$3&lt;='Bonding Program'!$C$8,IF(AND('Bonding Program'!$K$26&lt;&gt;"",BU$3='Bonding Program'!$K$26),'Bonding Program'!$J$26,0)-IF(AND('Bonding Program'!$M$26&lt;&gt;"",BU$3='Bonding Program'!$M$26),'Bonding Program'!$L$26,0)-IF(AND('Bonding Program'!$P$26&lt;&gt;"",BU$3='Bonding Program'!$P$26),'Bonding Program'!$O$26,0)-IF(AND('Bonding Program'!$R$26&lt;&gt;"",BU$3='Bonding Program'!$R$26),'Bonding Program'!$Q$26,0),0)</f>
        <v>0</v>
      </c>
      <c r="BV167" s="19" t="n">
        <f aca="false">IF(AND('Bonding Program'!$S$26=1,BV$3='Bonding Program'!$H$26),'Bonding Program'!$AA$26,0)-IF(BV$3&lt;='Bonding Program'!$C$8,IF(AND('Bonding Program'!$K$26&lt;&gt;"",BV$3='Bonding Program'!$K$26),'Bonding Program'!$J$26,0)-IF(AND('Bonding Program'!$M$26&lt;&gt;"",BV$3='Bonding Program'!$M$26),'Bonding Program'!$L$26,0)-IF(AND('Bonding Program'!$P$26&lt;&gt;"",BV$3='Bonding Program'!$P$26),'Bonding Program'!$O$26,0)-IF(AND('Bonding Program'!$R$26&lt;&gt;"",BV$3='Bonding Program'!$R$26),'Bonding Program'!$Q$26,0),0)</f>
        <v>0</v>
      </c>
      <c r="BW167" s="19" t="n">
        <f aca="false">IF(AND('Bonding Program'!$S$26=1,BW$3='Bonding Program'!$H$26),'Bonding Program'!$AA$26,0)-IF(BW$3&lt;='Bonding Program'!$C$8,IF(AND('Bonding Program'!$K$26&lt;&gt;"",BW$3='Bonding Program'!$K$26),'Bonding Program'!$J$26,0)-IF(AND('Bonding Program'!$M$26&lt;&gt;"",BW$3='Bonding Program'!$M$26),'Bonding Program'!$L$26,0)-IF(AND('Bonding Program'!$P$26&lt;&gt;"",BW$3='Bonding Program'!$P$26),'Bonding Program'!$O$26,0)-IF(AND('Bonding Program'!$R$26&lt;&gt;"",BW$3='Bonding Program'!$R$26),'Bonding Program'!$Q$26,0),0)</f>
        <v>0</v>
      </c>
      <c r="BX167" s="19" t="n">
        <f aca="false">IF(AND('Bonding Program'!$S$26=1,BX$3='Bonding Program'!$H$26),'Bonding Program'!$AA$26,0)-IF(BX$3&lt;='Bonding Program'!$C$8,IF(AND('Bonding Program'!$K$26&lt;&gt;"",BX$3='Bonding Program'!$K$26),'Bonding Program'!$J$26,0)-IF(AND('Bonding Program'!$M$26&lt;&gt;"",BX$3='Bonding Program'!$M$26),'Bonding Program'!$L$26,0)-IF(AND('Bonding Program'!$P$26&lt;&gt;"",BX$3='Bonding Program'!$P$26),'Bonding Program'!$O$26,0)-IF(AND('Bonding Program'!$R$26&lt;&gt;"",BX$3='Bonding Program'!$R$26),'Bonding Program'!$Q$26,0),0)</f>
        <v>0</v>
      </c>
      <c r="BY167" s="19" t="n">
        <f aca="false">IF(AND('Bonding Program'!$S$26=1,BY$3='Bonding Program'!$H$26),'Bonding Program'!$AA$26,0)-IF(BY$3&lt;='Bonding Program'!$C$8,IF(AND('Bonding Program'!$K$26&lt;&gt;"",BY$3='Bonding Program'!$K$26),'Bonding Program'!$J$26,0)-IF(AND('Bonding Program'!$M$26&lt;&gt;"",BY$3='Bonding Program'!$M$26),'Bonding Program'!$L$26,0)-IF(AND('Bonding Program'!$P$26&lt;&gt;"",BY$3='Bonding Program'!$P$26),'Bonding Program'!$O$26,0)-IF(AND('Bonding Program'!$R$26&lt;&gt;"",BY$3='Bonding Program'!$R$26),'Bonding Program'!$Q$26,0),0)</f>
        <v>0</v>
      </c>
      <c r="BZ167" s="19" t="n">
        <f aca="false">IF(AND('Bonding Program'!$S$26=1,BZ$3='Bonding Program'!$H$26),'Bonding Program'!$AA$26,0)-IF(BZ$3&lt;='Bonding Program'!$C$8,IF(AND('Bonding Program'!$K$26&lt;&gt;"",BZ$3='Bonding Program'!$K$26),'Bonding Program'!$J$26,0)-IF(AND('Bonding Program'!$M$26&lt;&gt;"",BZ$3='Bonding Program'!$M$26),'Bonding Program'!$L$26,0)-IF(AND('Bonding Program'!$P$26&lt;&gt;"",BZ$3='Bonding Program'!$P$26),'Bonding Program'!$O$26,0)-IF(AND('Bonding Program'!$R$26&lt;&gt;"",BZ$3='Bonding Program'!$R$26),'Bonding Program'!$Q$26,0),0)</f>
        <v>0</v>
      </c>
      <c r="CA167" s="19" t="n">
        <f aca="false">IF(AND('Bonding Program'!$S$26=1,CA$3='Bonding Program'!$H$26),'Bonding Program'!$AA$26,0)-IF(CA$3&lt;='Bonding Program'!$C$8,IF(AND('Bonding Program'!$K$26&lt;&gt;"",CA$3='Bonding Program'!$K$26),'Bonding Program'!$J$26,0)-IF(AND('Bonding Program'!$M$26&lt;&gt;"",CA$3='Bonding Program'!$M$26),'Bonding Program'!$L$26,0)-IF(AND('Bonding Program'!$P$26&lt;&gt;"",CA$3='Bonding Program'!$P$26),'Bonding Program'!$O$26,0)-IF(AND('Bonding Program'!$R$26&lt;&gt;"",CA$3='Bonding Program'!$R$26),'Bonding Program'!$Q$26,0),0)</f>
        <v>0</v>
      </c>
      <c r="CB167" s="19" t="n">
        <f aca="false">IF(AND('Bonding Program'!$S$26=1,CB$3='Bonding Program'!$H$26),'Bonding Program'!$AA$26,0)-IF(CB$3&lt;='Bonding Program'!$C$8,IF(AND('Bonding Program'!$K$26&lt;&gt;"",CB$3='Bonding Program'!$K$26),'Bonding Program'!$J$26,0)-IF(AND('Bonding Program'!$M$26&lt;&gt;"",CB$3='Bonding Program'!$M$26),'Bonding Program'!$L$26,0)-IF(AND('Bonding Program'!$P$26&lt;&gt;"",CB$3='Bonding Program'!$P$26),'Bonding Program'!$O$26,0)-IF(AND('Bonding Program'!$R$26&lt;&gt;"",CB$3='Bonding Program'!$R$26),'Bonding Program'!$Q$26,0),0)</f>
        <v>0</v>
      </c>
      <c r="CC167" s="19" t="n">
        <f aca="false">IF(AND('Bonding Program'!$S$26=1,CC$3='Bonding Program'!$H$26),'Bonding Program'!$AA$26,0)-IF(CC$3&lt;='Bonding Program'!$C$8,IF(AND('Bonding Program'!$K$26&lt;&gt;"",CC$3='Bonding Program'!$K$26),'Bonding Program'!$J$26,0)-IF(AND('Bonding Program'!$M$26&lt;&gt;"",CC$3='Bonding Program'!$M$26),'Bonding Program'!$L$26,0)-IF(AND('Bonding Program'!$P$26&lt;&gt;"",CC$3='Bonding Program'!$P$26),'Bonding Program'!$O$26,0)-IF(AND('Bonding Program'!$R$26&lt;&gt;"",CC$3='Bonding Program'!$R$26),'Bonding Program'!$Q$26,0),0)</f>
        <v>0</v>
      </c>
      <c r="CD167" s="19" t="n">
        <f aca="false">IF(AND('Bonding Program'!$S$26=1,CD$3='Bonding Program'!$H$26),'Bonding Program'!$AA$26,0)-IF(CD$3&lt;='Bonding Program'!$C$8,IF(AND('Bonding Program'!$K$26&lt;&gt;"",CD$3='Bonding Program'!$K$26),'Bonding Program'!$J$26,0)-IF(AND('Bonding Program'!$M$26&lt;&gt;"",CD$3='Bonding Program'!$M$26),'Bonding Program'!$L$26,0)-IF(AND('Bonding Program'!$P$26&lt;&gt;"",CD$3='Bonding Program'!$P$26),'Bonding Program'!$O$26,0)-IF(AND('Bonding Program'!$R$26&lt;&gt;"",CD$3='Bonding Program'!$R$26),'Bonding Program'!$Q$26,0),0)</f>
        <v>0</v>
      </c>
      <c r="CE167" s="19" t="n">
        <f aca="false">IF(AND('Bonding Program'!$S$26=1,CE$3='Bonding Program'!$H$26),'Bonding Program'!$AA$26,0)-IF(CE$3&lt;='Bonding Program'!$C$8,IF(AND('Bonding Program'!$K$26&lt;&gt;"",CE$3='Bonding Program'!$K$26),'Bonding Program'!$J$26,0)-IF(AND('Bonding Program'!$M$26&lt;&gt;"",CE$3='Bonding Program'!$M$26),'Bonding Program'!$L$26,0)-IF(AND('Bonding Program'!$P$26&lt;&gt;"",CE$3='Bonding Program'!$P$26),'Bonding Program'!$O$26,0)-IF(AND('Bonding Program'!$R$26&lt;&gt;"",CE$3='Bonding Program'!$R$26),'Bonding Program'!$Q$26,0),0)</f>
        <v>0</v>
      </c>
      <c r="CF167" s="19" t="n">
        <f aca="false">IF(AND('Bonding Program'!$S$26=1,CF$3='Bonding Program'!$H$26),'Bonding Program'!$AA$26,0)-IF(CF$3&lt;='Bonding Program'!$C$8,IF(AND('Bonding Program'!$K$26&lt;&gt;"",CF$3='Bonding Program'!$K$26),'Bonding Program'!$J$26,0)-IF(AND('Bonding Program'!$M$26&lt;&gt;"",CF$3='Bonding Program'!$M$26),'Bonding Program'!$L$26,0)-IF(AND('Bonding Program'!$P$26&lt;&gt;"",CF$3='Bonding Program'!$P$26),'Bonding Program'!$O$26,0)-IF(AND('Bonding Program'!$R$26&lt;&gt;"",CF$3='Bonding Program'!$R$26),'Bonding Program'!$Q$26,0),0)</f>
        <v>0</v>
      </c>
      <c r="CG167" s="19" t="n">
        <f aca="false">IF(AND('Bonding Program'!$S$26=1,CG$3='Bonding Program'!$H$26),'Bonding Program'!$AA$26,0)-IF(CG$3&lt;='Bonding Program'!$C$8,IF(AND('Bonding Program'!$K$26&lt;&gt;"",CG$3='Bonding Program'!$K$26),'Bonding Program'!$J$26,0)-IF(AND('Bonding Program'!$M$26&lt;&gt;"",CG$3='Bonding Program'!$M$26),'Bonding Program'!$L$26,0)-IF(AND('Bonding Program'!$P$26&lt;&gt;"",CG$3='Bonding Program'!$P$26),'Bonding Program'!$O$26,0)-IF(AND('Bonding Program'!$R$26&lt;&gt;"",CG$3='Bonding Program'!$R$26),'Bonding Program'!$Q$26,0),0)</f>
        <v>0</v>
      </c>
      <c r="CH167" s="19" t="n">
        <f aca="false">IF(AND('Bonding Program'!$S$26=1,CH$3='Bonding Program'!$H$26),'Bonding Program'!$AA$26,0)-IF(CH$3&lt;='Bonding Program'!$C$8,IF(AND('Bonding Program'!$K$26&lt;&gt;"",CH$3='Bonding Program'!$K$26),'Bonding Program'!$J$26,0)-IF(AND('Bonding Program'!$M$26&lt;&gt;"",CH$3='Bonding Program'!$M$26),'Bonding Program'!$L$26,0)-IF(AND('Bonding Program'!$P$26&lt;&gt;"",CH$3='Bonding Program'!$P$26),'Bonding Program'!$O$26,0)-IF(AND('Bonding Program'!$R$26&lt;&gt;"",CH$3='Bonding Program'!$R$26),'Bonding Program'!$Q$26,0),0)</f>
        <v>0</v>
      </c>
      <c r="CI167" s="19" t="n">
        <f aca="false">IF(AND('Bonding Program'!$S$26=1,CI$3='Bonding Program'!$H$26),'Bonding Program'!$AA$26,0)-IF(CI$3&lt;='Bonding Program'!$C$8,IF(AND('Bonding Program'!$K$26&lt;&gt;"",CI$3='Bonding Program'!$K$26),'Bonding Program'!$J$26,0)-IF(AND('Bonding Program'!$M$26&lt;&gt;"",CI$3='Bonding Program'!$M$26),'Bonding Program'!$L$26,0)-IF(AND('Bonding Program'!$P$26&lt;&gt;"",CI$3='Bonding Program'!$P$26),'Bonding Program'!$O$26,0)-IF(AND('Bonding Program'!$R$26&lt;&gt;"",CI$3='Bonding Program'!$R$26),'Bonding Program'!$Q$26,0),0)</f>
        <v>0</v>
      </c>
      <c r="CJ167" s="19" t="n">
        <f aca="false">IF(AND('Bonding Program'!$S$26=1,CJ$3='Bonding Program'!$H$26),'Bonding Program'!$AA$26,0)-IF(CJ$3&lt;='Bonding Program'!$C$8,IF(AND('Bonding Program'!$K$26&lt;&gt;"",CJ$3='Bonding Program'!$K$26),'Bonding Program'!$J$26,0)-IF(AND('Bonding Program'!$M$26&lt;&gt;"",CJ$3='Bonding Program'!$M$26),'Bonding Program'!$L$26,0)-IF(AND('Bonding Program'!$P$26&lt;&gt;"",CJ$3='Bonding Program'!$P$26),'Bonding Program'!$O$26,0)-IF(AND('Bonding Program'!$R$26&lt;&gt;"",CJ$3='Bonding Program'!$R$26),'Bonding Program'!$Q$26,0),0)</f>
        <v>0</v>
      </c>
      <c r="CK167" s="19" t="n">
        <f aca="false">IF(AND('Bonding Program'!$S$26=1,CK$3='Bonding Program'!$H$26),'Bonding Program'!$AA$26,0)-IF(CK$3&lt;='Bonding Program'!$C$8,IF(AND('Bonding Program'!$K$26&lt;&gt;"",CK$3='Bonding Program'!$K$26),'Bonding Program'!$J$26,0)-IF(AND('Bonding Program'!$M$26&lt;&gt;"",CK$3='Bonding Program'!$M$26),'Bonding Program'!$L$26,0)-IF(AND('Bonding Program'!$P$26&lt;&gt;"",CK$3='Bonding Program'!$P$26),'Bonding Program'!$O$26,0)-IF(AND('Bonding Program'!$R$26&lt;&gt;"",CK$3='Bonding Program'!$R$26),'Bonding Program'!$Q$26,0),0)</f>
        <v>0</v>
      </c>
      <c r="CL167" s="19" t="n">
        <f aca="false">IF(AND('Bonding Program'!$S$26=1,CL$3='Bonding Program'!$H$26),'Bonding Program'!$AA$26,0)-IF(CL$3&lt;='Bonding Program'!$C$8,IF(AND('Bonding Program'!$K$26&lt;&gt;"",CL$3='Bonding Program'!$K$26),'Bonding Program'!$J$26,0)-IF(AND('Bonding Program'!$M$26&lt;&gt;"",CL$3='Bonding Program'!$M$26),'Bonding Program'!$L$26,0)-IF(AND('Bonding Program'!$P$26&lt;&gt;"",CL$3='Bonding Program'!$P$26),'Bonding Program'!$O$26,0)-IF(AND('Bonding Program'!$R$26&lt;&gt;"",CL$3='Bonding Program'!$R$26),'Bonding Program'!$Q$26,0),0)</f>
        <v>0</v>
      </c>
      <c r="CM167" s="19" t="n">
        <f aca="false">IF(AND('Bonding Program'!$S$26=1,CM$3='Bonding Program'!$H$26),'Bonding Program'!$AA$26,0)-IF(CM$3&lt;='Bonding Program'!$C$8,IF(AND('Bonding Program'!$K$26&lt;&gt;"",CM$3='Bonding Program'!$K$26),'Bonding Program'!$J$26,0)-IF(AND('Bonding Program'!$M$26&lt;&gt;"",CM$3='Bonding Program'!$M$26),'Bonding Program'!$L$26,0)-IF(AND('Bonding Program'!$P$26&lt;&gt;"",CM$3='Bonding Program'!$P$26),'Bonding Program'!$O$26,0)-IF(AND('Bonding Program'!$R$26&lt;&gt;"",CM$3='Bonding Program'!$R$26),'Bonding Program'!$Q$26,0),0)</f>
        <v>0</v>
      </c>
      <c r="CN167" s="19" t="n">
        <f aca="false">IF(AND('Bonding Program'!$S$26=1,CN$3='Bonding Program'!$H$26),'Bonding Program'!$AA$26,0)-IF(CN$3&lt;='Bonding Program'!$C$8,IF(AND('Bonding Program'!$K$26&lt;&gt;"",CN$3='Bonding Program'!$K$26),'Bonding Program'!$J$26,0)-IF(AND('Bonding Program'!$M$26&lt;&gt;"",CN$3='Bonding Program'!$M$26),'Bonding Program'!$L$26,0)-IF(AND('Bonding Program'!$P$26&lt;&gt;"",CN$3='Bonding Program'!$P$26),'Bonding Program'!$O$26,0)-IF(AND('Bonding Program'!$R$26&lt;&gt;"",CN$3='Bonding Program'!$R$26),'Bonding Program'!$Q$26,0),0)</f>
        <v>0</v>
      </c>
      <c r="CO167" s="19" t="n">
        <f aca="false">IF(AND('Bonding Program'!$S$26=1,CO$3='Bonding Program'!$H$26),'Bonding Program'!$AA$26,0)-IF(CO$3&lt;='Bonding Program'!$C$8,IF(AND('Bonding Program'!$K$26&lt;&gt;"",CO$3='Bonding Program'!$K$26),'Bonding Program'!$J$26,0)-IF(AND('Bonding Program'!$M$26&lt;&gt;"",CO$3='Bonding Program'!$M$26),'Bonding Program'!$L$26,0)-IF(AND('Bonding Program'!$P$26&lt;&gt;"",CO$3='Bonding Program'!$P$26),'Bonding Program'!$O$26,0)-IF(AND('Bonding Program'!$R$26&lt;&gt;"",CO$3='Bonding Program'!$R$26),'Bonding Program'!$Q$26,0),0)</f>
        <v>0</v>
      </c>
      <c r="CP167" s="19" t="n">
        <f aca="false">IF(AND('Bonding Program'!$S$26=1,CP$3='Bonding Program'!$H$26),'Bonding Program'!$AA$26,0)-IF(CP$3&lt;='Bonding Program'!$C$8,IF(AND('Bonding Program'!$K$26&lt;&gt;"",CP$3='Bonding Program'!$K$26),'Bonding Program'!$J$26,0)-IF(AND('Bonding Program'!$M$26&lt;&gt;"",CP$3='Bonding Program'!$M$26),'Bonding Program'!$L$26,0)-IF(AND('Bonding Program'!$P$26&lt;&gt;"",CP$3='Bonding Program'!$P$26),'Bonding Program'!$O$26,0)-IF(AND('Bonding Program'!$R$26&lt;&gt;"",CP$3='Bonding Program'!$R$26),'Bonding Program'!$Q$26,0),0)</f>
        <v>0</v>
      </c>
      <c r="CQ167" s="19" t="n">
        <f aca="false">IF(AND('Bonding Program'!$S$26=1,CQ$3='Bonding Program'!$H$26),'Bonding Program'!$AA$26,0)-IF(CQ$3&lt;='Bonding Program'!$C$8,IF(AND('Bonding Program'!$K$26&lt;&gt;"",CQ$3='Bonding Program'!$K$26),'Bonding Program'!$J$26,0)-IF(AND('Bonding Program'!$M$26&lt;&gt;"",CQ$3='Bonding Program'!$M$26),'Bonding Program'!$L$26,0)-IF(AND('Bonding Program'!$P$26&lt;&gt;"",CQ$3='Bonding Program'!$P$26),'Bonding Program'!$O$26,0)-IF(AND('Bonding Program'!$R$26&lt;&gt;"",CQ$3='Bonding Program'!$R$26),'Bonding Program'!$Q$26,0),0)</f>
        <v>0</v>
      </c>
      <c r="CR167" s="19" t="n">
        <f aca="false">IF(AND('Bonding Program'!$S$26=1,CR$3='Bonding Program'!$H$26),'Bonding Program'!$AA$26,0)-IF(CR$3&lt;='Bonding Program'!$C$8,IF(AND('Bonding Program'!$K$26&lt;&gt;"",CR$3='Bonding Program'!$K$26),'Bonding Program'!$J$26,0)-IF(AND('Bonding Program'!$M$26&lt;&gt;"",CR$3='Bonding Program'!$M$26),'Bonding Program'!$L$26,0)-IF(AND('Bonding Program'!$P$26&lt;&gt;"",CR$3='Bonding Program'!$P$26),'Bonding Program'!$O$26,0)-IF(AND('Bonding Program'!$R$26&lt;&gt;"",CR$3='Bonding Program'!$R$26),'Bonding Program'!$Q$26,0),0)</f>
        <v>0</v>
      </c>
      <c r="CS167" s="19" t="n">
        <f aca="false">IF(AND('Bonding Program'!$S$26=1,CS$3='Bonding Program'!$H$26),'Bonding Program'!$AA$26,0)-IF(CS$3&lt;='Bonding Program'!$C$8,IF(AND('Bonding Program'!$K$26&lt;&gt;"",CS$3='Bonding Program'!$K$26),'Bonding Program'!$J$26,0)-IF(AND('Bonding Program'!$M$26&lt;&gt;"",CS$3='Bonding Program'!$M$26),'Bonding Program'!$L$26,0)-IF(AND('Bonding Program'!$P$26&lt;&gt;"",CS$3='Bonding Program'!$P$26),'Bonding Program'!$O$26,0)-IF(AND('Bonding Program'!$R$26&lt;&gt;"",CS$3='Bonding Program'!$R$26),'Bonding Program'!$Q$26,0),0)</f>
        <v>0</v>
      </c>
      <c r="CT167" s="19" t="n">
        <f aca="false">IF(AND('Bonding Program'!$S$26=1,CT$3='Bonding Program'!$H$26),'Bonding Program'!$AA$26,0)-IF(CT$3&lt;='Bonding Program'!$C$8,IF(AND('Bonding Program'!$K$26&lt;&gt;"",CT$3='Bonding Program'!$K$26),'Bonding Program'!$J$26,0)-IF(AND('Bonding Program'!$M$26&lt;&gt;"",CT$3='Bonding Program'!$M$26),'Bonding Program'!$L$26,0)-IF(AND('Bonding Program'!$P$26&lt;&gt;"",CT$3='Bonding Program'!$P$26),'Bonding Program'!$O$26,0)-IF(AND('Bonding Program'!$R$26&lt;&gt;"",CT$3='Bonding Program'!$R$26),'Bonding Program'!$Q$26,0),0)</f>
        <v>0</v>
      </c>
      <c r="CU167" s="19" t="n">
        <f aca="false">IF(AND('Bonding Program'!$S$26=1,CU$3='Bonding Program'!$H$26),'Bonding Program'!$AA$26,0)-IF(CU$3&lt;='Bonding Program'!$C$8,IF(AND('Bonding Program'!$K$26&lt;&gt;"",CU$3='Bonding Program'!$K$26),'Bonding Program'!$J$26,0)-IF(AND('Bonding Program'!$M$26&lt;&gt;"",CU$3='Bonding Program'!$M$26),'Bonding Program'!$L$26,0)-IF(AND('Bonding Program'!$P$26&lt;&gt;"",CU$3='Bonding Program'!$P$26),'Bonding Program'!$O$26,0)-IF(AND('Bonding Program'!$R$26&lt;&gt;"",CU$3='Bonding Program'!$R$26),'Bonding Program'!$Q$26,0),0)</f>
        <v>0</v>
      </c>
      <c r="CV167" s="19" t="n">
        <f aca="false">IF(AND('Bonding Program'!$S$26=1,CV$3='Bonding Program'!$H$26),'Bonding Program'!$AA$26,0)-IF(CV$3&lt;='Bonding Program'!$C$8,IF(AND('Bonding Program'!$K$26&lt;&gt;"",CV$3='Bonding Program'!$K$26),'Bonding Program'!$J$26,0)-IF(AND('Bonding Program'!$M$26&lt;&gt;"",CV$3='Bonding Program'!$M$26),'Bonding Program'!$L$26,0)-IF(AND('Bonding Program'!$P$26&lt;&gt;"",CV$3='Bonding Program'!$P$26),'Bonding Program'!$O$26,0)-IF(AND('Bonding Program'!$R$26&lt;&gt;"",CV$3='Bonding Program'!$R$26),'Bonding Program'!$Q$26,0),0)</f>
        <v>0</v>
      </c>
      <c r="CW167" s="19" t="n">
        <f aca="false">IF(AND('Bonding Program'!$S$26=1,CW$3='Bonding Program'!$H$26),'Bonding Program'!$AA$26,0)-IF(CW$3&lt;='Bonding Program'!$C$8,IF(AND('Bonding Program'!$K$26&lt;&gt;"",CW$3='Bonding Program'!$K$26),'Bonding Program'!$J$26,0)-IF(AND('Bonding Program'!$M$26&lt;&gt;"",CW$3='Bonding Program'!$M$26),'Bonding Program'!$L$26,0)-IF(AND('Bonding Program'!$P$26&lt;&gt;"",CW$3='Bonding Program'!$P$26),'Bonding Program'!$O$26,0)-IF(AND('Bonding Program'!$R$26&lt;&gt;"",CW$3='Bonding Program'!$R$26),'Bonding Program'!$Q$26,0),0)</f>
        <v>0</v>
      </c>
      <c r="CX167" s="19" t="n">
        <f aca="false">IF(AND('Bonding Program'!$S$26=1,CX$3='Bonding Program'!$H$26),'Bonding Program'!$AA$26,0)-IF(CX$3&lt;='Bonding Program'!$C$8,IF(AND('Bonding Program'!$K$26&lt;&gt;"",CX$3='Bonding Program'!$K$26),'Bonding Program'!$J$26,0)-IF(AND('Bonding Program'!$M$26&lt;&gt;"",CX$3='Bonding Program'!$M$26),'Bonding Program'!$L$26,0)-IF(AND('Bonding Program'!$P$26&lt;&gt;"",CX$3='Bonding Program'!$P$26),'Bonding Program'!$O$26,0)-IF(AND('Bonding Program'!$R$26&lt;&gt;"",CX$3='Bonding Program'!$R$26),'Bonding Program'!$Q$26,0),0)</f>
        <v>0</v>
      </c>
      <c r="CY167" s="19" t="n">
        <f aca="false">IF(AND('Bonding Program'!$S$26=1,CY$3='Bonding Program'!$H$26),'Bonding Program'!$AA$26,0)-IF(CY$3&lt;='Bonding Program'!$C$8,IF(AND('Bonding Program'!$K$26&lt;&gt;"",CY$3='Bonding Program'!$K$26),'Bonding Program'!$J$26,0)-IF(AND('Bonding Program'!$M$26&lt;&gt;"",CY$3='Bonding Program'!$M$26),'Bonding Program'!$L$26,0)-IF(AND('Bonding Program'!$P$26&lt;&gt;"",CY$3='Bonding Program'!$P$26),'Bonding Program'!$O$26,0)-IF(AND('Bonding Program'!$R$26&lt;&gt;"",CY$3='Bonding Program'!$R$26),'Bonding Program'!$Q$26,0),0)</f>
        <v>0</v>
      </c>
      <c r="CZ167" s="19" t="n">
        <f aca="false">IF(AND('Bonding Program'!$S$26=1,CZ$3='Bonding Program'!$H$26),'Bonding Program'!$AA$26,0)-IF(CZ$3&lt;='Bonding Program'!$C$8,IF(AND('Bonding Program'!$K$26&lt;&gt;"",CZ$3='Bonding Program'!$K$26),'Bonding Program'!$J$26,0)-IF(AND('Bonding Program'!$M$26&lt;&gt;"",CZ$3='Bonding Program'!$M$26),'Bonding Program'!$L$26,0)-IF(AND('Bonding Program'!$P$26&lt;&gt;"",CZ$3='Bonding Program'!$P$26),'Bonding Program'!$O$26,0)-IF(AND('Bonding Program'!$R$26&lt;&gt;"",CZ$3='Bonding Program'!$R$26),'Bonding Program'!$Q$26,0),0)</f>
        <v>0</v>
      </c>
      <c r="DA167" s="19" t="n">
        <f aca="false">IF(AND('Bonding Program'!$S$26=1,DA$3='Bonding Program'!$H$26),'Bonding Program'!$AA$26,0)-IF(DA$3&lt;='Bonding Program'!$C$8,IF(AND('Bonding Program'!$K$26&lt;&gt;"",DA$3='Bonding Program'!$K$26),'Bonding Program'!$J$26,0)-IF(AND('Bonding Program'!$M$26&lt;&gt;"",DA$3='Bonding Program'!$M$26),'Bonding Program'!$L$26,0)-IF(AND('Bonding Program'!$P$26&lt;&gt;"",DA$3='Bonding Program'!$P$26),'Bonding Program'!$O$26,0)-IF(AND('Bonding Program'!$R$26&lt;&gt;"",DA$3='Bonding Program'!$R$26),'Bonding Program'!$Q$26,0),0)</f>
        <v>0</v>
      </c>
      <c r="DB167" s="19" t="n">
        <f aca="false">IF(AND('Bonding Program'!$S$26=1,DB$3='Bonding Program'!$H$26),'Bonding Program'!$AA$26,0)-IF(DB$3&lt;='Bonding Program'!$C$8,IF(AND('Bonding Program'!$K$26&lt;&gt;"",DB$3='Bonding Program'!$K$26),'Bonding Program'!$J$26,0)-IF(AND('Bonding Program'!$M$26&lt;&gt;"",DB$3='Bonding Program'!$M$26),'Bonding Program'!$L$26,0)-IF(AND('Bonding Program'!$P$26&lt;&gt;"",DB$3='Bonding Program'!$P$26),'Bonding Program'!$O$26,0)-IF(AND('Bonding Program'!$R$26&lt;&gt;"",DB$3='Bonding Program'!$R$26),'Bonding Program'!$Q$26,0),0)</f>
        <v>0</v>
      </c>
      <c r="DC167" s="19" t="n">
        <f aca="false">IF(AND('Bonding Program'!$S$26=1,DC$3='Bonding Program'!$H$26),'Bonding Program'!$AA$26,0)-IF(DC$3&lt;='Bonding Program'!$C$8,IF(AND('Bonding Program'!$K$26&lt;&gt;"",DC$3='Bonding Program'!$K$26),'Bonding Program'!$J$26,0)-IF(AND('Bonding Program'!$M$26&lt;&gt;"",DC$3='Bonding Program'!$M$26),'Bonding Program'!$L$26,0)-IF(AND('Bonding Program'!$P$26&lt;&gt;"",DC$3='Bonding Program'!$P$26),'Bonding Program'!$O$26,0)-IF(AND('Bonding Program'!$R$26&lt;&gt;"",DC$3='Bonding Program'!$R$26),'Bonding Program'!$Q$26,0),0)</f>
        <v>0</v>
      </c>
      <c r="DD167" s="19" t="n">
        <f aca="false">IF(AND('Bonding Program'!$S$26=1,DD$3='Bonding Program'!$H$26),'Bonding Program'!$AA$26,0)-IF(DD$3&lt;='Bonding Program'!$C$8,IF(AND('Bonding Program'!$K$26&lt;&gt;"",DD$3='Bonding Program'!$K$26),'Bonding Program'!$J$26,0)-IF(AND('Bonding Program'!$M$26&lt;&gt;"",DD$3='Bonding Program'!$M$26),'Bonding Program'!$L$26,0)-IF(AND('Bonding Program'!$P$26&lt;&gt;"",DD$3='Bonding Program'!$P$26),'Bonding Program'!$O$26,0)-IF(AND('Bonding Program'!$R$26&lt;&gt;"",DD$3='Bonding Program'!$R$26),'Bonding Program'!$Q$26,0),0)</f>
        <v>0</v>
      </c>
      <c r="DE167" s="19" t="n">
        <f aca="false">IF(AND('Bonding Program'!$S$26=1,DE$3='Bonding Program'!$H$26),'Bonding Program'!$AA$26,0)-IF(DE$3&lt;='Bonding Program'!$C$8,IF(AND('Bonding Program'!$K$26&lt;&gt;"",DE$3='Bonding Program'!$K$26),'Bonding Program'!$J$26,0)-IF(AND('Bonding Program'!$M$26&lt;&gt;"",DE$3='Bonding Program'!$M$26),'Bonding Program'!$L$26,0)-IF(AND('Bonding Program'!$P$26&lt;&gt;"",DE$3='Bonding Program'!$P$26),'Bonding Program'!$O$26,0)-IF(AND('Bonding Program'!$R$26&lt;&gt;"",DE$3='Bonding Program'!$R$26),'Bonding Program'!$Q$26,0),0)</f>
        <v>0</v>
      </c>
    </row>
    <row r="168" customFormat="false" ht="15" hidden="false" customHeight="true" outlineLevel="1" collapsed="false">
      <c r="A168" s="28" t="s">
        <v>23</v>
      </c>
      <c r="B168" s="19" t="n">
        <f aca="false">IF(AND('Bonding Program'!$S$27=1,B$3='Bonding Program'!$H$27),'Bonding Program'!$AA$27,0)-IF(B$3&lt;='Bonding Program'!$C$8,IF(AND('Bonding Program'!$K$27&lt;&gt;"",B$3='Bonding Program'!$K$27),'Bonding Program'!$J$27,0)-IF(AND('Bonding Program'!$M$27&lt;&gt;"",B$3='Bonding Program'!$M$27),'Bonding Program'!$L$27,0)-IF(AND('Bonding Program'!$P$27&lt;&gt;"",B$3='Bonding Program'!$P$27),'Bonding Program'!$O$27,0)-IF(AND('Bonding Program'!$R$27&lt;&gt;"",B$3='Bonding Program'!$R$27),'Bonding Program'!$Q$27,0),0)</f>
        <v>0</v>
      </c>
      <c r="C168" s="19" t="n">
        <f aca="false">IF(AND('Bonding Program'!$S$27=1,C$3='Bonding Program'!$H$27),'Bonding Program'!$AA$27,0)-IF(C$3&lt;='Bonding Program'!$C$8,IF(AND('Bonding Program'!$K$27&lt;&gt;"",C$3='Bonding Program'!$K$27),'Bonding Program'!$J$27,0)-IF(AND('Bonding Program'!$M$27&lt;&gt;"",C$3='Bonding Program'!$M$27),'Bonding Program'!$L$27,0)-IF(AND('Bonding Program'!$P$27&lt;&gt;"",C$3='Bonding Program'!$P$27),'Bonding Program'!$O$27,0)-IF(AND('Bonding Program'!$R$27&lt;&gt;"",C$3='Bonding Program'!$R$27),'Bonding Program'!$Q$27,0),0)</f>
        <v>0</v>
      </c>
      <c r="D168" s="19" t="n">
        <f aca="false">IF(AND('Bonding Program'!$S$27=1,D$3='Bonding Program'!$H$27),'Bonding Program'!$AA$27,0)-IF(D$3&lt;='Bonding Program'!$C$8,IF(AND('Bonding Program'!$K$27&lt;&gt;"",D$3='Bonding Program'!$K$27),'Bonding Program'!$J$27,0)-IF(AND('Bonding Program'!$M$27&lt;&gt;"",D$3='Bonding Program'!$M$27),'Bonding Program'!$L$27,0)-IF(AND('Bonding Program'!$P$27&lt;&gt;"",D$3='Bonding Program'!$P$27),'Bonding Program'!$O$27,0)-IF(AND('Bonding Program'!$R$27&lt;&gt;"",D$3='Bonding Program'!$R$27),'Bonding Program'!$Q$27,0),0)</f>
        <v>0</v>
      </c>
      <c r="E168" s="19" t="n">
        <f aca="false">IF(AND('Bonding Program'!$S$27=1,E$3='Bonding Program'!$H$27),'Bonding Program'!$AA$27,0)-IF(E$3&lt;='Bonding Program'!$C$8,IF(AND('Bonding Program'!$K$27&lt;&gt;"",E$3='Bonding Program'!$K$27),'Bonding Program'!$J$27,0)-IF(AND('Bonding Program'!$M$27&lt;&gt;"",E$3='Bonding Program'!$M$27),'Bonding Program'!$L$27,0)-IF(AND('Bonding Program'!$P$27&lt;&gt;"",E$3='Bonding Program'!$P$27),'Bonding Program'!$O$27,0)-IF(AND('Bonding Program'!$R$27&lt;&gt;"",E$3='Bonding Program'!$R$27),'Bonding Program'!$Q$27,0),0)</f>
        <v>0</v>
      </c>
      <c r="F168" s="19" t="n">
        <f aca="false">IF(AND('Bonding Program'!$S$27=1,F$3='Bonding Program'!$H$27),'Bonding Program'!$AA$27,0)-IF(F$3&lt;='Bonding Program'!$C$8,IF(AND('Bonding Program'!$K$27&lt;&gt;"",F$3='Bonding Program'!$K$27),'Bonding Program'!$J$27,0)-IF(AND('Bonding Program'!$M$27&lt;&gt;"",F$3='Bonding Program'!$M$27),'Bonding Program'!$L$27,0)-IF(AND('Bonding Program'!$P$27&lt;&gt;"",F$3='Bonding Program'!$P$27),'Bonding Program'!$O$27,0)-IF(AND('Bonding Program'!$R$27&lt;&gt;"",F$3='Bonding Program'!$R$27),'Bonding Program'!$Q$27,0),0)</f>
        <v>0</v>
      </c>
      <c r="G168" s="19" t="n">
        <f aca="false">IF(AND('Bonding Program'!$S$27=1,G$3='Bonding Program'!$H$27),'Bonding Program'!$AA$27,0)-IF(G$3&lt;='Bonding Program'!$C$8,IF(AND('Bonding Program'!$K$27&lt;&gt;"",G$3='Bonding Program'!$K$27),'Bonding Program'!$J$27,0)-IF(AND('Bonding Program'!$M$27&lt;&gt;"",G$3='Bonding Program'!$M$27),'Bonding Program'!$L$27,0)-IF(AND('Bonding Program'!$P$27&lt;&gt;"",G$3='Bonding Program'!$P$27),'Bonding Program'!$O$27,0)-IF(AND('Bonding Program'!$R$27&lt;&gt;"",G$3='Bonding Program'!$R$27),'Bonding Program'!$Q$27,0),0)</f>
        <v>0</v>
      </c>
      <c r="H168" s="19" t="n">
        <f aca="false">IF(AND('Bonding Program'!$S$27=1,H$3='Bonding Program'!$H$27),'Bonding Program'!$AA$27,0)-IF(H$3&lt;='Bonding Program'!$C$8,IF(AND('Bonding Program'!$K$27&lt;&gt;"",H$3='Bonding Program'!$K$27),'Bonding Program'!$J$27,0)-IF(AND('Bonding Program'!$M$27&lt;&gt;"",H$3='Bonding Program'!$M$27),'Bonding Program'!$L$27,0)-IF(AND('Bonding Program'!$P$27&lt;&gt;"",H$3='Bonding Program'!$P$27),'Bonding Program'!$O$27,0)-IF(AND('Bonding Program'!$R$27&lt;&gt;"",H$3='Bonding Program'!$R$27),'Bonding Program'!$Q$27,0),0)</f>
        <v>0</v>
      </c>
      <c r="I168" s="19" t="n">
        <f aca="false">IF(AND('Bonding Program'!$S$27=1,I$3='Bonding Program'!$H$27),'Bonding Program'!$AA$27,0)-IF(I$3&lt;='Bonding Program'!$C$8,IF(AND('Bonding Program'!$K$27&lt;&gt;"",I$3='Bonding Program'!$K$27),'Bonding Program'!$J$27,0)-IF(AND('Bonding Program'!$M$27&lt;&gt;"",I$3='Bonding Program'!$M$27),'Bonding Program'!$L$27,0)-IF(AND('Bonding Program'!$P$27&lt;&gt;"",I$3='Bonding Program'!$P$27),'Bonding Program'!$O$27,0)-IF(AND('Bonding Program'!$R$27&lt;&gt;"",I$3='Bonding Program'!$R$27),'Bonding Program'!$Q$27,0),0)</f>
        <v>0</v>
      </c>
      <c r="J168" s="19" t="n">
        <f aca="false">IF(AND('Bonding Program'!$S$27=1,J$3='Bonding Program'!$H$27),'Bonding Program'!$AA$27,0)-IF(J$3&lt;='Bonding Program'!$C$8,IF(AND('Bonding Program'!$K$27&lt;&gt;"",J$3='Bonding Program'!$K$27),'Bonding Program'!$J$27,0)-IF(AND('Bonding Program'!$M$27&lt;&gt;"",J$3='Bonding Program'!$M$27),'Bonding Program'!$L$27,0)-IF(AND('Bonding Program'!$P$27&lt;&gt;"",J$3='Bonding Program'!$P$27),'Bonding Program'!$O$27,0)-IF(AND('Bonding Program'!$R$27&lt;&gt;"",J$3='Bonding Program'!$R$27),'Bonding Program'!$Q$27,0),0)</f>
        <v>0</v>
      </c>
      <c r="K168" s="19" t="n">
        <f aca="false">IF(AND('Bonding Program'!$S$27=1,K$3='Bonding Program'!$H$27),'Bonding Program'!$AA$27,0)-IF(K$3&lt;='Bonding Program'!$C$8,IF(AND('Bonding Program'!$K$27&lt;&gt;"",K$3='Bonding Program'!$K$27),'Bonding Program'!$J$27,0)-IF(AND('Bonding Program'!$M$27&lt;&gt;"",K$3='Bonding Program'!$M$27),'Bonding Program'!$L$27,0)-IF(AND('Bonding Program'!$P$27&lt;&gt;"",K$3='Bonding Program'!$P$27),'Bonding Program'!$O$27,0)-IF(AND('Bonding Program'!$R$27&lt;&gt;"",K$3='Bonding Program'!$R$27),'Bonding Program'!$Q$27,0),0)</f>
        <v>0</v>
      </c>
      <c r="L168" s="19" t="n">
        <f aca="false">IF(AND('Bonding Program'!$S$27=1,L$3='Bonding Program'!$H$27),'Bonding Program'!$AA$27,0)-IF(L$3&lt;='Bonding Program'!$C$8,IF(AND('Bonding Program'!$K$27&lt;&gt;"",L$3='Bonding Program'!$K$27),'Bonding Program'!$J$27,0)-IF(AND('Bonding Program'!$M$27&lt;&gt;"",L$3='Bonding Program'!$M$27),'Bonding Program'!$L$27,0)-IF(AND('Bonding Program'!$P$27&lt;&gt;"",L$3='Bonding Program'!$P$27),'Bonding Program'!$O$27,0)-IF(AND('Bonding Program'!$R$27&lt;&gt;"",L$3='Bonding Program'!$R$27),'Bonding Program'!$Q$27,0),0)</f>
        <v>0</v>
      </c>
      <c r="M168" s="19" t="n">
        <f aca="false">IF(AND('Bonding Program'!$S$27=1,M$3='Bonding Program'!$H$27),'Bonding Program'!$AA$27,0)-IF(M$3&lt;='Bonding Program'!$C$8,IF(AND('Bonding Program'!$K$27&lt;&gt;"",M$3='Bonding Program'!$K$27),'Bonding Program'!$J$27,0)-IF(AND('Bonding Program'!$M$27&lt;&gt;"",M$3='Bonding Program'!$M$27),'Bonding Program'!$L$27,0)-IF(AND('Bonding Program'!$P$27&lt;&gt;"",M$3='Bonding Program'!$P$27),'Bonding Program'!$O$27,0)-IF(AND('Bonding Program'!$R$27&lt;&gt;"",M$3='Bonding Program'!$R$27),'Bonding Program'!$Q$27,0),0)</f>
        <v>0</v>
      </c>
      <c r="N168" s="19" t="n">
        <f aca="false">IF(AND('Bonding Program'!$S$27=1,N$3='Bonding Program'!$H$27),'Bonding Program'!$AA$27,0)-IF(N$3&lt;='Bonding Program'!$C$8,IF(AND('Bonding Program'!$K$27&lt;&gt;"",N$3='Bonding Program'!$K$27),'Bonding Program'!$J$27,0)-IF(AND('Bonding Program'!$M$27&lt;&gt;"",N$3='Bonding Program'!$M$27),'Bonding Program'!$L$27,0)-IF(AND('Bonding Program'!$P$27&lt;&gt;"",N$3='Bonding Program'!$P$27),'Bonding Program'!$O$27,0)-IF(AND('Bonding Program'!$R$27&lt;&gt;"",N$3='Bonding Program'!$R$27),'Bonding Program'!$Q$27,0),0)</f>
        <v>0</v>
      </c>
      <c r="O168" s="19" t="n">
        <f aca="false">IF(AND('Bonding Program'!$S$27=1,O$3='Bonding Program'!$H$27),'Bonding Program'!$AA$27,0)-IF(O$3&lt;='Bonding Program'!$C$8,IF(AND('Bonding Program'!$K$27&lt;&gt;"",O$3='Bonding Program'!$K$27),'Bonding Program'!$J$27,0)-IF(AND('Bonding Program'!$M$27&lt;&gt;"",O$3='Bonding Program'!$M$27),'Bonding Program'!$L$27,0)-IF(AND('Bonding Program'!$P$27&lt;&gt;"",O$3='Bonding Program'!$P$27),'Bonding Program'!$O$27,0)-IF(AND('Bonding Program'!$R$27&lt;&gt;"",O$3='Bonding Program'!$R$27),'Bonding Program'!$Q$27,0),0)</f>
        <v>0</v>
      </c>
      <c r="P168" s="19" t="n">
        <f aca="false">IF(AND('Bonding Program'!$S$27=1,P$3='Bonding Program'!$H$27),'Bonding Program'!$AA$27,0)-IF(P$3&lt;='Bonding Program'!$C$8,IF(AND('Bonding Program'!$K$27&lt;&gt;"",P$3='Bonding Program'!$K$27),'Bonding Program'!$J$27,0)-IF(AND('Bonding Program'!$M$27&lt;&gt;"",P$3='Bonding Program'!$M$27),'Bonding Program'!$L$27,0)-IF(AND('Bonding Program'!$P$27&lt;&gt;"",P$3='Bonding Program'!$P$27),'Bonding Program'!$O$27,0)-IF(AND('Bonding Program'!$R$27&lt;&gt;"",P$3='Bonding Program'!$R$27),'Bonding Program'!$Q$27,0),0)</f>
        <v>0</v>
      </c>
      <c r="Q168" s="19" t="n">
        <f aca="false">IF(AND('Bonding Program'!$S$27=1,Q$3='Bonding Program'!$H$27),'Bonding Program'!$AA$27,0)-IF(Q$3&lt;='Bonding Program'!$C$8,IF(AND('Bonding Program'!$K$27&lt;&gt;"",Q$3='Bonding Program'!$K$27),'Bonding Program'!$J$27,0)-IF(AND('Bonding Program'!$M$27&lt;&gt;"",Q$3='Bonding Program'!$M$27),'Bonding Program'!$L$27,0)-IF(AND('Bonding Program'!$P$27&lt;&gt;"",Q$3='Bonding Program'!$P$27),'Bonding Program'!$O$27,0)-IF(AND('Bonding Program'!$R$27&lt;&gt;"",Q$3='Bonding Program'!$R$27),'Bonding Program'!$Q$27,0),0)</f>
        <v>0</v>
      </c>
      <c r="R168" s="19" t="n">
        <f aca="false">IF(AND('Bonding Program'!$S$27=1,R$3='Bonding Program'!$H$27),'Bonding Program'!$AA$27,0)-IF(R$3&lt;='Bonding Program'!$C$8,IF(AND('Bonding Program'!$K$27&lt;&gt;"",R$3='Bonding Program'!$K$27),'Bonding Program'!$J$27,0)-IF(AND('Bonding Program'!$M$27&lt;&gt;"",R$3='Bonding Program'!$M$27),'Bonding Program'!$L$27,0)-IF(AND('Bonding Program'!$P$27&lt;&gt;"",R$3='Bonding Program'!$P$27),'Bonding Program'!$O$27,0)-IF(AND('Bonding Program'!$R$27&lt;&gt;"",R$3='Bonding Program'!$R$27),'Bonding Program'!$Q$27,0),0)</f>
        <v>0</v>
      </c>
      <c r="S168" s="19" t="n">
        <f aca="false">IF(AND('Bonding Program'!$S$27=1,S$3='Bonding Program'!$H$27),'Bonding Program'!$AA$27,0)-IF(S$3&lt;='Bonding Program'!$C$8,IF(AND('Bonding Program'!$K$27&lt;&gt;"",S$3='Bonding Program'!$K$27),'Bonding Program'!$J$27,0)-IF(AND('Bonding Program'!$M$27&lt;&gt;"",S$3='Bonding Program'!$M$27),'Bonding Program'!$L$27,0)-IF(AND('Bonding Program'!$P$27&lt;&gt;"",S$3='Bonding Program'!$P$27),'Bonding Program'!$O$27,0)-IF(AND('Bonding Program'!$R$27&lt;&gt;"",S$3='Bonding Program'!$R$27),'Bonding Program'!$Q$27,0),0)</f>
        <v>0</v>
      </c>
      <c r="T168" s="19" t="n">
        <f aca="false">IF(AND('Bonding Program'!$S$27=1,T$3='Bonding Program'!$H$27),'Bonding Program'!$AA$27,0)-IF(T$3&lt;='Bonding Program'!$C$8,IF(AND('Bonding Program'!$K$27&lt;&gt;"",T$3='Bonding Program'!$K$27),'Bonding Program'!$J$27,0)-IF(AND('Bonding Program'!$M$27&lt;&gt;"",T$3='Bonding Program'!$M$27),'Bonding Program'!$L$27,0)-IF(AND('Bonding Program'!$P$27&lt;&gt;"",T$3='Bonding Program'!$P$27),'Bonding Program'!$O$27,0)-IF(AND('Bonding Program'!$R$27&lt;&gt;"",T$3='Bonding Program'!$R$27),'Bonding Program'!$Q$27,0),0)</f>
        <v>0</v>
      </c>
      <c r="U168" s="19" t="n">
        <f aca="false">IF(AND('Bonding Program'!$S$27=1,U$3='Bonding Program'!$H$27),'Bonding Program'!$AA$27,0)-IF(U$3&lt;='Bonding Program'!$C$8,IF(AND('Bonding Program'!$K$27&lt;&gt;"",U$3='Bonding Program'!$K$27),'Bonding Program'!$J$27,0)-IF(AND('Bonding Program'!$M$27&lt;&gt;"",U$3='Bonding Program'!$M$27),'Bonding Program'!$L$27,0)-IF(AND('Bonding Program'!$P$27&lt;&gt;"",U$3='Bonding Program'!$P$27),'Bonding Program'!$O$27,0)-IF(AND('Bonding Program'!$R$27&lt;&gt;"",U$3='Bonding Program'!$R$27),'Bonding Program'!$Q$27,0),0)</f>
        <v>0</v>
      </c>
      <c r="V168" s="19" t="n">
        <f aca="false">IF(AND('Bonding Program'!$S$27=1,V$3='Bonding Program'!$H$27),'Bonding Program'!$AA$27,0)-IF(V$3&lt;='Bonding Program'!$C$8,IF(AND('Bonding Program'!$K$27&lt;&gt;"",V$3='Bonding Program'!$K$27),'Bonding Program'!$J$27,0)-IF(AND('Bonding Program'!$M$27&lt;&gt;"",V$3='Bonding Program'!$M$27),'Bonding Program'!$L$27,0)-IF(AND('Bonding Program'!$P$27&lt;&gt;"",V$3='Bonding Program'!$P$27),'Bonding Program'!$O$27,0)-IF(AND('Bonding Program'!$R$27&lt;&gt;"",V$3='Bonding Program'!$R$27),'Bonding Program'!$Q$27,0),0)</f>
        <v>0</v>
      </c>
      <c r="W168" s="19" t="n">
        <f aca="false">IF(AND('Bonding Program'!$S$27=1,W$3='Bonding Program'!$H$27),'Bonding Program'!$AA$27,0)-IF(W$3&lt;='Bonding Program'!$C$8,IF(AND('Bonding Program'!$K$27&lt;&gt;"",W$3='Bonding Program'!$K$27),'Bonding Program'!$J$27,0)-IF(AND('Bonding Program'!$M$27&lt;&gt;"",W$3='Bonding Program'!$M$27),'Bonding Program'!$L$27,0)-IF(AND('Bonding Program'!$P$27&lt;&gt;"",W$3='Bonding Program'!$P$27),'Bonding Program'!$O$27,0)-IF(AND('Bonding Program'!$R$27&lt;&gt;"",W$3='Bonding Program'!$R$27),'Bonding Program'!$Q$27,0),0)</f>
        <v>0</v>
      </c>
      <c r="X168" s="19" t="n">
        <f aca="false">IF(AND('Bonding Program'!$S$27=1,X$3='Bonding Program'!$H$27),'Bonding Program'!$AA$27,0)-IF(X$3&lt;='Bonding Program'!$C$8,IF(AND('Bonding Program'!$K$27&lt;&gt;"",X$3='Bonding Program'!$K$27),'Bonding Program'!$J$27,0)-IF(AND('Bonding Program'!$M$27&lt;&gt;"",X$3='Bonding Program'!$M$27),'Bonding Program'!$L$27,0)-IF(AND('Bonding Program'!$P$27&lt;&gt;"",X$3='Bonding Program'!$P$27),'Bonding Program'!$O$27,0)-IF(AND('Bonding Program'!$R$27&lt;&gt;"",X$3='Bonding Program'!$R$27),'Bonding Program'!$Q$27,0),0)</f>
        <v>0</v>
      </c>
      <c r="Y168" s="19" t="n">
        <f aca="false">IF(AND('Bonding Program'!$S$27=1,Y$3='Bonding Program'!$H$27),'Bonding Program'!$AA$27,0)-IF(Y$3&lt;='Bonding Program'!$C$8,IF(AND('Bonding Program'!$K$27&lt;&gt;"",Y$3='Bonding Program'!$K$27),'Bonding Program'!$J$27,0)-IF(AND('Bonding Program'!$M$27&lt;&gt;"",Y$3='Bonding Program'!$M$27),'Bonding Program'!$L$27,0)-IF(AND('Bonding Program'!$P$27&lt;&gt;"",Y$3='Bonding Program'!$P$27),'Bonding Program'!$O$27,0)-IF(AND('Bonding Program'!$R$27&lt;&gt;"",Y$3='Bonding Program'!$R$27),'Bonding Program'!$Q$27,0),0)</f>
        <v>0</v>
      </c>
      <c r="Z168" s="19" t="n">
        <f aca="false">IF(AND('Bonding Program'!$S$27=1,Z$3='Bonding Program'!$H$27),'Bonding Program'!$AA$27,0)-IF(Z$3&lt;='Bonding Program'!$C$8,IF(AND('Bonding Program'!$K$27&lt;&gt;"",Z$3='Bonding Program'!$K$27),'Bonding Program'!$J$27,0)-IF(AND('Bonding Program'!$M$27&lt;&gt;"",Z$3='Bonding Program'!$M$27),'Bonding Program'!$L$27,0)-IF(AND('Bonding Program'!$P$27&lt;&gt;"",Z$3='Bonding Program'!$P$27),'Bonding Program'!$O$27,0)-IF(AND('Bonding Program'!$R$27&lt;&gt;"",Z$3='Bonding Program'!$R$27),'Bonding Program'!$Q$27,0),0)</f>
        <v>0</v>
      </c>
      <c r="AA168" s="19" t="n">
        <f aca="false">IF(AND('Bonding Program'!$S$27=1,AA$3='Bonding Program'!$H$27),'Bonding Program'!$AA$27,0)-IF(AA$3&lt;='Bonding Program'!$C$8,IF(AND('Bonding Program'!$K$27&lt;&gt;"",AA$3='Bonding Program'!$K$27),'Bonding Program'!$J$27,0)-IF(AND('Bonding Program'!$M$27&lt;&gt;"",AA$3='Bonding Program'!$M$27),'Bonding Program'!$L$27,0)-IF(AND('Bonding Program'!$P$27&lt;&gt;"",AA$3='Bonding Program'!$P$27),'Bonding Program'!$O$27,0)-IF(AND('Bonding Program'!$R$27&lt;&gt;"",AA$3='Bonding Program'!$R$27),'Bonding Program'!$Q$27,0),0)</f>
        <v>0</v>
      </c>
      <c r="AB168" s="19" t="n">
        <f aca="false">IF(AND('Bonding Program'!$S$27=1,AB$3='Bonding Program'!$H$27),'Bonding Program'!$AA$27,0)-IF(AB$3&lt;='Bonding Program'!$C$8,IF(AND('Bonding Program'!$K$27&lt;&gt;"",AB$3='Bonding Program'!$K$27),'Bonding Program'!$J$27,0)-IF(AND('Bonding Program'!$M$27&lt;&gt;"",AB$3='Bonding Program'!$M$27),'Bonding Program'!$L$27,0)-IF(AND('Bonding Program'!$P$27&lt;&gt;"",AB$3='Bonding Program'!$P$27),'Bonding Program'!$O$27,0)-IF(AND('Bonding Program'!$R$27&lt;&gt;"",AB$3='Bonding Program'!$R$27),'Bonding Program'!$Q$27,0),0)</f>
        <v>0</v>
      </c>
      <c r="AC168" s="19" t="n">
        <f aca="false">IF(AND('Bonding Program'!$S$27=1,AC$3='Bonding Program'!$H$27),'Bonding Program'!$AA$27,0)-IF(AC$3&lt;='Bonding Program'!$C$8,IF(AND('Bonding Program'!$K$27&lt;&gt;"",AC$3='Bonding Program'!$K$27),'Bonding Program'!$J$27,0)-IF(AND('Bonding Program'!$M$27&lt;&gt;"",AC$3='Bonding Program'!$M$27),'Bonding Program'!$L$27,0)-IF(AND('Bonding Program'!$P$27&lt;&gt;"",AC$3='Bonding Program'!$P$27),'Bonding Program'!$O$27,0)-IF(AND('Bonding Program'!$R$27&lt;&gt;"",AC$3='Bonding Program'!$R$27),'Bonding Program'!$Q$27,0),0)</f>
        <v>0</v>
      </c>
      <c r="AD168" s="19" t="n">
        <f aca="false">IF(AND('Bonding Program'!$S$27=1,AD$3='Bonding Program'!$H$27),'Bonding Program'!$AA$27,0)-IF(AD$3&lt;='Bonding Program'!$C$8,IF(AND('Bonding Program'!$K$27&lt;&gt;"",AD$3='Bonding Program'!$K$27),'Bonding Program'!$J$27,0)-IF(AND('Bonding Program'!$M$27&lt;&gt;"",AD$3='Bonding Program'!$M$27),'Bonding Program'!$L$27,0)-IF(AND('Bonding Program'!$P$27&lt;&gt;"",AD$3='Bonding Program'!$P$27),'Bonding Program'!$O$27,0)-IF(AND('Bonding Program'!$R$27&lt;&gt;"",AD$3='Bonding Program'!$R$27),'Bonding Program'!$Q$27,0),0)</f>
        <v>0</v>
      </c>
      <c r="AE168" s="19" t="n">
        <f aca="false">IF(AND('Bonding Program'!$S$27=1,AE$3='Bonding Program'!$H$27),'Bonding Program'!$AA$27,0)-IF(AE$3&lt;='Bonding Program'!$C$8,IF(AND('Bonding Program'!$K$27&lt;&gt;"",AE$3='Bonding Program'!$K$27),'Bonding Program'!$J$27,0)-IF(AND('Bonding Program'!$M$27&lt;&gt;"",AE$3='Bonding Program'!$M$27),'Bonding Program'!$L$27,0)-IF(AND('Bonding Program'!$P$27&lt;&gt;"",AE$3='Bonding Program'!$P$27),'Bonding Program'!$O$27,0)-IF(AND('Bonding Program'!$R$27&lt;&gt;"",AE$3='Bonding Program'!$R$27),'Bonding Program'!$Q$27,0),0)</f>
        <v>0</v>
      </c>
      <c r="AF168" s="19" t="n">
        <f aca="false">IF(AND('Bonding Program'!$S$27=1,AF$3='Bonding Program'!$H$27),'Bonding Program'!$AA$27,0)-IF(AF$3&lt;='Bonding Program'!$C$8,IF(AND('Bonding Program'!$K$27&lt;&gt;"",AF$3='Bonding Program'!$K$27),'Bonding Program'!$J$27,0)-IF(AND('Bonding Program'!$M$27&lt;&gt;"",AF$3='Bonding Program'!$M$27),'Bonding Program'!$L$27,0)-IF(AND('Bonding Program'!$P$27&lt;&gt;"",AF$3='Bonding Program'!$P$27),'Bonding Program'!$O$27,0)-IF(AND('Bonding Program'!$R$27&lt;&gt;"",AF$3='Bonding Program'!$R$27),'Bonding Program'!$Q$27,0),0)</f>
        <v>0</v>
      </c>
      <c r="AG168" s="19" t="n">
        <f aca="false">IF(AND('Bonding Program'!$S$27=1,AG$3='Bonding Program'!$H$27),'Bonding Program'!$AA$27,0)-IF(AG$3&lt;='Bonding Program'!$C$8,IF(AND('Bonding Program'!$K$27&lt;&gt;"",AG$3='Bonding Program'!$K$27),'Bonding Program'!$J$27,0)-IF(AND('Bonding Program'!$M$27&lt;&gt;"",AG$3='Bonding Program'!$M$27),'Bonding Program'!$L$27,0)-IF(AND('Bonding Program'!$P$27&lt;&gt;"",AG$3='Bonding Program'!$P$27),'Bonding Program'!$O$27,0)-IF(AND('Bonding Program'!$R$27&lt;&gt;"",AG$3='Bonding Program'!$R$27),'Bonding Program'!$Q$27,0),0)</f>
        <v>0</v>
      </c>
      <c r="AH168" s="19" t="n">
        <f aca="false">IF(AND('Bonding Program'!$S$27=1,AH$3='Bonding Program'!$H$27),'Bonding Program'!$AA$27,0)-IF(AH$3&lt;='Bonding Program'!$C$8,IF(AND('Bonding Program'!$K$27&lt;&gt;"",AH$3='Bonding Program'!$K$27),'Bonding Program'!$J$27,0)-IF(AND('Bonding Program'!$M$27&lt;&gt;"",AH$3='Bonding Program'!$M$27),'Bonding Program'!$L$27,0)-IF(AND('Bonding Program'!$P$27&lt;&gt;"",AH$3='Bonding Program'!$P$27),'Bonding Program'!$O$27,0)-IF(AND('Bonding Program'!$R$27&lt;&gt;"",AH$3='Bonding Program'!$R$27),'Bonding Program'!$Q$27,0),0)</f>
        <v>0</v>
      </c>
      <c r="AI168" s="19" t="n">
        <f aca="false">IF(AND('Bonding Program'!$S$27=1,AI$3='Bonding Program'!$H$27),'Bonding Program'!$AA$27,0)-IF(AI$3&lt;='Bonding Program'!$C$8,IF(AND('Bonding Program'!$K$27&lt;&gt;"",AI$3='Bonding Program'!$K$27),'Bonding Program'!$J$27,0)-IF(AND('Bonding Program'!$M$27&lt;&gt;"",AI$3='Bonding Program'!$M$27),'Bonding Program'!$L$27,0)-IF(AND('Bonding Program'!$P$27&lt;&gt;"",AI$3='Bonding Program'!$P$27),'Bonding Program'!$O$27,0)-IF(AND('Bonding Program'!$R$27&lt;&gt;"",AI$3='Bonding Program'!$R$27),'Bonding Program'!$Q$27,0),0)</f>
        <v>0</v>
      </c>
      <c r="AJ168" s="19" t="n">
        <f aca="false">IF(AND('Bonding Program'!$S$27=1,AJ$3='Bonding Program'!$H$27),'Bonding Program'!$AA$27,0)-IF(AJ$3&lt;='Bonding Program'!$C$8,IF(AND('Bonding Program'!$K$27&lt;&gt;"",AJ$3='Bonding Program'!$K$27),'Bonding Program'!$J$27,0)-IF(AND('Bonding Program'!$M$27&lt;&gt;"",AJ$3='Bonding Program'!$M$27),'Bonding Program'!$L$27,0)-IF(AND('Bonding Program'!$P$27&lt;&gt;"",AJ$3='Bonding Program'!$P$27),'Bonding Program'!$O$27,0)-IF(AND('Bonding Program'!$R$27&lt;&gt;"",AJ$3='Bonding Program'!$R$27),'Bonding Program'!$Q$27,0),0)</f>
        <v>0</v>
      </c>
      <c r="AK168" s="19" t="n">
        <f aca="false">IF(AND('Bonding Program'!$S$27=1,AK$3='Bonding Program'!$H$27),'Bonding Program'!$AA$27,0)-IF(AK$3&lt;='Bonding Program'!$C$8,IF(AND('Bonding Program'!$K$27&lt;&gt;"",AK$3='Bonding Program'!$K$27),'Bonding Program'!$J$27,0)-IF(AND('Bonding Program'!$M$27&lt;&gt;"",AK$3='Bonding Program'!$M$27),'Bonding Program'!$L$27,0)-IF(AND('Bonding Program'!$P$27&lt;&gt;"",AK$3='Bonding Program'!$P$27),'Bonding Program'!$O$27,0)-IF(AND('Bonding Program'!$R$27&lt;&gt;"",AK$3='Bonding Program'!$R$27),'Bonding Program'!$Q$27,0),0)</f>
        <v>0</v>
      </c>
      <c r="AL168" s="19" t="n">
        <f aca="false">IF(AND('Bonding Program'!$S$27=1,AL$3='Bonding Program'!$H$27),'Bonding Program'!$AA$27,0)-IF(AL$3&lt;='Bonding Program'!$C$8,IF(AND('Bonding Program'!$K$27&lt;&gt;"",AL$3='Bonding Program'!$K$27),'Bonding Program'!$J$27,0)-IF(AND('Bonding Program'!$M$27&lt;&gt;"",AL$3='Bonding Program'!$M$27),'Bonding Program'!$L$27,0)-IF(AND('Bonding Program'!$P$27&lt;&gt;"",AL$3='Bonding Program'!$P$27),'Bonding Program'!$O$27,0)-IF(AND('Bonding Program'!$R$27&lt;&gt;"",AL$3='Bonding Program'!$R$27),'Bonding Program'!$Q$27,0),0)</f>
        <v>0</v>
      </c>
      <c r="AM168" s="19" t="n">
        <f aca="false">IF(AND('Bonding Program'!$S$27=1,AM$3='Bonding Program'!$H$27),'Bonding Program'!$AA$27,0)-IF(AM$3&lt;='Bonding Program'!$C$8,IF(AND('Bonding Program'!$K$27&lt;&gt;"",AM$3='Bonding Program'!$K$27),'Bonding Program'!$J$27,0)-IF(AND('Bonding Program'!$M$27&lt;&gt;"",AM$3='Bonding Program'!$M$27),'Bonding Program'!$L$27,0)-IF(AND('Bonding Program'!$P$27&lt;&gt;"",AM$3='Bonding Program'!$P$27),'Bonding Program'!$O$27,0)-IF(AND('Bonding Program'!$R$27&lt;&gt;"",AM$3='Bonding Program'!$R$27),'Bonding Program'!$Q$27,0),0)</f>
        <v>0</v>
      </c>
      <c r="AN168" s="19" t="n">
        <f aca="false">IF(AND('Bonding Program'!$S$27=1,AN$3='Bonding Program'!$H$27),'Bonding Program'!$AA$27,0)-IF(AN$3&lt;='Bonding Program'!$C$8,IF(AND('Bonding Program'!$K$27&lt;&gt;"",AN$3='Bonding Program'!$K$27),'Bonding Program'!$J$27,0)-IF(AND('Bonding Program'!$M$27&lt;&gt;"",AN$3='Bonding Program'!$M$27),'Bonding Program'!$L$27,0)-IF(AND('Bonding Program'!$P$27&lt;&gt;"",AN$3='Bonding Program'!$P$27),'Bonding Program'!$O$27,0)-IF(AND('Bonding Program'!$R$27&lt;&gt;"",AN$3='Bonding Program'!$R$27),'Bonding Program'!$Q$27,0),0)</f>
        <v>0</v>
      </c>
      <c r="AO168" s="19" t="n">
        <f aca="false">IF(AND('Bonding Program'!$S$27=1,AO$3='Bonding Program'!$H$27),'Bonding Program'!$AA$27,0)-IF(AO$3&lt;='Bonding Program'!$C$8,IF(AND('Bonding Program'!$K$27&lt;&gt;"",AO$3='Bonding Program'!$K$27),'Bonding Program'!$J$27,0)-IF(AND('Bonding Program'!$M$27&lt;&gt;"",AO$3='Bonding Program'!$M$27),'Bonding Program'!$L$27,0)-IF(AND('Bonding Program'!$P$27&lt;&gt;"",AO$3='Bonding Program'!$P$27),'Bonding Program'!$O$27,0)-IF(AND('Bonding Program'!$R$27&lt;&gt;"",AO$3='Bonding Program'!$R$27),'Bonding Program'!$Q$27,0),0)</f>
        <v>0</v>
      </c>
      <c r="AP168" s="19" t="n">
        <f aca="false">IF(AND('Bonding Program'!$S$27=1,AP$3='Bonding Program'!$H$27),'Bonding Program'!$AA$27,0)-IF(AP$3&lt;='Bonding Program'!$C$8,IF(AND('Bonding Program'!$K$27&lt;&gt;"",AP$3='Bonding Program'!$K$27),'Bonding Program'!$J$27,0)-IF(AND('Bonding Program'!$M$27&lt;&gt;"",AP$3='Bonding Program'!$M$27),'Bonding Program'!$L$27,0)-IF(AND('Bonding Program'!$P$27&lt;&gt;"",AP$3='Bonding Program'!$P$27),'Bonding Program'!$O$27,0)-IF(AND('Bonding Program'!$R$27&lt;&gt;"",AP$3='Bonding Program'!$R$27),'Bonding Program'!$Q$27,0),0)</f>
        <v>0</v>
      </c>
      <c r="AQ168" s="19" t="n">
        <f aca="false">IF(AND('Bonding Program'!$S$27=1,AQ$3='Bonding Program'!$H$27),'Bonding Program'!$AA$27,0)-IF(AQ$3&lt;='Bonding Program'!$C$8,IF(AND('Bonding Program'!$K$27&lt;&gt;"",AQ$3='Bonding Program'!$K$27),'Bonding Program'!$J$27,0)-IF(AND('Bonding Program'!$M$27&lt;&gt;"",AQ$3='Bonding Program'!$M$27),'Bonding Program'!$L$27,0)-IF(AND('Bonding Program'!$P$27&lt;&gt;"",AQ$3='Bonding Program'!$P$27),'Bonding Program'!$O$27,0)-IF(AND('Bonding Program'!$R$27&lt;&gt;"",AQ$3='Bonding Program'!$R$27),'Bonding Program'!$Q$27,0),0)</f>
        <v>0</v>
      </c>
      <c r="AR168" s="19" t="n">
        <f aca="false">IF(AND('Bonding Program'!$S$27=1,AR$3='Bonding Program'!$H$27),'Bonding Program'!$AA$27,0)-IF(AR$3&lt;='Bonding Program'!$C$8,IF(AND('Bonding Program'!$K$27&lt;&gt;"",AR$3='Bonding Program'!$K$27),'Bonding Program'!$J$27,0)-IF(AND('Bonding Program'!$M$27&lt;&gt;"",AR$3='Bonding Program'!$M$27),'Bonding Program'!$L$27,0)-IF(AND('Bonding Program'!$P$27&lt;&gt;"",AR$3='Bonding Program'!$P$27),'Bonding Program'!$O$27,0)-IF(AND('Bonding Program'!$R$27&lt;&gt;"",AR$3='Bonding Program'!$R$27),'Bonding Program'!$Q$27,0),0)</f>
        <v>0</v>
      </c>
      <c r="AS168" s="19" t="n">
        <f aca="false">IF(AND('Bonding Program'!$S$27=1,AS$3='Bonding Program'!$H$27),'Bonding Program'!$AA$27,0)-IF(AS$3&lt;='Bonding Program'!$C$8,IF(AND('Bonding Program'!$K$27&lt;&gt;"",AS$3='Bonding Program'!$K$27),'Bonding Program'!$J$27,0)-IF(AND('Bonding Program'!$M$27&lt;&gt;"",AS$3='Bonding Program'!$M$27),'Bonding Program'!$L$27,0)-IF(AND('Bonding Program'!$P$27&lt;&gt;"",AS$3='Bonding Program'!$P$27),'Bonding Program'!$O$27,0)-IF(AND('Bonding Program'!$R$27&lt;&gt;"",AS$3='Bonding Program'!$R$27),'Bonding Program'!$Q$27,0),0)</f>
        <v>0</v>
      </c>
      <c r="AT168" s="19" t="n">
        <f aca="false">IF(AND('Bonding Program'!$S$27=1,AT$3='Bonding Program'!$H$27),'Bonding Program'!$AA$27,0)-IF(AT$3&lt;='Bonding Program'!$C$8,IF(AND('Bonding Program'!$K$27&lt;&gt;"",AT$3='Bonding Program'!$K$27),'Bonding Program'!$J$27,0)-IF(AND('Bonding Program'!$M$27&lt;&gt;"",AT$3='Bonding Program'!$M$27),'Bonding Program'!$L$27,0)-IF(AND('Bonding Program'!$P$27&lt;&gt;"",AT$3='Bonding Program'!$P$27),'Bonding Program'!$O$27,0)-IF(AND('Bonding Program'!$R$27&lt;&gt;"",AT$3='Bonding Program'!$R$27),'Bonding Program'!$Q$27,0),0)</f>
        <v>0</v>
      </c>
      <c r="AU168" s="19" t="n">
        <f aca="false">IF(AND('Bonding Program'!$S$27=1,AU$3='Bonding Program'!$H$27),'Bonding Program'!$AA$27,0)-IF(AU$3&lt;='Bonding Program'!$C$8,IF(AND('Bonding Program'!$K$27&lt;&gt;"",AU$3='Bonding Program'!$K$27),'Bonding Program'!$J$27,0)-IF(AND('Bonding Program'!$M$27&lt;&gt;"",AU$3='Bonding Program'!$M$27),'Bonding Program'!$L$27,0)-IF(AND('Bonding Program'!$P$27&lt;&gt;"",AU$3='Bonding Program'!$P$27),'Bonding Program'!$O$27,0)-IF(AND('Bonding Program'!$R$27&lt;&gt;"",AU$3='Bonding Program'!$R$27),'Bonding Program'!$Q$27,0),0)</f>
        <v>0</v>
      </c>
      <c r="AV168" s="19" t="n">
        <f aca="false">IF(AND('Bonding Program'!$S$27=1,AV$3='Bonding Program'!$H$27),'Bonding Program'!$AA$27,0)-IF(AV$3&lt;='Bonding Program'!$C$8,IF(AND('Bonding Program'!$K$27&lt;&gt;"",AV$3='Bonding Program'!$K$27),'Bonding Program'!$J$27,0)-IF(AND('Bonding Program'!$M$27&lt;&gt;"",AV$3='Bonding Program'!$M$27),'Bonding Program'!$L$27,0)-IF(AND('Bonding Program'!$P$27&lt;&gt;"",AV$3='Bonding Program'!$P$27),'Bonding Program'!$O$27,0)-IF(AND('Bonding Program'!$R$27&lt;&gt;"",AV$3='Bonding Program'!$R$27),'Bonding Program'!$Q$27,0),0)</f>
        <v>0</v>
      </c>
      <c r="AW168" s="19" t="n">
        <f aca="false">IF(AND('Bonding Program'!$S$27=1,AW$3='Bonding Program'!$H$27),'Bonding Program'!$AA$27,0)-IF(AW$3&lt;='Bonding Program'!$C$8,IF(AND('Bonding Program'!$K$27&lt;&gt;"",AW$3='Bonding Program'!$K$27),'Bonding Program'!$J$27,0)-IF(AND('Bonding Program'!$M$27&lt;&gt;"",AW$3='Bonding Program'!$M$27),'Bonding Program'!$L$27,0)-IF(AND('Bonding Program'!$P$27&lt;&gt;"",AW$3='Bonding Program'!$P$27),'Bonding Program'!$O$27,0)-IF(AND('Bonding Program'!$R$27&lt;&gt;"",AW$3='Bonding Program'!$R$27),'Bonding Program'!$Q$27,0),0)</f>
        <v>0</v>
      </c>
      <c r="AX168" s="19" t="n">
        <f aca="false">IF(AND('Bonding Program'!$S$27=1,AX$3='Bonding Program'!$H$27),'Bonding Program'!$AA$27,0)-IF(AX$3&lt;='Bonding Program'!$C$8,IF(AND('Bonding Program'!$K$27&lt;&gt;"",AX$3='Bonding Program'!$K$27),'Bonding Program'!$J$27,0)-IF(AND('Bonding Program'!$M$27&lt;&gt;"",AX$3='Bonding Program'!$M$27),'Bonding Program'!$L$27,0)-IF(AND('Bonding Program'!$P$27&lt;&gt;"",AX$3='Bonding Program'!$P$27),'Bonding Program'!$O$27,0)-IF(AND('Bonding Program'!$R$27&lt;&gt;"",AX$3='Bonding Program'!$R$27),'Bonding Program'!$Q$27,0),0)</f>
        <v>0</v>
      </c>
      <c r="AY168" s="19" t="n">
        <f aca="false">IF(AND('Bonding Program'!$S$27=1,AY$3='Bonding Program'!$H$27),'Bonding Program'!$AA$27,0)-IF(AY$3&lt;='Bonding Program'!$C$8,IF(AND('Bonding Program'!$K$27&lt;&gt;"",AY$3='Bonding Program'!$K$27),'Bonding Program'!$J$27,0)-IF(AND('Bonding Program'!$M$27&lt;&gt;"",AY$3='Bonding Program'!$M$27),'Bonding Program'!$L$27,0)-IF(AND('Bonding Program'!$P$27&lt;&gt;"",AY$3='Bonding Program'!$P$27),'Bonding Program'!$O$27,0)-IF(AND('Bonding Program'!$R$27&lt;&gt;"",AY$3='Bonding Program'!$R$27),'Bonding Program'!$Q$27,0),0)</f>
        <v>0</v>
      </c>
      <c r="AZ168" s="19" t="n">
        <f aca="false">IF(AND('Bonding Program'!$S$27=1,AZ$3='Bonding Program'!$H$27),'Bonding Program'!$AA$27,0)-IF(AZ$3&lt;='Bonding Program'!$C$8,IF(AND('Bonding Program'!$K$27&lt;&gt;"",AZ$3='Bonding Program'!$K$27),'Bonding Program'!$J$27,0)-IF(AND('Bonding Program'!$M$27&lt;&gt;"",AZ$3='Bonding Program'!$M$27),'Bonding Program'!$L$27,0)-IF(AND('Bonding Program'!$P$27&lt;&gt;"",AZ$3='Bonding Program'!$P$27),'Bonding Program'!$O$27,0)-IF(AND('Bonding Program'!$R$27&lt;&gt;"",AZ$3='Bonding Program'!$R$27),'Bonding Program'!$Q$27,0),0)</f>
        <v>0</v>
      </c>
      <c r="BA168" s="19" t="n">
        <f aca="false">IF(AND('Bonding Program'!$S$27=1,BA$3='Bonding Program'!$H$27),'Bonding Program'!$AA$27,0)-IF(BA$3&lt;='Bonding Program'!$C$8,IF(AND('Bonding Program'!$K$27&lt;&gt;"",BA$3='Bonding Program'!$K$27),'Bonding Program'!$J$27,0)-IF(AND('Bonding Program'!$M$27&lt;&gt;"",BA$3='Bonding Program'!$M$27),'Bonding Program'!$L$27,0)-IF(AND('Bonding Program'!$P$27&lt;&gt;"",BA$3='Bonding Program'!$P$27),'Bonding Program'!$O$27,0)-IF(AND('Bonding Program'!$R$27&lt;&gt;"",BA$3='Bonding Program'!$R$27),'Bonding Program'!$Q$27,0),0)</f>
        <v>0</v>
      </c>
      <c r="BB168" s="19" t="n">
        <f aca="false">IF(AND('Bonding Program'!$S$27=1,BB$3='Bonding Program'!$H$27),'Bonding Program'!$AA$27,0)-IF(BB$3&lt;='Bonding Program'!$C$8,IF(AND('Bonding Program'!$K$27&lt;&gt;"",BB$3='Bonding Program'!$K$27),'Bonding Program'!$J$27,0)-IF(AND('Bonding Program'!$M$27&lt;&gt;"",BB$3='Bonding Program'!$M$27),'Bonding Program'!$L$27,0)-IF(AND('Bonding Program'!$P$27&lt;&gt;"",BB$3='Bonding Program'!$P$27),'Bonding Program'!$O$27,0)-IF(AND('Bonding Program'!$R$27&lt;&gt;"",BB$3='Bonding Program'!$R$27),'Bonding Program'!$Q$27,0),0)</f>
        <v>0</v>
      </c>
      <c r="BC168" s="19" t="n">
        <f aca="false">IF(AND('Bonding Program'!$S$27=1,BC$3='Bonding Program'!$H$27),'Bonding Program'!$AA$27,0)-IF(BC$3&lt;='Bonding Program'!$C$8,IF(AND('Bonding Program'!$K$27&lt;&gt;"",BC$3='Bonding Program'!$K$27),'Bonding Program'!$J$27,0)-IF(AND('Bonding Program'!$M$27&lt;&gt;"",BC$3='Bonding Program'!$M$27),'Bonding Program'!$L$27,0)-IF(AND('Bonding Program'!$P$27&lt;&gt;"",BC$3='Bonding Program'!$P$27),'Bonding Program'!$O$27,0)-IF(AND('Bonding Program'!$R$27&lt;&gt;"",BC$3='Bonding Program'!$R$27),'Bonding Program'!$Q$27,0),0)</f>
        <v>0</v>
      </c>
      <c r="BD168" s="19" t="n">
        <f aca="false">IF(AND('Bonding Program'!$S$27=1,BD$3='Bonding Program'!$H$27),'Bonding Program'!$AA$27,0)-IF(BD$3&lt;='Bonding Program'!$C$8,IF(AND('Bonding Program'!$K$27&lt;&gt;"",BD$3='Bonding Program'!$K$27),'Bonding Program'!$J$27,0)-IF(AND('Bonding Program'!$M$27&lt;&gt;"",BD$3='Bonding Program'!$M$27),'Bonding Program'!$L$27,0)-IF(AND('Bonding Program'!$P$27&lt;&gt;"",BD$3='Bonding Program'!$P$27),'Bonding Program'!$O$27,0)-IF(AND('Bonding Program'!$R$27&lt;&gt;"",BD$3='Bonding Program'!$R$27),'Bonding Program'!$Q$27,0),0)</f>
        <v>0</v>
      </c>
      <c r="BE168" s="19" t="n">
        <f aca="false">IF(AND('Bonding Program'!$S$27=1,BE$3='Bonding Program'!$H$27),'Bonding Program'!$AA$27,0)-IF(BE$3&lt;='Bonding Program'!$C$8,IF(AND('Bonding Program'!$K$27&lt;&gt;"",BE$3='Bonding Program'!$K$27),'Bonding Program'!$J$27,0)-IF(AND('Bonding Program'!$M$27&lt;&gt;"",BE$3='Bonding Program'!$M$27),'Bonding Program'!$L$27,0)-IF(AND('Bonding Program'!$P$27&lt;&gt;"",BE$3='Bonding Program'!$P$27),'Bonding Program'!$O$27,0)-IF(AND('Bonding Program'!$R$27&lt;&gt;"",BE$3='Bonding Program'!$R$27),'Bonding Program'!$Q$27,0),0)</f>
        <v>0</v>
      </c>
      <c r="BF168" s="19" t="n">
        <f aca="false">IF(AND('Bonding Program'!$S$27=1,BF$3='Bonding Program'!$H$27),'Bonding Program'!$AA$27,0)-IF(BF$3&lt;='Bonding Program'!$C$8,IF(AND('Bonding Program'!$K$27&lt;&gt;"",BF$3='Bonding Program'!$K$27),'Bonding Program'!$J$27,0)-IF(AND('Bonding Program'!$M$27&lt;&gt;"",BF$3='Bonding Program'!$M$27),'Bonding Program'!$L$27,0)-IF(AND('Bonding Program'!$P$27&lt;&gt;"",BF$3='Bonding Program'!$P$27),'Bonding Program'!$O$27,0)-IF(AND('Bonding Program'!$R$27&lt;&gt;"",BF$3='Bonding Program'!$R$27),'Bonding Program'!$Q$27,0),0)</f>
        <v>0</v>
      </c>
      <c r="BG168" s="19" t="n">
        <f aca="false">IF(AND('Bonding Program'!$S$27=1,BG$3='Bonding Program'!$H$27),'Bonding Program'!$AA$27,0)-IF(BG$3&lt;='Bonding Program'!$C$8,IF(AND('Bonding Program'!$K$27&lt;&gt;"",BG$3='Bonding Program'!$K$27),'Bonding Program'!$J$27,0)-IF(AND('Bonding Program'!$M$27&lt;&gt;"",BG$3='Bonding Program'!$M$27),'Bonding Program'!$L$27,0)-IF(AND('Bonding Program'!$P$27&lt;&gt;"",BG$3='Bonding Program'!$P$27),'Bonding Program'!$O$27,0)-IF(AND('Bonding Program'!$R$27&lt;&gt;"",BG$3='Bonding Program'!$R$27),'Bonding Program'!$Q$27,0),0)</f>
        <v>0</v>
      </c>
      <c r="BH168" s="19" t="n">
        <f aca="false">IF(AND('Bonding Program'!$S$27=1,BH$3='Bonding Program'!$H$27),'Bonding Program'!$AA$27,0)-IF(BH$3&lt;='Bonding Program'!$C$8,IF(AND('Bonding Program'!$K$27&lt;&gt;"",BH$3='Bonding Program'!$K$27),'Bonding Program'!$J$27,0)-IF(AND('Bonding Program'!$M$27&lt;&gt;"",BH$3='Bonding Program'!$M$27),'Bonding Program'!$L$27,0)-IF(AND('Bonding Program'!$P$27&lt;&gt;"",BH$3='Bonding Program'!$P$27),'Bonding Program'!$O$27,0)-IF(AND('Bonding Program'!$R$27&lt;&gt;"",BH$3='Bonding Program'!$R$27),'Bonding Program'!$Q$27,0),0)</f>
        <v>0</v>
      </c>
      <c r="BI168" s="19" t="n">
        <f aca="false">IF(AND('Bonding Program'!$S$27=1,BI$3='Bonding Program'!$H$27),'Bonding Program'!$AA$27,0)-IF(BI$3&lt;='Bonding Program'!$C$8,IF(AND('Bonding Program'!$K$27&lt;&gt;"",BI$3='Bonding Program'!$K$27),'Bonding Program'!$J$27,0)-IF(AND('Bonding Program'!$M$27&lt;&gt;"",BI$3='Bonding Program'!$M$27),'Bonding Program'!$L$27,0)-IF(AND('Bonding Program'!$P$27&lt;&gt;"",BI$3='Bonding Program'!$P$27),'Bonding Program'!$O$27,0)-IF(AND('Bonding Program'!$R$27&lt;&gt;"",BI$3='Bonding Program'!$R$27),'Bonding Program'!$Q$27,0),0)</f>
        <v>0</v>
      </c>
      <c r="BJ168" s="19" t="n">
        <f aca="false">IF(AND('Bonding Program'!$S$27=1,BJ$3='Bonding Program'!$H$27),'Bonding Program'!$AA$27,0)-IF(BJ$3&lt;='Bonding Program'!$C$8,IF(AND('Bonding Program'!$K$27&lt;&gt;"",BJ$3='Bonding Program'!$K$27),'Bonding Program'!$J$27,0)-IF(AND('Bonding Program'!$M$27&lt;&gt;"",BJ$3='Bonding Program'!$M$27),'Bonding Program'!$L$27,0)-IF(AND('Bonding Program'!$P$27&lt;&gt;"",BJ$3='Bonding Program'!$P$27),'Bonding Program'!$O$27,0)-IF(AND('Bonding Program'!$R$27&lt;&gt;"",BJ$3='Bonding Program'!$R$27),'Bonding Program'!$Q$27,0),0)</f>
        <v>0</v>
      </c>
      <c r="BK168" s="19" t="n">
        <f aca="false">IF(AND('Bonding Program'!$S$27=1,BK$3='Bonding Program'!$H$27),'Bonding Program'!$AA$27,0)-IF(BK$3&lt;='Bonding Program'!$C$8,IF(AND('Bonding Program'!$K$27&lt;&gt;"",BK$3='Bonding Program'!$K$27),'Bonding Program'!$J$27,0)-IF(AND('Bonding Program'!$M$27&lt;&gt;"",BK$3='Bonding Program'!$M$27),'Bonding Program'!$L$27,0)-IF(AND('Bonding Program'!$P$27&lt;&gt;"",BK$3='Bonding Program'!$P$27),'Bonding Program'!$O$27,0)-IF(AND('Bonding Program'!$R$27&lt;&gt;"",BK$3='Bonding Program'!$R$27),'Bonding Program'!$Q$27,0),0)</f>
        <v>0</v>
      </c>
      <c r="BL168" s="19" t="n">
        <f aca="false">IF(AND('Bonding Program'!$S$27=1,BL$3='Bonding Program'!$H$27),'Bonding Program'!$AA$27,0)-IF(BL$3&lt;='Bonding Program'!$C$8,IF(AND('Bonding Program'!$K$27&lt;&gt;"",BL$3='Bonding Program'!$K$27),'Bonding Program'!$J$27,0)-IF(AND('Bonding Program'!$M$27&lt;&gt;"",BL$3='Bonding Program'!$M$27),'Bonding Program'!$L$27,0)-IF(AND('Bonding Program'!$P$27&lt;&gt;"",BL$3='Bonding Program'!$P$27),'Bonding Program'!$O$27,0)-IF(AND('Bonding Program'!$R$27&lt;&gt;"",BL$3='Bonding Program'!$R$27),'Bonding Program'!$Q$27,0),0)</f>
        <v>0</v>
      </c>
      <c r="BM168" s="19" t="n">
        <f aca="false">IF(AND('Bonding Program'!$S$27=1,BM$3='Bonding Program'!$H$27),'Bonding Program'!$AA$27,0)-IF(BM$3&lt;='Bonding Program'!$C$8,IF(AND('Bonding Program'!$K$27&lt;&gt;"",BM$3='Bonding Program'!$K$27),'Bonding Program'!$J$27,0)-IF(AND('Bonding Program'!$M$27&lt;&gt;"",BM$3='Bonding Program'!$M$27),'Bonding Program'!$L$27,0)-IF(AND('Bonding Program'!$P$27&lt;&gt;"",BM$3='Bonding Program'!$P$27),'Bonding Program'!$O$27,0)-IF(AND('Bonding Program'!$R$27&lt;&gt;"",BM$3='Bonding Program'!$R$27),'Bonding Program'!$Q$27,0),0)</f>
        <v>0</v>
      </c>
      <c r="BN168" s="19" t="n">
        <f aca="false">IF(AND('Bonding Program'!$S$27=1,BN$3='Bonding Program'!$H$27),'Bonding Program'!$AA$27,0)-IF(BN$3&lt;='Bonding Program'!$C$8,IF(AND('Bonding Program'!$K$27&lt;&gt;"",BN$3='Bonding Program'!$K$27),'Bonding Program'!$J$27,0)-IF(AND('Bonding Program'!$M$27&lt;&gt;"",BN$3='Bonding Program'!$M$27),'Bonding Program'!$L$27,0)-IF(AND('Bonding Program'!$P$27&lt;&gt;"",BN$3='Bonding Program'!$P$27),'Bonding Program'!$O$27,0)-IF(AND('Bonding Program'!$R$27&lt;&gt;"",BN$3='Bonding Program'!$R$27),'Bonding Program'!$Q$27,0),0)</f>
        <v>0</v>
      </c>
      <c r="BO168" s="19" t="n">
        <f aca="false">IF(AND('Bonding Program'!$S$27=1,BO$3='Bonding Program'!$H$27),'Bonding Program'!$AA$27,0)-IF(BO$3&lt;='Bonding Program'!$C$8,IF(AND('Bonding Program'!$K$27&lt;&gt;"",BO$3='Bonding Program'!$K$27),'Bonding Program'!$J$27,0)-IF(AND('Bonding Program'!$M$27&lt;&gt;"",BO$3='Bonding Program'!$M$27),'Bonding Program'!$L$27,0)-IF(AND('Bonding Program'!$P$27&lt;&gt;"",BO$3='Bonding Program'!$P$27),'Bonding Program'!$O$27,0)-IF(AND('Bonding Program'!$R$27&lt;&gt;"",BO$3='Bonding Program'!$R$27),'Bonding Program'!$Q$27,0),0)</f>
        <v>0</v>
      </c>
      <c r="BP168" s="19" t="n">
        <f aca="false">IF(AND('Bonding Program'!$S$27=1,BP$3='Bonding Program'!$H$27),'Bonding Program'!$AA$27,0)-IF(BP$3&lt;='Bonding Program'!$C$8,IF(AND('Bonding Program'!$K$27&lt;&gt;"",BP$3='Bonding Program'!$K$27),'Bonding Program'!$J$27,0)-IF(AND('Bonding Program'!$M$27&lt;&gt;"",BP$3='Bonding Program'!$M$27),'Bonding Program'!$L$27,0)-IF(AND('Bonding Program'!$P$27&lt;&gt;"",BP$3='Bonding Program'!$P$27),'Bonding Program'!$O$27,0)-IF(AND('Bonding Program'!$R$27&lt;&gt;"",BP$3='Bonding Program'!$R$27),'Bonding Program'!$Q$27,0),0)</f>
        <v>0</v>
      </c>
      <c r="BQ168" s="19" t="n">
        <f aca="false">IF(AND('Bonding Program'!$S$27=1,BQ$3='Bonding Program'!$H$27),'Bonding Program'!$AA$27,0)-IF(BQ$3&lt;='Bonding Program'!$C$8,IF(AND('Bonding Program'!$K$27&lt;&gt;"",BQ$3='Bonding Program'!$K$27),'Bonding Program'!$J$27,0)-IF(AND('Bonding Program'!$M$27&lt;&gt;"",BQ$3='Bonding Program'!$M$27),'Bonding Program'!$L$27,0)-IF(AND('Bonding Program'!$P$27&lt;&gt;"",BQ$3='Bonding Program'!$P$27),'Bonding Program'!$O$27,0)-IF(AND('Bonding Program'!$R$27&lt;&gt;"",BQ$3='Bonding Program'!$R$27),'Bonding Program'!$Q$27,0),0)</f>
        <v>0</v>
      </c>
      <c r="BR168" s="19" t="n">
        <f aca="false">IF(AND('Bonding Program'!$S$27=1,BR$3='Bonding Program'!$H$27),'Bonding Program'!$AA$27,0)-IF(BR$3&lt;='Bonding Program'!$C$8,IF(AND('Bonding Program'!$K$27&lt;&gt;"",BR$3='Bonding Program'!$K$27),'Bonding Program'!$J$27,0)-IF(AND('Bonding Program'!$M$27&lt;&gt;"",BR$3='Bonding Program'!$M$27),'Bonding Program'!$L$27,0)-IF(AND('Bonding Program'!$P$27&lt;&gt;"",BR$3='Bonding Program'!$P$27),'Bonding Program'!$O$27,0)-IF(AND('Bonding Program'!$R$27&lt;&gt;"",BR$3='Bonding Program'!$R$27),'Bonding Program'!$Q$27,0),0)</f>
        <v>0</v>
      </c>
      <c r="BS168" s="19" t="n">
        <f aca="false">IF(AND('Bonding Program'!$S$27=1,BS$3='Bonding Program'!$H$27),'Bonding Program'!$AA$27,0)-IF(BS$3&lt;='Bonding Program'!$C$8,IF(AND('Bonding Program'!$K$27&lt;&gt;"",BS$3='Bonding Program'!$K$27),'Bonding Program'!$J$27,0)-IF(AND('Bonding Program'!$M$27&lt;&gt;"",BS$3='Bonding Program'!$M$27),'Bonding Program'!$L$27,0)-IF(AND('Bonding Program'!$P$27&lt;&gt;"",BS$3='Bonding Program'!$P$27),'Bonding Program'!$O$27,0)-IF(AND('Bonding Program'!$R$27&lt;&gt;"",BS$3='Bonding Program'!$R$27),'Bonding Program'!$Q$27,0),0)</f>
        <v>0</v>
      </c>
      <c r="BT168" s="19" t="n">
        <f aca="false">IF(AND('Bonding Program'!$S$27=1,BT$3='Bonding Program'!$H$27),'Bonding Program'!$AA$27,0)-IF(BT$3&lt;='Bonding Program'!$C$8,IF(AND('Bonding Program'!$K$27&lt;&gt;"",BT$3='Bonding Program'!$K$27),'Bonding Program'!$J$27,0)-IF(AND('Bonding Program'!$M$27&lt;&gt;"",BT$3='Bonding Program'!$M$27),'Bonding Program'!$L$27,0)-IF(AND('Bonding Program'!$P$27&lt;&gt;"",BT$3='Bonding Program'!$P$27),'Bonding Program'!$O$27,0)-IF(AND('Bonding Program'!$R$27&lt;&gt;"",BT$3='Bonding Program'!$R$27),'Bonding Program'!$Q$27,0),0)</f>
        <v>0</v>
      </c>
      <c r="BU168" s="19" t="n">
        <f aca="false">IF(AND('Bonding Program'!$S$27=1,BU$3='Bonding Program'!$H$27),'Bonding Program'!$AA$27,0)-IF(BU$3&lt;='Bonding Program'!$C$8,IF(AND('Bonding Program'!$K$27&lt;&gt;"",BU$3='Bonding Program'!$K$27),'Bonding Program'!$J$27,0)-IF(AND('Bonding Program'!$M$27&lt;&gt;"",BU$3='Bonding Program'!$M$27),'Bonding Program'!$L$27,0)-IF(AND('Bonding Program'!$P$27&lt;&gt;"",BU$3='Bonding Program'!$P$27),'Bonding Program'!$O$27,0)-IF(AND('Bonding Program'!$R$27&lt;&gt;"",BU$3='Bonding Program'!$R$27),'Bonding Program'!$Q$27,0),0)</f>
        <v>0</v>
      </c>
      <c r="BV168" s="19" t="n">
        <f aca="false">IF(AND('Bonding Program'!$S$27=1,BV$3='Bonding Program'!$H$27),'Bonding Program'!$AA$27,0)-IF(BV$3&lt;='Bonding Program'!$C$8,IF(AND('Bonding Program'!$K$27&lt;&gt;"",BV$3='Bonding Program'!$K$27),'Bonding Program'!$J$27,0)-IF(AND('Bonding Program'!$M$27&lt;&gt;"",BV$3='Bonding Program'!$M$27),'Bonding Program'!$L$27,0)-IF(AND('Bonding Program'!$P$27&lt;&gt;"",BV$3='Bonding Program'!$P$27),'Bonding Program'!$O$27,0)-IF(AND('Bonding Program'!$R$27&lt;&gt;"",BV$3='Bonding Program'!$R$27),'Bonding Program'!$Q$27,0),0)</f>
        <v>0</v>
      </c>
      <c r="BW168" s="19" t="n">
        <f aca="false">IF(AND('Bonding Program'!$S$27=1,BW$3='Bonding Program'!$H$27),'Bonding Program'!$AA$27,0)-IF(BW$3&lt;='Bonding Program'!$C$8,IF(AND('Bonding Program'!$K$27&lt;&gt;"",BW$3='Bonding Program'!$K$27),'Bonding Program'!$J$27,0)-IF(AND('Bonding Program'!$M$27&lt;&gt;"",BW$3='Bonding Program'!$M$27),'Bonding Program'!$L$27,0)-IF(AND('Bonding Program'!$P$27&lt;&gt;"",BW$3='Bonding Program'!$P$27),'Bonding Program'!$O$27,0)-IF(AND('Bonding Program'!$R$27&lt;&gt;"",BW$3='Bonding Program'!$R$27),'Bonding Program'!$Q$27,0),0)</f>
        <v>0</v>
      </c>
      <c r="BX168" s="19" t="n">
        <f aca="false">IF(AND('Bonding Program'!$S$27=1,BX$3='Bonding Program'!$H$27),'Bonding Program'!$AA$27,0)-IF(BX$3&lt;='Bonding Program'!$C$8,IF(AND('Bonding Program'!$K$27&lt;&gt;"",BX$3='Bonding Program'!$K$27),'Bonding Program'!$J$27,0)-IF(AND('Bonding Program'!$M$27&lt;&gt;"",BX$3='Bonding Program'!$M$27),'Bonding Program'!$L$27,0)-IF(AND('Bonding Program'!$P$27&lt;&gt;"",BX$3='Bonding Program'!$P$27),'Bonding Program'!$O$27,0)-IF(AND('Bonding Program'!$R$27&lt;&gt;"",BX$3='Bonding Program'!$R$27),'Bonding Program'!$Q$27,0),0)</f>
        <v>0</v>
      </c>
      <c r="BY168" s="19" t="n">
        <f aca="false">IF(AND('Bonding Program'!$S$27=1,BY$3='Bonding Program'!$H$27),'Bonding Program'!$AA$27,0)-IF(BY$3&lt;='Bonding Program'!$C$8,IF(AND('Bonding Program'!$K$27&lt;&gt;"",BY$3='Bonding Program'!$K$27),'Bonding Program'!$J$27,0)-IF(AND('Bonding Program'!$M$27&lt;&gt;"",BY$3='Bonding Program'!$M$27),'Bonding Program'!$L$27,0)-IF(AND('Bonding Program'!$P$27&lt;&gt;"",BY$3='Bonding Program'!$P$27),'Bonding Program'!$O$27,0)-IF(AND('Bonding Program'!$R$27&lt;&gt;"",BY$3='Bonding Program'!$R$27),'Bonding Program'!$Q$27,0),0)</f>
        <v>0</v>
      </c>
      <c r="BZ168" s="19" t="n">
        <f aca="false">IF(AND('Bonding Program'!$S$27=1,BZ$3='Bonding Program'!$H$27),'Bonding Program'!$AA$27,0)-IF(BZ$3&lt;='Bonding Program'!$C$8,IF(AND('Bonding Program'!$K$27&lt;&gt;"",BZ$3='Bonding Program'!$K$27),'Bonding Program'!$J$27,0)-IF(AND('Bonding Program'!$M$27&lt;&gt;"",BZ$3='Bonding Program'!$M$27),'Bonding Program'!$L$27,0)-IF(AND('Bonding Program'!$P$27&lt;&gt;"",BZ$3='Bonding Program'!$P$27),'Bonding Program'!$O$27,0)-IF(AND('Bonding Program'!$R$27&lt;&gt;"",BZ$3='Bonding Program'!$R$27),'Bonding Program'!$Q$27,0),0)</f>
        <v>0</v>
      </c>
      <c r="CA168" s="19" t="n">
        <f aca="false">IF(AND('Bonding Program'!$S$27=1,CA$3='Bonding Program'!$H$27),'Bonding Program'!$AA$27,0)-IF(CA$3&lt;='Bonding Program'!$C$8,IF(AND('Bonding Program'!$K$27&lt;&gt;"",CA$3='Bonding Program'!$K$27),'Bonding Program'!$J$27,0)-IF(AND('Bonding Program'!$M$27&lt;&gt;"",CA$3='Bonding Program'!$M$27),'Bonding Program'!$L$27,0)-IF(AND('Bonding Program'!$P$27&lt;&gt;"",CA$3='Bonding Program'!$P$27),'Bonding Program'!$O$27,0)-IF(AND('Bonding Program'!$R$27&lt;&gt;"",CA$3='Bonding Program'!$R$27),'Bonding Program'!$Q$27,0),0)</f>
        <v>0</v>
      </c>
      <c r="CB168" s="19" t="n">
        <f aca="false">IF(AND('Bonding Program'!$S$27=1,CB$3='Bonding Program'!$H$27),'Bonding Program'!$AA$27,0)-IF(CB$3&lt;='Bonding Program'!$C$8,IF(AND('Bonding Program'!$K$27&lt;&gt;"",CB$3='Bonding Program'!$K$27),'Bonding Program'!$J$27,0)-IF(AND('Bonding Program'!$M$27&lt;&gt;"",CB$3='Bonding Program'!$M$27),'Bonding Program'!$L$27,0)-IF(AND('Bonding Program'!$P$27&lt;&gt;"",CB$3='Bonding Program'!$P$27),'Bonding Program'!$O$27,0)-IF(AND('Bonding Program'!$R$27&lt;&gt;"",CB$3='Bonding Program'!$R$27),'Bonding Program'!$Q$27,0),0)</f>
        <v>0</v>
      </c>
      <c r="CC168" s="19" t="n">
        <f aca="false">IF(AND('Bonding Program'!$S$27=1,CC$3='Bonding Program'!$H$27),'Bonding Program'!$AA$27,0)-IF(CC$3&lt;='Bonding Program'!$C$8,IF(AND('Bonding Program'!$K$27&lt;&gt;"",CC$3='Bonding Program'!$K$27),'Bonding Program'!$J$27,0)-IF(AND('Bonding Program'!$M$27&lt;&gt;"",CC$3='Bonding Program'!$M$27),'Bonding Program'!$L$27,0)-IF(AND('Bonding Program'!$P$27&lt;&gt;"",CC$3='Bonding Program'!$P$27),'Bonding Program'!$O$27,0)-IF(AND('Bonding Program'!$R$27&lt;&gt;"",CC$3='Bonding Program'!$R$27),'Bonding Program'!$Q$27,0),0)</f>
        <v>0</v>
      </c>
      <c r="CD168" s="19" t="n">
        <f aca="false">IF(AND('Bonding Program'!$S$27=1,CD$3='Bonding Program'!$H$27),'Bonding Program'!$AA$27,0)-IF(CD$3&lt;='Bonding Program'!$C$8,IF(AND('Bonding Program'!$K$27&lt;&gt;"",CD$3='Bonding Program'!$K$27),'Bonding Program'!$J$27,0)-IF(AND('Bonding Program'!$M$27&lt;&gt;"",CD$3='Bonding Program'!$M$27),'Bonding Program'!$L$27,0)-IF(AND('Bonding Program'!$P$27&lt;&gt;"",CD$3='Bonding Program'!$P$27),'Bonding Program'!$O$27,0)-IF(AND('Bonding Program'!$R$27&lt;&gt;"",CD$3='Bonding Program'!$R$27),'Bonding Program'!$Q$27,0),0)</f>
        <v>0</v>
      </c>
      <c r="CE168" s="19" t="n">
        <f aca="false">IF(AND('Bonding Program'!$S$27=1,CE$3='Bonding Program'!$H$27),'Bonding Program'!$AA$27,0)-IF(CE$3&lt;='Bonding Program'!$C$8,IF(AND('Bonding Program'!$K$27&lt;&gt;"",CE$3='Bonding Program'!$K$27),'Bonding Program'!$J$27,0)-IF(AND('Bonding Program'!$M$27&lt;&gt;"",CE$3='Bonding Program'!$M$27),'Bonding Program'!$L$27,0)-IF(AND('Bonding Program'!$P$27&lt;&gt;"",CE$3='Bonding Program'!$P$27),'Bonding Program'!$O$27,0)-IF(AND('Bonding Program'!$R$27&lt;&gt;"",CE$3='Bonding Program'!$R$27),'Bonding Program'!$Q$27,0),0)</f>
        <v>0</v>
      </c>
      <c r="CF168" s="19" t="n">
        <f aca="false">IF(AND('Bonding Program'!$S$27=1,CF$3='Bonding Program'!$H$27),'Bonding Program'!$AA$27,0)-IF(CF$3&lt;='Bonding Program'!$C$8,IF(AND('Bonding Program'!$K$27&lt;&gt;"",CF$3='Bonding Program'!$K$27),'Bonding Program'!$J$27,0)-IF(AND('Bonding Program'!$M$27&lt;&gt;"",CF$3='Bonding Program'!$M$27),'Bonding Program'!$L$27,0)-IF(AND('Bonding Program'!$P$27&lt;&gt;"",CF$3='Bonding Program'!$P$27),'Bonding Program'!$O$27,0)-IF(AND('Bonding Program'!$R$27&lt;&gt;"",CF$3='Bonding Program'!$R$27),'Bonding Program'!$Q$27,0),0)</f>
        <v>0</v>
      </c>
      <c r="CG168" s="19" t="n">
        <f aca="false">IF(AND('Bonding Program'!$S$27=1,CG$3='Bonding Program'!$H$27),'Bonding Program'!$AA$27,0)-IF(CG$3&lt;='Bonding Program'!$C$8,IF(AND('Bonding Program'!$K$27&lt;&gt;"",CG$3='Bonding Program'!$K$27),'Bonding Program'!$J$27,0)-IF(AND('Bonding Program'!$M$27&lt;&gt;"",CG$3='Bonding Program'!$M$27),'Bonding Program'!$L$27,0)-IF(AND('Bonding Program'!$P$27&lt;&gt;"",CG$3='Bonding Program'!$P$27),'Bonding Program'!$O$27,0)-IF(AND('Bonding Program'!$R$27&lt;&gt;"",CG$3='Bonding Program'!$R$27),'Bonding Program'!$Q$27,0),0)</f>
        <v>0</v>
      </c>
      <c r="CH168" s="19" t="n">
        <f aca="false">IF(AND('Bonding Program'!$S$27=1,CH$3='Bonding Program'!$H$27),'Bonding Program'!$AA$27,0)-IF(CH$3&lt;='Bonding Program'!$C$8,IF(AND('Bonding Program'!$K$27&lt;&gt;"",CH$3='Bonding Program'!$K$27),'Bonding Program'!$J$27,0)-IF(AND('Bonding Program'!$M$27&lt;&gt;"",CH$3='Bonding Program'!$M$27),'Bonding Program'!$L$27,0)-IF(AND('Bonding Program'!$P$27&lt;&gt;"",CH$3='Bonding Program'!$P$27),'Bonding Program'!$O$27,0)-IF(AND('Bonding Program'!$R$27&lt;&gt;"",CH$3='Bonding Program'!$R$27),'Bonding Program'!$Q$27,0),0)</f>
        <v>0</v>
      </c>
      <c r="CI168" s="19" t="n">
        <f aca="false">IF(AND('Bonding Program'!$S$27=1,CI$3='Bonding Program'!$H$27),'Bonding Program'!$AA$27,0)-IF(CI$3&lt;='Bonding Program'!$C$8,IF(AND('Bonding Program'!$K$27&lt;&gt;"",CI$3='Bonding Program'!$K$27),'Bonding Program'!$J$27,0)-IF(AND('Bonding Program'!$M$27&lt;&gt;"",CI$3='Bonding Program'!$M$27),'Bonding Program'!$L$27,0)-IF(AND('Bonding Program'!$P$27&lt;&gt;"",CI$3='Bonding Program'!$P$27),'Bonding Program'!$O$27,0)-IF(AND('Bonding Program'!$R$27&lt;&gt;"",CI$3='Bonding Program'!$R$27),'Bonding Program'!$Q$27,0),0)</f>
        <v>0</v>
      </c>
      <c r="CJ168" s="19" t="n">
        <f aca="false">IF(AND('Bonding Program'!$S$27=1,CJ$3='Bonding Program'!$H$27),'Bonding Program'!$AA$27,0)-IF(CJ$3&lt;='Bonding Program'!$C$8,IF(AND('Bonding Program'!$K$27&lt;&gt;"",CJ$3='Bonding Program'!$K$27),'Bonding Program'!$J$27,0)-IF(AND('Bonding Program'!$M$27&lt;&gt;"",CJ$3='Bonding Program'!$M$27),'Bonding Program'!$L$27,0)-IF(AND('Bonding Program'!$P$27&lt;&gt;"",CJ$3='Bonding Program'!$P$27),'Bonding Program'!$O$27,0)-IF(AND('Bonding Program'!$R$27&lt;&gt;"",CJ$3='Bonding Program'!$R$27),'Bonding Program'!$Q$27,0),0)</f>
        <v>0</v>
      </c>
      <c r="CK168" s="19" t="n">
        <f aca="false">IF(AND('Bonding Program'!$S$27=1,CK$3='Bonding Program'!$H$27),'Bonding Program'!$AA$27,0)-IF(CK$3&lt;='Bonding Program'!$C$8,IF(AND('Bonding Program'!$K$27&lt;&gt;"",CK$3='Bonding Program'!$K$27),'Bonding Program'!$J$27,0)-IF(AND('Bonding Program'!$M$27&lt;&gt;"",CK$3='Bonding Program'!$M$27),'Bonding Program'!$L$27,0)-IF(AND('Bonding Program'!$P$27&lt;&gt;"",CK$3='Bonding Program'!$P$27),'Bonding Program'!$O$27,0)-IF(AND('Bonding Program'!$R$27&lt;&gt;"",CK$3='Bonding Program'!$R$27),'Bonding Program'!$Q$27,0),0)</f>
        <v>0</v>
      </c>
      <c r="CL168" s="19" t="n">
        <f aca="false">IF(AND('Bonding Program'!$S$27=1,CL$3='Bonding Program'!$H$27),'Bonding Program'!$AA$27,0)-IF(CL$3&lt;='Bonding Program'!$C$8,IF(AND('Bonding Program'!$K$27&lt;&gt;"",CL$3='Bonding Program'!$K$27),'Bonding Program'!$J$27,0)-IF(AND('Bonding Program'!$M$27&lt;&gt;"",CL$3='Bonding Program'!$M$27),'Bonding Program'!$L$27,0)-IF(AND('Bonding Program'!$P$27&lt;&gt;"",CL$3='Bonding Program'!$P$27),'Bonding Program'!$O$27,0)-IF(AND('Bonding Program'!$R$27&lt;&gt;"",CL$3='Bonding Program'!$R$27),'Bonding Program'!$Q$27,0),0)</f>
        <v>0</v>
      </c>
      <c r="CM168" s="19" t="n">
        <f aca="false">IF(AND('Bonding Program'!$S$27=1,CM$3='Bonding Program'!$H$27),'Bonding Program'!$AA$27,0)-IF(CM$3&lt;='Bonding Program'!$C$8,IF(AND('Bonding Program'!$K$27&lt;&gt;"",CM$3='Bonding Program'!$K$27),'Bonding Program'!$J$27,0)-IF(AND('Bonding Program'!$M$27&lt;&gt;"",CM$3='Bonding Program'!$M$27),'Bonding Program'!$L$27,0)-IF(AND('Bonding Program'!$P$27&lt;&gt;"",CM$3='Bonding Program'!$P$27),'Bonding Program'!$O$27,0)-IF(AND('Bonding Program'!$R$27&lt;&gt;"",CM$3='Bonding Program'!$R$27),'Bonding Program'!$Q$27,0),0)</f>
        <v>0</v>
      </c>
      <c r="CN168" s="19" t="n">
        <f aca="false">IF(AND('Bonding Program'!$S$27=1,CN$3='Bonding Program'!$H$27),'Bonding Program'!$AA$27,0)-IF(CN$3&lt;='Bonding Program'!$C$8,IF(AND('Bonding Program'!$K$27&lt;&gt;"",CN$3='Bonding Program'!$K$27),'Bonding Program'!$J$27,0)-IF(AND('Bonding Program'!$M$27&lt;&gt;"",CN$3='Bonding Program'!$M$27),'Bonding Program'!$L$27,0)-IF(AND('Bonding Program'!$P$27&lt;&gt;"",CN$3='Bonding Program'!$P$27),'Bonding Program'!$O$27,0)-IF(AND('Bonding Program'!$R$27&lt;&gt;"",CN$3='Bonding Program'!$R$27),'Bonding Program'!$Q$27,0),0)</f>
        <v>0</v>
      </c>
      <c r="CO168" s="19" t="n">
        <f aca="false">IF(AND('Bonding Program'!$S$27=1,CO$3='Bonding Program'!$H$27),'Bonding Program'!$AA$27,0)-IF(CO$3&lt;='Bonding Program'!$C$8,IF(AND('Bonding Program'!$K$27&lt;&gt;"",CO$3='Bonding Program'!$K$27),'Bonding Program'!$J$27,0)-IF(AND('Bonding Program'!$M$27&lt;&gt;"",CO$3='Bonding Program'!$M$27),'Bonding Program'!$L$27,0)-IF(AND('Bonding Program'!$P$27&lt;&gt;"",CO$3='Bonding Program'!$P$27),'Bonding Program'!$O$27,0)-IF(AND('Bonding Program'!$R$27&lt;&gt;"",CO$3='Bonding Program'!$R$27),'Bonding Program'!$Q$27,0),0)</f>
        <v>0</v>
      </c>
      <c r="CP168" s="19" t="n">
        <f aca="false">IF(AND('Bonding Program'!$S$27=1,CP$3='Bonding Program'!$H$27),'Bonding Program'!$AA$27,0)-IF(CP$3&lt;='Bonding Program'!$C$8,IF(AND('Bonding Program'!$K$27&lt;&gt;"",CP$3='Bonding Program'!$K$27),'Bonding Program'!$J$27,0)-IF(AND('Bonding Program'!$M$27&lt;&gt;"",CP$3='Bonding Program'!$M$27),'Bonding Program'!$L$27,0)-IF(AND('Bonding Program'!$P$27&lt;&gt;"",CP$3='Bonding Program'!$P$27),'Bonding Program'!$O$27,0)-IF(AND('Bonding Program'!$R$27&lt;&gt;"",CP$3='Bonding Program'!$R$27),'Bonding Program'!$Q$27,0),0)</f>
        <v>0</v>
      </c>
      <c r="CQ168" s="19" t="n">
        <f aca="false">IF(AND('Bonding Program'!$S$27=1,CQ$3='Bonding Program'!$H$27),'Bonding Program'!$AA$27,0)-IF(CQ$3&lt;='Bonding Program'!$C$8,IF(AND('Bonding Program'!$K$27&lt;&gt;"",CQ$3='Bonding Program'!$K$27),'Bonding Program'!$J$27,0)-IF(AND('Bonding Program'!$M$27&lt;&gt;"",CQ$3='Bonding Program'!$M$27),'Bonding Program'!$L$27,0)-IF(AND('Bonding Program'!$P$27&lt;&gt;"",CQ$3='Bonding Program'!$P$27),'Bonding Program'!$O$27,0)-IF(AND('Bonding Program'!$R$27&lt;&gt;"",CQ$3='Bonding Program'!$R$27),'Bonding Program'!$Q$27,0),0)</f>
        <v>0</v>
      </c>
      <c r="CR168" s="19" t="n">
        <f aca="false">IF(AND('Bonding Program'!$S$27=1,CR$3='Bonding Program'!$H$27),'Bonding Program'!$AA$27,0)-IF(CR$3&lt;='Bonding Program'!$C$8,IF(AND('Bonding Program'!$K$27&lt;&gt;"",CR$3='Bonding Program'!$K$27),'Bonding Program'!$J$27,0)-IF(AND('Bonding Program'!$M$27&lt;&gt;"",CR$3='Bonding Program'!$M$27),'Bonding Program'!$L$27,0)-IF(AND('Bonding Program'!$P$27&lt;&gt;"",CR$3='Bonding Program'!$P$27),'Bonding Program'!$O$27,0)-IF(AND('Bonding Program'!$R$27&lt;&gt;"",CR$3='Bonding Program'!$R$27),'Bonding Program'!$Q$27,0),0)</f>
        <v>0</v>
      </c>
      <c r="CS168" s="19" t="n">
        <f aca="false">IF(AND('Bonding Program'!$S$27=1,CS$3='Bonding Program'!$H$27),'Bonding Program'!$AA$27,0)-IF(CS$3&lt;='Bonding Program'!$C$8,IF(AND('Bonding Program'!$K$27&lt;&gt;"",CS$3='Bonding Program'!$K$27),'Bonding Program'!$J$27,0)-IF(AND('Bonding Program'!$M$27&lt;&gt;"",CS$3='Bonding Program'!$M$27),'Bonding Program'!$L$27,0)-IF(AND('Bonding Program'!$P$27&lt;&gt;"",CS$3='Bonding Program'!$P$27),'Bonding Program'!$O$27,0)-IF(AND('Bonding Program'!$R$27&lt;&gt;"",CS$3='Bonding Program'!$R$27),'Bonding Program'!$Q$27,0),0)</f>
        <v>0</v>
      </c>
      <c r="CT168" s="19" t="n">
        <f aca="false">IF(AND('Bonding Program'!$S$27=1,CT$3='Bonding Program'!$H$27),'Bonding Program'!$AA$27,0)-IF(CT$3&lt;='Bonding Program'!$C$8,IF(AND('Bonding Program'!$K$27&lt;&gt;"",CT$3='Bonding Program'!$K$27),'Bonding Program'!$J$27,0)-IF(AND('Bonding Program'!$M$27&lt;&gt;"",CT$3='Bonding Program'!$M$27),'Bonding Program'!$L$27,0)-IF(AND('Bonding Program'!$P$27&lt;&gt;"",CT$3='Bonding Program'!$P$27),'Bonding Program'!$O$27,0)-IF(AND('Bonding Program'!$R$27&lt;&gt;"",CT$3='Bonding Program'!$R$27),'Bonding Program'!$Q$27,0),0)</f>
        <v>0</v>
      </c>
      <c r="CU168" s="19" t="n">
        <f aca="false">IF(AND('Bonding Program'!$S$27=1,CU$3='Bonding Program'!$H$27),'Bonding Program'!$AA$27,0)-IF(CU$3&lt;='Bonding Program'!$C$8,IF(AND('Bonding Program'!$K$27&lt;&gt;"",CU$3='Bonding Program'!$K$27),'Bonding Program'!$J$27,0)-IF(AND('Bonding Program'!$M$27&lt;&gt;"",CU$3='Bonding Program'!$M$27),'Bonding Program'!$L$27,0)-IF(AND('Bonding Program'!$P$27&lt;&gt;"",CU$3='Bonding Program'!$P$27),'Bonding Program'!$O$27,0)-IF(AND('Bonding Program'!$R$27&lt;&gt;"",CU$3='Bonding Program'!$R$27),'Bonding Program'!$Q$27,0),0)</f>
        <v>0</v>
      </c>
      <c r="CV168" s="19" t="n">
        <f aca="false">IF(AND('Bonding Program'!$S$27=1,CV$3='Bonding Program'!$H$27),'Bonding Program'!$AA$27,0)-IF(CV$3&lt;='Bonding Program'!$C$8,IF(AND('Bonding Program'!$K$27&lt;&gt;"",CV$3='Bonding Program'!$K$27),'Bonding Program'!$J$27,0)-IF(AND('Bonding Program'!$M$27&lt;&gt;"",CV$3='Bonding Program'!$M$27),'Bonding Program'!$L$27,0)-IF(AND('Bonding Program'!$P$27&lt;&gt;"",CV$3='Bonding Program'!$P$27),'Bonding Program'!$O$27,0)-IF(AND('Bonding Program'!$R$27&lt;&gt;"",CV$3='Bonding Program'!$R$27),'Bonding Program'!$Q$27,0),0)</f>
        <v>0</v>
      </c>
      <c r="CW168" s="19" t="n">
        <f aca="false">IF(AND('Bonding Program'!$S$27=1,CW$3='Bonding Program'!$H$27),'Bonding Program'!$AA$27,0)-IF(CW$3&lt;='Bonding Program'!$C$8,IF(AND('Bonding Program'!$K$27&lt;&gt;"",CW$3='Bonding Program'!$K$27),'Bonding Program'!$J$27,0)-IF(AND('Bonding Program'!$M$27&lt;&gt;"",CW$3='Bonding Program'!$M$27),'Bonding Program'!$L$27,0)-IF(AND('Bonding Program'!$P$27&lt;&gt;"",CW$3='Bonding Program'!$P$27),'Bonding Program'!$O$27,0)-IF(AND('Bonding Program'!$R$27&lt;&gt;"",CW$3='Bonding Program'!$R$27),'Bonding Program'!$Q$27,0),0)</f>
        <v>0</v>
      </c>
      <c r="CX168" s="19" t="n">
        <f aca="false">IF(AND('Bonding Program'!$S$27=1,CX$3='Bonding Program'!$H$27),'Bonding Program'!$AA$27,0)-IF(CX$3&lt;='Bonding Program'!$C$8,IF(AND('Bonding Program'!$K$27&lt;&gt;"",CX$3='Bonding Program'!$K$27),'Bonding Program'!$J$27,0)-IF(AND('Bonding Program'!$M$27&lt;&gt;"",CX$3='Bonding Program'!$M$27),'Bonding Program'!$L$27,0)-IF(AND('Bonding Program'!$P$27&lt;&gt;"",CX$3='Bonding Program'!$P$27),'Bonding Program'!$O$27,0)-IF(AND('Bonding Program'!$R$27&lt;&gt;"",CX$3='Bonding Program'!$R$27),'Bonding Program'!$Q$27,0),0)</f>
        <v>0</v>
      </c>
      <c r="CY168" s="19" t="n">
        <f aca="false">IF(AND('Bonding Program'!$S$27=1,CY$3='Bonding Program'!$H$27),'Bonding Program'!$AA$27,0)-IF(CY$3&lt;='Bonding Program'!$C$8,IF(AND('Bonding Program'!$K$27&lt;&gt;"",CY$3='Bonding Program'!$K$27),'Bonding Program'!$J$27,0)-IF(AND('Bonding Program'!$M$27&lt;&gt;"",CY$3='Bonding Program'!$M$27),'Bonding Program'!$L$27,0)-IF(AND('Bonding Program'!$P$27&lt;&gt;"",CY$3='Bonding Program'!$P$27),'Bonding Program'!$O$27,0)-IF(AND('Bonding Program'!$R$27&lt;&gt;"",CY$3='Bonding Program'!$R$27),'Bonding Program'!$Q$27,0),0)</f>
        <v>0</v>
      </c>
      <c r="CZ168" s="19" t="n">
        <f aca="false">IF(AND('Bonding Program'!$S$27=1,CZ$3='Bonding Program'!$H$27),'Bonding Program'!$AA$27,0)-IF(CZ$3&lt;='Bonding Program'!$C$8,IF(AND('Bonding Program'!$K$27&lt;&gt;"",CZ$3='Bonding Program'!$K$27),'Bonding Program'!$J$27,0)-IF(AND('Bonding Program'!$M$27&lt;&gt;"",CZ$3='Bonding Program'!$M$27),'Bonding Program'!$L$27,0)-IF(AND('Bonding Program'!$P$27&lt;&gt;"",CZ$3='Bonding Program'!$P$27),'Bonding Program'!$O$27,0)-IF(AND('Bonding Program'!$R$27&lt;&gt;"",CZ$3='Bonding Program'!$R$27),'Bonding Program'!$Q$27,0),0)</f>
        <v>0</v>
      </c>
      <c r="DA168" s="19" t="n">
        <f aca="false">IF(AND('Bonding Program'!$S$27=1,DA$3='Bonding Program'!$H$27),'Bonding Program'!$AA$27,0)-IF(DA$3&lt;='Bonding Program'!$C$8,IF(AND('Bonding Program'!$K$27&lt;&gt;"",DA$3='Bonding Program'!$K$27),'Bonding Program'!$J$27,0)-IF(AND('Bonding Program'!$M$27&lt;&gt;"",DA$3='Bonding Program'!$M$27),'Bonding Program'!$L$27,0)-IF(AND('Bonding Program'!$P$27&lt;&gt;"",DA$3='Bonding Program'!$P$27),'Bonding Program'!$O$27,0)-IF(AND('Bonding Program'!$R$27&lt;&gt;"",DA$3='Bonding Program'!$R$27),'Bonding Program'!$Q$27,0),0)</f>
        <v>0</v>
      </c>
      <c r="DB168" s="19" t="n">
        <f aca="false">IF(AND('Bonding Program'!$S$27=1,DB$3='Bonding Program'!$H$27),'Bonding Program'!$AA$27,0)-IF(DB$3&lt;='Bonding Program'!$C$8,IF(AND('Bonding Program'!$K$27&lt;&gt;"",DB$3='Bonding Program'!$K$27),'Bonding Program'!$J$27,0)-IF(AND('Bonding Program'!$M$27&lt;&gt;"",DB$3='Bonding Program'!$M$27),'Bonding Program'!$L$27,0)-IF(AND('Bonding Program'!$P$27&lt;&gt;"",DB$3='Bonding Program'!$P$27),'Bonding Program'!$O$27,0)-IF(AND('Bonding Program'!$R$27&lt;&gt;"",DB$3='Bonding Program'!$R$27),'Bonding Program'!$Q$27,0),0)</f>
        <v>0</v>
      </c>
      <c r="DC168" s="19" t="n">
        <f aca="false">IF(AND('Bonding Program'!$S$27=1,DC$3='Bonding Program'!$H$27),'Bonding Program'!$AA$27,0)-IF(DC$3&lt;='Bonding Program'!$C$8,IF(AND('Bonding Program'!$K$27&lt;&gt;"",DC$3='Bonding Program'!$K$27),'Bonding Program'!$J$27,0)-IF(AND('Bonding Program'!$M$27&lt;&gt;"",DC$3='Bonding Program'!$M$27),'Bonding Program'!$L$27,0)-IF(AND('Bonding Program'!$P$27&lt;&gt;"",DC$3='Bonding Program'!$P$27),'Bonding Program'!$O$27,0)-IF(AND('Bonding Program'!$R$27&lt;&gt;"",DC$3='Bonding Program'!$R$27),'Bonding Program'!$Q$27,0),0)</f>
        <v>0</v>
      </c>
      <c r="DD168" s="19" t="n">
        <f aca="false">IF(AND('Bonding Program'!$S$27=1,DD$3='Bonding Program'!$H$27),'Bonding Program'!$AA$27,0)-IF(DD$3&lt;='Bonding Program'!$C$8,IF(AND('Bonding Program'!$K$27&lt;&gt;"",DD$3='Bonding Program'!$K$27),'Bonding Program'!$J$27,0)-IF(AND('Bonding Program'!$M$27&lt;&gt;"",DD$3='Bonding Program'!$M$27),'Bonding Program'!$L$27,0)-IF(AND('Bonding Program'!$P$27&lt;&gt;"",DD$3='Bonding Program'!$P$27),'Bonding Program'!$O$27,0)-IF(AND('Bonding Program'!$R$27&lt;&gt;"",DD$3='Bonding Program'!$R$27),'Bonding Program'!$Q$27,0),0)</f>
        <v>0</v>
      </c>
      <c r="DE168" s="19" t="n">
        <f aca="false">IF(AND('Bonding Program'!$S$27=1,DE$3='Bonding Program'!$H$27),'Bonding Program'!$AA$27,0)-IF(DE$3&lt;='Bonding Program'!$C$8,IF(AND('Bonding Program'!$K$27&lt;&gt;"",DE$3='Bonding Program'!$K$27),'Bonding Program'!$J$27,0)-IF(AND('Bonding Program'!$M$27&lt;&gt;"",DE$3='Bonding Program'!$M$27),'Bonding Program'!$L$27,0)-IF(AND('Bonding Program'!$P$27&lt;&gt;"",DE$3='Bonding Program'!$P$27),'Bonding Program'!$O$27,0)-IF(AND('Bonding Program'!$R$27&lt;&gt;"",DE$3='Bonding Program'!$R$27),'Bonding Program'!$Q$27,0),0)</f>
        <v>0</v>
      </c>
    </row>
    <row r="169" customFormat="false" ht="15" hidden="false" customHeight="true" outlineLevel="1" collapsed="false">
      <c r="A169" s="28" t="s">
        <v>24</v>
      </c>
      <c r="B169" s="19" t="n">
        <f aca="false">IF(AND('Bonding Program'!$S$28=1,B$3='Bonding Program'!$H$28),'Bonding Program'!$AA$28,0)-IF(B$3&lt;='Bonding Program'!$C$8,IF(AND('Bonding Program'!$K$28&lt;&gt;"",B$3='Bonding Program'!$K$28),'Bonding Program'!$J$28,0)-IF(AND('Bonding Program'!$M$28&lt;&gt;"",B$3='Bonding Program'!$M$28),'Bonding Program'!$L$28,0)-IF(AND('Bonding Program'!$P$28&lt;&gt;"",B$3='Bonding Program'!$P$28),'Bonding Program'!$O$28,0)-IF(AND('Bonding Program'!$R$28&lt;&gt;"",B$3='Bonding Program'!$R$28),'Bonding Program'!$Q$28,0),0)</f>
        <v>0</v>
      </c>
      <c r="C169" s="19" t="n">
        <f aca="false">IF(AND('Bonding Program'!$S$28=1,C$3='Bonding Program'!$H$28),'Bonding Program'!$AA$28,0)-IF(C$3&lt;='Bonding Program'!$C$8,IF(AND('Bonding Program'!$K$28&lt;&gt;"",C$3='Bonding Program'!$K$28),'Bonding Program'!$J$28,0)-IF(AND('Bonding Program'!$M$28&lt;&gt;"",C$3='Bonding Program'!$M$28),'Bonding Program'!$L$28,0)-IF(AND('Bonding Program'!$P$28&lt;&gt;"",C$3='Bonding Program'!$P$28),'Bonding Program'!$O$28,0)-IF(AND('Bonding Program'!$R$28&lt;&gt;"",C$3='Bonding Program'!$R$28),'Bonding Program'!$Q$28,0),0)</f>
        <v>0</v>
      </c>
      <c r="D169" s="19" t="n">
        <f aca="false">IF(AND('Bonding Program'!$S$28=1,D$3='Bonding Program'!$H$28),'Bonding Program'!$AA$28,0)-IF(D$3&lt;='Bonding Program'!$C$8,IF(AND('Bonding Program'!$K$28&lt;&gt;"",D$3='Bonding Program'!$K$28),'Bonding Program'!$J$28,0)-IF(AND('Bonding Program'!$M$28&lt;&gt;"",D$3='Bonding Program'!$M$28),'Bonding Program'!$L$28,0)-IF(AND('Bonding Program'!$P$28&lt;&gt;"",D$3='Bonding Program'!$P$28),'Bonding Program'!$O$28,0)-IF(AND('Bonding Program'!$R$28&lt;&gt;"",D$3='Bonding Program'!$R$28),'Bonding Program'!$Q$28,0),0)</f>
        <v>0</v>
      </c>
      <c r="E169" s="19" t="n">
        <f aca="false">IF(AND('Bonding Program'!$S$28=1,E$3='Bonding Program'!$H$28),'Bonding Program'!$AA$28,0)-IF(E$3&lt;='Bonding Program'!$C$8,IF(AND('Bonding Program'!$K$28&lt;&gt;"",E$3='Bonding Program'!$K$28),'Bonding Program'!$J$28,0)-IF(AND('Bonding Program'!$M$28&lt;&gt;"",E$3='Bonding Program'!$M$28),'Bonding Program'!$L$28,0)-IF(AND('Bonding Program'!$P$28&lt;&gt;"",E$3='Bonding Program'!$P$28),'Bonding Program'!$O$28,0)-IF(AND('Bonding Program'!$R$28&lt;&gt;"",E$3='Bonding Program'!$R$28),'Bonding Program'!$Q$28,0),0)</f>
        <v>0</v>
      </c>
      <c r="F169" s="19" t="n">
        <f aca="false">IF(AND('Bonding Program'!$S$28=1,F$3='Bonding Program'!$H$28),'Bonding Program'!$AA$28,0)-IF(F$3&lt;='Bonding Program'!$C$8,IF(AND('Bonding Program'!$K$28&lt;&gt;"",F$3='Bonding Program'!$K$28),'Bonding Program'!$J$28,0)-IF(AND('Bonding Program'!$M$28&lt;&gt;"",F$3='Bonding Program'!$M$28),'Bonding Program'!$L$28,0)-IF(AND('Bonding Program'!$P$28&lt;&gt;"",F$3='Bonding Program'!$P$28),'Bonding Program'!$O$28,0)-IF(AND('Bonding Program'!$R$28&lt;&gt;"",F$3='Bonding Program'!$R$28),'Bonding Program'!$Q$28,0),0)</f>
        <v>0</v>
      </c>
      <c r="G169" s="19" t="n">
        <f aca="false">IF(AND('Bonding Program'!$S$28=1,G$3='Bonding Program'!$H$28),'Bonding Program'!$AA$28,0)-IF(G$3&lt;='Bonding Program'!$C$8,IF(AND('Bonding Program'!$K$28&lt;&gt;"",G$3='Bonding Program'!$K$28),'Bonding Program'!$J$28,0)-IF(AND('Bonding Program'!$M$28&lt;&gt;"",G$3='Bonding Program'!$M$28),'Bonding Program'!$L$28,0)-IF(AND('Bonding Program'!$P$28&lt;&gt;"",G$3='Bonding Program'!$P$28),'Bonding Program'!$O$28,0)-IF(AND('Bonding Program'!$R$28&lt;&gt;"",G$3='Bonding Program'!$R$28),'Bonding Program'!$Q$28,0),0)</f>
        <v>0</v>
      </c>
      <c r="H169" s="19" t="n">
        <f aca="false">IF(AND('Bonding Program'!$S$28=1,H$3='Bonding Program'!$H$28),'Bonding Program'!$AA$28,0)-IF(H$3&lt;='Bonding Program'!$C$8,IF(AND('Bonding Program'!$K$28&lt;&gt;"",H$3='Bonding Program'!$K$28),'Bonding Program'!$J$28,0)-IF(AND('Bonding Program'!$M$28&lt;&gt;"",H$3='Bonding Program'!$M$28),'Bonding Program'!$L$28,0)-IF(AND('Bonding Program'!$P$28&lt;&gt;"",H$3='Bonding Program'!$P$28),'Bonding Program'!$O$28,0)-IF(AND('Bonding Program'!$R$28&lt;&gt;"",H$3='Bonding Program'!$R$28),'Bonding Program'!$Q$28,0),0)</f>
        <v>0</v>
      </c>
      <c r="I169" s="19" t="n">
        <f aca="false">IF(AND('Bonding Program'!$S$28=1,I$3='Bonding Program'!$H$28),'Bonding Program'!$AA$28,0)-IF(I$3&lt;='Bonding Program'!$C$8,IF(AND('Bonding Program'!$K$28&lt;&gt;"",I$3='Bonding Program'!$K$28),'Bonding Program'!$J$28,0)-IF(AND('Bonding Program'!$M$28&lt;&gt;"",I$3='Bonding Program'!$M$28),'Bonding Program'!$L$28,0)-IF(AND('Bonding Program'!$P$28&lt;&gt;"",I$3='Bonding Program'!$P$28),'Bonding Program'!$O$28,0)-IF(AND('Bonding Program'!$R$28&lt;&gt;"",I$3='Bonding Program'!$R$28),'Bonding Program'!$Q$28,0),0)</f>
        <v>0</v>
      </c>
      <c r="J169" s="19" t="n">
        <f aca="false">IF(AND('Bonding Program'!$S$28=1,J$3='Bonding Program'!$H$28),'Bonding Program'!$AA$28,0)-IF(J$3&lt;='Bonding Program'!$C$8,IF(AND('Bonding Program'!$K$28&lt;&gt;"",J$3='Bonding Program'!$K$28),'Bonding Program'!$J$28,0)-IF(AND('Bonding Program'!$M$28&lt;&gt;"",J$3='Bonding Program'!$M$28),'Bonding Program'!$L$28,0)-IF(AND('Bonding Program'!$P$28&lt;&gt;"",J$3='Bonding Program'!$P$28),'Bonding Program'!$O$28,0)-IF(AND('Bonding Program'!$R$28&lt;&gt;"",J$3='Bonding Program'!$R$28),'Bonding Program'!$Q$28,0),0)</f>
        <v>0</v>
      </c>
      <c r="K169" s="19" t="n">
        <f aca="false">IF(AND('Bonding Program'!$S$28=1,K$3='Bonding Program'!$H$28),'Bonding Program'!$AA$28,0)-IF(K$3&lt;='Bonding Program'!$C$8,IF(AND('Bonding Program'!$K$28&lt;&gt;"",K$3='Bonding Program'!$K$28),'Bonding Program'!$J$28,0)-IF(AND('Bonding Program'!$M$28&lt;&gt;"",K$3='Bonding Program'!$M$28),'Bonding Program'!$L$28,0)-IF(AND('Bonding Program'!$P$28&lt;&gt;"",K$3='Bonding Program'!$P$28),'Bonding Program'!$O$28,0)-IF(AND('Bonding Program'!$R$28&lt;&gt;"",K$3='Bonding Program'!$R$28),'Bonding Program'!$Q$28,0),0)</f>
        <v>0</v>
      </c>
      <c r="L169" s="19" t="n">
        <f aca="false">IF(AND('Bonding Program'!$S$28=1,L$3='Bonding Program'!$H$28),'Bonding Program'!$AA$28,0)-IF(L$3&lt;='Bonding Program'!$C$8,IF(AND('Bonding Program'!$K$28&lt;&gt;"",L$3='Bonding Program'!$K$28),'Bonding Program'!$J$28,0)-IF(AND('Bonding Program'!$M$28&lt;&gt;"",L$3='Bonding Program'!$M$28),'Bonding Program'!$L$28,0)-IF(AND('Bonding Program'!$P$28&lt;&gt;"",L$3='Bonding Program'!$P$28),'Bonding Program'!$O$28,0)-IF(AND('Bonding Program'!$R$28&lt;&gt;"",L$3='Bonding Program'!$R$28),'Bonding Program'!$Q$28,0),0)</f>
        <v>0</v>
      </c>
      <c r="M169" s="19" t="n">
        <f aca="false">IF(AND('Bonding Program'!$S$28=1,M$3='Bonding Program'!$H$28),'Bonding Program'!$AA$28,0)-IF(M$3&lt;='Bonding Program'!$C$8,IF(AND('Bonding Program'!$K$28&lt;&gt;"",M$3='Bonding Program'!$K$28),'Bonding Program'!$J$28,0)-IF(AND('Bonding Program'!$M$28&lt;&gt;"",M$3='Bonding Program'!$M$28),'Bonding Program'!$L$28,0)-IF(AND('Bonding Program'!$P$28&lt;&gt;"",M$3='Bonding Program'!$P$28),'Bonding Program'!$O$28,0)-IF(AND('Bonding Program'!$R$28&lt;&gt;"",M$3='Bonding Program'!$R$28),'Bonding Program'!$Q$28,0),0)</f>
        <v>0</v>
      </c>
      <c r="N169" s="19" t="n">
        <f aca="false">IF(AND('Bonding Program'!$S$28=1,N$3='Bonding Program'!$H$28),'Bonding Program'!$AA$28,0)-IF(N$3&lt;='Bonding Program'!$C$8,IF(AND('Bonding Program'!$K$28&lt;&gt;"",N$3='Bonding Program'!$K$28),'Bonding Program'!$J$28,0)-IF(AND('Bonding Program'!$M$28&lt;&gt;"",N$3='Bonding Program'!$M$28),'Bonding Program'!$L$28,0)-IF(AND('Bonding Program'!$P$28&lt;&gt;"",N$3='Bonding Program'!$P$28),'Bonding Program'!$O$28,0)-IF(AND('Bonding Program'!$R$28&lt;&gt;"",N$3='Bonding Program'!$R$28),'Bonding Program'!$Q$28,0),0)</f>
        <v>0</v>
      </c>
      <c r="O169" s="19" t="n">
        <f aca="false">IF(AND('Bonding Program'!$S$28=1,O$3='Bonding Program'!$H$28),'Bonding Program'!$AA$28,0)-IF(O$3&lt;='Bonding Program'!$C$8,IF(AND('Bonding Program'!$K$28&lt;&gt;"",O$3='Bonding Program'!$K$28),'Bonding Program'!$J$28,0)-IF(AND('Bonding Program'!$M$28&lt;&gt;"",O$3='Bonding Program'!$M$28),'Bonding Program'!$L$28,0)-IF(AND('Bonding Program'!$P$28&lt;&gt;"",O$3='Bonding Program'!$P$28),'Bonding Program'!$O$28,0)-IF(AND('Bonding Program'!$R$28&lt;&gt;"",O$3='Bonding Program'!$R$28),'Bonding Program'!$Q$28,0),0)</f>
        <v>0</v>
      </c>
      <c r="P169" s="19" t="n">
        <f aca="false">IF(AND('Bonding Program'!$S$28=1,P$3='Bonding Program'!$H$28),'Bonding Program'!$AA$28,0)-IF(P$3&lt;='Bonding Program'!$C$8,IF(AND('Bonding Program'!$K$28&lt;&gt;"",P$3='Bonding Program'!$K$28),'Bonding Program'!$J$28,0)-IF(AND('Bonding Program'!$M$28&lt;&gt;"",P$3='Bonding Program'!$M$28),'Bonding Program'!$L$28,0)-IF(AND('Bonding Program'!$P$28&lt;&gt;"",P$3='Bonding Program'!$P$28),'Bonding Program'!$O$28,0)-IF(AND('Bonding Program'!$R$28&lt;&gt;"",P$3='Bonding Program'!$R$28),'Bonding Program'!$Q$28,0),0)</f>
        <v>0</v>
      </c>
      <c r="Q169" s="19" t="n">
        <f aca="false">IF(AND('Bonding Program'!$S$28=1,Q$3='Bonding Program'!$H$28),'Bonding Program'!$AA$28,0)-IF(Q$3&lt;='Bonding Program'!$C$8,IF(AND('Bonding Program'!$K$28&lt;&gt;"",Q$3='Bonding Program'!$K$28),'Bonding Program'!$J$28,0)-IF(AND('Bonding Program'!$M$28&lt;&gt;"",Q$3='Bonding Program'!$M$28),'Bonding Program'!$L$28,0)-IF(AND('Bonding Program'!$P$28&lt;&gt;"",Q$3='Bonding Program'!$P$28),'Bonding Program'!$O$28,0)-IF(AND('Bonding Program'!$R$28&lt;&gt;"",Q$3='Bonding Program'!$R$28),'Bonding Program'!$Q$28,0),0)</f>
        <v>0</v>
      </c>
      <c r="R169" s="19" t="n">
        <f aca="false">IF(AND('Bonding Program'!$S$28=1,R$3='Bonding Program'!$H$28),'Bonding Program'!$AA$28,0)-IF(R$3&lt;='Bonding Program'!$C$8,IF(AND('Bonding Program'!$K$28&lt;&gt;"",R$3='Bonding Program'!$K$28),'Bonding Program'!$J$28,0)-IF(AND('Bonding Program'!$M$28&lt;&gt;"",R$3='Bonding Program'!$M$28),'Bonding Program'!$L$28,0)-IF(AND('Bonding Program'!$P$28&lt;&gt;"",R$3='Bonding Program'!$P$28),'Bonding Program'!$O$28,0)-IF(AND('Bonding Program'!$R$28&lt;&gt;"",R$3='Bonding Program'!$R$28),'Bonding Program'!$Q$28,0),0)</f>
        <v>0</v>
      </c>
      <c r="S169" s="19" t="n">
        <f aca="false">IF(AND('Bonding Program'!$S$28=1,S$3='Bonding Program'!$H$28),'Bonding Program'!$AA$28,0)-IF(S$3&lt;='Bonding Program'!$C$8,IF(AND('Bonding Program'!$K$28&lt;&gt;"",S$3='Bonding Program'!$K$28),'Bonding Program'!$J$28,0)-IF(AND('Bonding Program'!$M$28&lt;&gt;"",S$3='Bonding Program'!$M$28),'Bonding Program'!$L$28,0)-IF(AND('Bonding Program'!$P$28&lt;&gt;"",S$3='Bonding Program'!$P$28),'Bonding Program'!$O$28,0)-IF(AND('Bonding Program'!$R$28&lt;&gt;"",S$3='Bonding Program'!$R$28),'Bonding Program'!$Q$28,0),0)</f>
        <v>0</v>
      </c>
      <c r="T169" s="19" t="n">
        <f aca="false">IF(AND('Bonding Program'!$S$28=1,T$3='Bonding Program'!$H$28),'Bonding Program'!$AA$28,0)-IF(T$3&lt;='Bonding Program'!$C$8,IF(AND('Bonding Program'!$K$28&lt;&gt;"",T$3='Bonding Program'!$K$28),'Bonding Program'!$J$28,0)-IF(AND('Bonding Program'!$M$28&lt;&gt;"",T$3='Bonding Program'!$M$28),'Bonding Program'!$L$28,0)-IF(AND('Bonding Program'!$P$28&lt;&gt;"",T$3='Bonding Program'!$P$28),'Bonding Program'!$O$28,0)-IF(AND('Bonding Program'!$R$28&lt;&gt;"",T$3='Bonding Program'!$R$28),'Bonding Program'!$Q$28,0),0)</f>
        <v>0</v>
      </c>
      <c r="U169" s="19" t="n">
        <f aca="false">IF(AND('Bonding Program'!$S$28=1,U$3='Bonding Program'!$H$28),'Bonding Program'!$AA$28,0)-IF(U$3&lt;='Bonding Program'!$C$8,IF(AND('Bonding Program'!$K$28&lt;&gt;"",U$3='Bonding Program'!$K$28),'Bonding Program'!$J$28,0)-IF(AND('Bonding Program'!$M$28&lt;&gt;"",U$3='Bonding Program'!$M$28),'Bonding Program'!$L$28,0)-IF(AND('Bonding Program'!$P$28&lt;&gt;"",U$3='Bonding Program'!$P$28),'Bonding Program'!$O$28,0)-IF(AND('Bonding Program'!$R$28&lt;&gt;"",U$3='Bonding Program'!$R$28),'Bonding Program'!$Q$28,0),0)</f>
        <v>0</v>
      </c>
      <c r="V169" s="19" t="n">
        <f aca="false">IF(AND('Bonding Program'!$S$28=1,V$3='Bonding Program'!$H$28),'Bonding Program'!$AA$28,0)-IF(V$3&lt;='Bonding Program'!$C$8,IF(AND('Bonding Program'!$K$28&lt;&gt;"",V$3='Bonding Program'!$K$28),'Bonding Program'!$J$28,0)-IF(AND('Bonding Program'!$M$28&lt;&gt;"",V$3='Bonding Program'!$M$28),'Bonding Program'!$L$28,0)-IF(AND('Bonding Program'!$P$28&lt;&gt;"",V$3='Bonding Program'!$P$28),'Bonding Program'!$O$28,0)-IF(AND('Bonding Program'!$R$28&lt;&gt;"",V$3='Bonding Program'!$R$28),'Bonding Program'!$Q$28,0),0)</f>
        <v>0</v>
      </c>
      <c r="W169" s="19" t="n">
        <f aca="false">IF(AND('Bonding Program'!$S$28=1,W$3='Bonding Program'!$H$28),'Bonding Program'!$AA$28,0)-IF(W$3&lt;='Bonding Program'!$C$8,IF(AND('Bonding Program'!$K$28&lt;&gt;"",W$3='Bonding Program'!$K$28),'Bonding Program'!$J$28,0)-IF(AND('Bonding Program'!$M$28&lt;&gt;"",W$3='Bonding Program'!$M$28),'Bonding Program'!$L$28,0)-IF(AND('Bonding Program'!$P$28&lt;&gt;"",W$3='Bonding Program'!$P$28),'Bonding Program'!$O$28,0)-IF(AND('Bonding Program'!$R$28&lt;&gt;"",W$3='Bonding Program'!$R$28),'Bonding Program'!$Q$28,0),0)</f>
        <v>0</v>
      </c>
      <c r="X169" s="19" t="n">
        <f aca="false">IF(AND('Bonding Program'!$S$28=1,X$3='Bonding Program'!$H$28),'Bonding Program'!$AA$28,0)-IF(X$3&lt;='Bonding Program'!$C$8,IF(AND('Bonding Program'!$K$28&lt;&gt;"",X$3='Bonding Program'!$K$28),'Bonding Program'!$J$28,0)-IF(AND('Bonding Program'!$M$28&lt;&gt;"",X$3='Bonding Program'!$M$28),'Bonding Program'!$L$28,0)-IF(AND('Bonding Program'!$P$28&lt;&gt;"",X$3='Bonding Program'!$P$28),'Bonding Program'!$O$28,0)-IF(AND('Bonding Program'!$R$28&lt;&gt;"",X$3='Bonding Program'!$R$28),'Bonding Program'!$Q$28,0),0)</f>
        <v>0</v>
      </c>
      <c r="Y169" s="19" t="n">
        <f aca="false">IF(AND('Bonding Program'!$S$28=1,Y$3='Bonding Program'!$H$28),'Bonding Program'!$AA$28,0)-IF(Y$3&lt;='Bonding Program'!$C$8,IF(AND('Bonding Program'!$K$28&lt;&gt;"",Y$3='Bonding Program'!$K$28),'Bonding Program'!$J$28,0)-IF(AND('Bonding Program'!$M$28&lt;&gt;"",Y$3='Bonding Program'!$M$28),'Bonding Program'!$L$28,0)-IF(AND('Bonding Program'!$P$28&lt;&gt;"",Y$3='Bonding Program'!$P$28),'Bonding Program'!$O$28,0)-IF(AND('Bonding Program'!$R$28&lt;&gt;"",Y$3='Bonding Program'!$R$28),'Bonding Program'!$Q$28,0),0)</f>
        <v>0</v>
      </c>
      <c r="Z169" s="19" t="n">
        <f aca="false">IF(AND('Bonding Program'!$S$28=1,Z$3='Bonding Program'!$H$28),'Bonding Program'!$AA$28,0)-IF(Z$3&lt;='Bonding Program'!$C$8,IF(AND('Bonding Program'!$K$28&lt;&gt;"",Z$3='Bonding Program'!$K$28),'Bonding Program'!$J$28,0)-IF(AND('Bonding Program'!$M$28&lt;&gt;"",Z$3='Bonding Program'!$M$28),'Bonding Program'!$L$28,0)-IF(AND('Bonding Program'!$P$28&lt;&gt;"",Z$3='Bonding Program'!$P$28),'Bonding Program'!$O$28,0)-IF(AND('Bonding Program'!$R$28&lt;&gt;"",Z$3='Bonding Program'!$R$28),'Bonding Program'!$Q$28,0),0)</f>
        <v>0</v>
      </c>
      <c r="AA169" s="19" t="n">
        <f aca="false">IF(AND('Bonding Program'!$S$28=1,AA$3='Bonding Program'!$H$28),'Bonding Program'!$AA$28,0)-IF(AA$3&lt;='Bonding Program'!$C$8,IF(AND('Bonding Program'!$K$28&lt;&gt;"",AA$3='Bonding Program'!$K$28),'Bonding Program'!$J$28,0)-IF(AND('Bonding Program'!$M$28&lt;&gt;"",AA$3='Bonding Program'!$M$28),'Bonding Program'!$L$28,0)-IF(AND('Bonding Program'!$P$28&lt;&gt;"",AA$3='Bonding Program'!$P$28),'Bonding Program'!$O$28,0)-IF(AND('Bonding Program'!$R$28&lt;&gt;"",AA$3='Bonding Program'!$R$28),'Bonding Program'!$Q$28,0),0)</f>
        <v>0</v>
      </c>
      <c r="AB169" s="19" t="n">
        <f aca="false">IF(AND('Bonding Program'!$S$28=1,AB$3='Bonding Program'!$H$28),'Bonding Program'!$AA$28,0)-IF(AB$3&lt;='Bonding Program'!$C$8,IF(AND('Bonding Program'!$K$28&lt;&gt;"",AB$3='Bonding Program'!$K$28),'Bonding Program'!$J$28,0)-IF(AND('Bonding Program'!$M$28&lt;&gt;"",AB$3='Bonding Program'!$M$28),'Bonding Program'!$L$28,0)-IF(AND('Bonding Program'!$P$28&lt;&gt;"",AB$3='Bonding Program'!$P$28),'Bonding Program'!$O$28,0)-IF(AND('Bonding Program'!$R$28&lt;&gt;"",AB$3='Bonding Program'!$R$28),'Bonding Program'!$Q$28,0),0)</f>
        <v>0</v>
      </c>
      <c r="AC169" s="19" t="n">
        <f aca="false">IF(AND('Bonding Program'!$S$28=1,AC$3='Bonding Program'!$H$28),'Bonding Program'!$AA$28,0)-IF(AC$3&lt;='Bonding Program'!$C$8,IF(AND('Bonding Program'!$K$28&lt;&gt;"",AC$3='Bonding Program'!$K$28),'Bonding Program'!$J$28,0)-IF(AND('Bonding Program'!$M$28&lt;&gt;"",AC$3='Bonding Program'!$M$28),'Bonding Program'!$L$28,0)-IF(AND('Bonding Program'!$P$28&lt;&gt;"",AC$3='Bonding Program'!$P$28),'Bonding Program'!$O$28,0)-IF(AND('Bonding Program'!$R$28&lt;&gt;"",AC$3='Bonding Program'!$R$28),'Bonding Program'!$Q$28,0),0)</f>
        <v>0</v>
      </c>
      <c r="AD169" s="19" t="n">
        <f aca="false">IF(AND('Bonding Program'!$S$28=1,AD$3='Bonding Program'!$H$28),'Bonding Program'!$AA$28,0)-IF(AD$3&lt;='Bonding Program'!$C$8,IF(AND('Bonding Program'!$K$28&lt;&gt;"",AD$3='Bonding Program'!$K$28),'Bonding Program'!$J$28,0)-IF(AND('Bonding Program'!$M$28&lt;&gt;"",AD$3='Bonding Program'!$M$28),'Bonding Program'!$L$28,0)-IF(AND('Bonding Program'!$P$28&lt;&gt;"",AD$3='Bonding Program'!$P$28),'Bonding Program'!$O$28,0)-IF(AND('Bonding Program'!$R$28&lt;&gt;"",AD$3='Bonding Program'!$R$28),'Bonding Program'!$Q$28,0),0)</f>
        <v>0</v>
      </c>
      <c r="AE169" s="19" t="n">
        <f aca="false">IF(AND('Bonding Program'!$S$28=1,AE$3='Bonding Program'!$H$28),'Bonding Program'!$AA$28,0)-IF(AE$3&lt;='Bonding Program'!$C$8,IF(AND('Bonding Program'!$K$28&lt;&gt;"",AE$3='Bonding Program'!$K$28),'Bonding Program'!$J$28,0)-IF(AND('Bonding Program'!$M$28&lt;&gt;"",AE$3='Bonding Program'!$M$28),'Bonding Program'!$L$28,0)-IF(AND('Bonding Program'!$P$28&lt;&gt;"",AE$3='Bonding Program'!$P$28),'Bonding Program'!$O$28,0)-IF(AND('Bonding Program'!$R$28&lt;&gt;"",AE$3='Bonding Program'!$R$28),'Bonding Program'!$Q$28,0),0)</f>
        <v>0</v>
      </c>
      <c r="AF169" s="19" t="n">
        <f aca="false">IF(AND('Bonding Program'!$S$28=1,AF$3='Bonding Program'!$H$28),'Bonding Program'!$AA$28,0)-IF(AF$3&lt;='Bonding Program'!$C$8,IF(AND('Bonding Program'!$K$28&lt;&gt;"",AF$3='Bonding Program'!$K$28),'Bonding Program'!$J$28,0)-IF(AND('Bonding Program'!$M$28&lt;&gt;"",AF$3='Bonding Program'!$M$28),'Bonding Program'!$L$28,0)-IF(AND('Bonding Program'!$P$28&lt;&gt;"",AF$3='Bonding Program'!$P$28),'Bonding Program'!$O$28,0)-IF(AND('Bonding Program'!$R$28&lt;&gt;"",AF$3='Bonding Program'!$R$28),'Bonding Program'!$Q$28,0),0)</f>
        <v>0</v>
      </c>
      <c r="AG169" s="19" t="n">
        <f aca="false">IF(AND('Bonding Program'!$S$28=1,AG$3='Bonding Program'!$H$28),'Bonding Program'!$AA$28,0)-IF(AG$3&lt;='Bonding Program'!$C$8,IF(AND('Bonding Program'!$K$28&lt;&gt;"",AG$3='Bonding Program'!$K$28),'Bonding Program'!$J$28,0)-IF(AND('Bonding Program'!$M$28&lt;&gt;"",AG$3='Bonding Program'!$M$28),'Bonding Program'!$L$28,0)-IF(AND('Bonding Program'!$P$28&lt;&gt;"",AG$3='Bonding Program'!$P$28),'Bonding Program'!$O$28,0)-IF(AND('Bonding Program'!$R$28&lt;&gt;"",AG$3='Bonding Program'!$R$28),'Bonding Program'!$Q$28,0),0)</f>
        <v>0</v>
      </c>
      <c r="AH169" s="19" t="n">
        <f aca="false">IF(AND('Bonding Program'!$S$28=1,AH$3='Bonding Program'!$H$28),'Bonding Program'!$AA$28,0)-IF(AH$3&lt;='Bonding Program'!$C$8,IF(AND('Bonding Program'!$K$28&lt;&gt;"",AH$3='Bonding Program'!$K$28),'Bonding Program'!$J$28,0)-IF(AND('Bonding Program'!$M$28&lt;&gt;"",AH$3='Bonding Program'!$M$28),'Bonding Program'!$L$28,0)-IF(AND('Bonding Program'!$P$28&lt;&gt;"",AH$3='Bonding Program'!$P$28),'Bonding Program'!$O$28,0)-IF(AND('Bonding Program'!$R$28&lt;&gt;"",AH$3='Bonding Program'!$R$28),'Bonding Program'!$Q$28,0),0)</f>
        <v>0</v>
      </c>
      <c r="AI169" s="19" t="n">
        <f aca="false">IF(AND('Bonding Program'!$S$28=1,AI$3='Bonding Program'!$H$28),'Bonding Program'!$AA$28,0)-IF(AI$3&lt;='Bonding Program'!$C$8,IF(AND('Bonding Program'!$K$28&lt;&gt;"",AI$3='Bonding Program'!$K$28),'Bonding Program'!$J$28,0)-IF(AND('Bonding Program'!$M$28&lt;&gt;"",AI$3='Bonding Program'!$M$28),'Bonding Program'!$L$28,0)-IF(AND('Bonding Program'!$P$28&lt;&gt;"",AI$3='Bonding Program'!$P$28),'Bonding Program'!$O$28,0)-IF(AND('Bonding Program'!$R$28&lt;&gt;"",AI$3='Bonding Program'!$R$28),'Bonding Program'!$Q$28,0),0)</f>
        <v>0</v>
      </c>
      <c r="AJ169" s="19" t="n">
        <f aca="false">IF(AND('Bonding Program'!$S$28=1,AJ$3='Bonding Program'!$H$28),'Bonding Program'!$AA$28,0)-IF(AJ$3&lt;='Bonding Program'!$C$8,IF(AND('Bonding Program'!$K$28&lt;&gt;"",AJ$3='Bonding Program'!$K$28),'Bonding Program'!$J$28,0)-IF(AND('Bonding Program'!$M$28&lt;&gt;"",AJ$3='Bonding Program'!$M$28),'Bonding Program'!$L$28,0)-IF(AND('Bonding Program'!$P$28&lt;&gt;"",AJ$3='Bonding Program'!$P$28),'Bonding Program'!$O$28,0)-IF(AND('Bonding Program'!$R$28&lt;&gt;"",AJ$3='Bonding Program'!$R$28),'Bonding Program'!$Q$28,0),0)</f>
        <v>0</v>
      </c>
      <c r="AK169" s="19" t="n">
        <f aca="false">IF(AND('Bonding Program'!$S$28=1,AK$3='Bonding Program'!$H$28),'Bonding Program'!$AA$28,0)-IF(AK$3&lt;='Bonding Program'!$C$8,IF(AND('Bonding Program'!$K$28&lt;&gt;"",AK$3='Bonding Program'!$K$28),'Bonding Program'!$J$28,0)-IF(AND('Bonding Program'!$M$28&lt;&gt;"",AK$3='Bonding Program'!$M$28),'Bonding Program'!$L$28,0)-IF(AND('Bonding Program'!$P$28&lt;&gt;"",AK$3='Bonding Program'!$P$28),'Bonding Program'!$O$28,0)-IF(AND('Bonding Program'!$R$28&lt;&gt;"",AK$3='Bonding Program'!$R$28),'Bonding Program'!$Q$28,0),0)</f>
        <v>0</v>
      </c>
      <c r="AL169" s="19" t="n">
        <f aca="false">IF(AND('Bonding Program'!$S$28=1,AL$3='Bonding Program'!$H$28),'Bonding Program'!$AA$28,0)-IF(AL$3&lt;='Bonding Program'!$C$8,IF(AND('Bonding Program'!$K$28&lt;&gt;"",AL$3='Bonding Program'!$K$28),'Bonding Program'!$J$28,0)-IF(AND('Bonding Program'!$M$28&lt;&gt;"",AL$3='Bonding Program'!$M$28),'Bonding Program'!$L$28,0)-IF(AND('Bonding Program'!$P$28&lt;&gt;"",AL$3='Bonding Program'!$P$28),'Bonding Program'!$O$28,0)-IF(AND('Bonding Program'!$R$28&lt;&gt;"",AL$3='Bonding Program'!$R$28),'Bonding Program'!$Q$28,0),0)</f>
        <v>0</v>
      </c>
      <c r="AM169" s="19" t="n">
        <f aca="false">IF(AND('Bonding Program'!$S$28=1,AM$3='Bonding Program'!$H$28),'Bonding Program'!$AA$28,0)-IF(AM$3&lt;='Bonding Program'!$C$8,IF(AND('Bonding Program'!$K$28&lt;&gt;"",AM$3='Bonding Program'!$K$28),'Bonding Program'!$J$28,0)-IF(AND('Bonding Program'!$M$28&lt;&gt;"",AM$3='Bonding Program'!$M$28),'Bonding Program'!$L$28,0)-IF(AND('Bonding Program'!$P$28&lt;&gt;"",AM$3='Bonding Program'!$P$28),'Bonding Program'!$O$28,0)-IF(AND('Bonding Program'!$R$28&lt;&gt;"",AM$3='Bonding Program'!$R$28),'Bonding Program'!$Q$28,0),0)</f>
        <v>0</v>
      </c>
      <c r="AN169" s="19" t="n">
        <f aca="false">IF(AND('Bonding Program'!$S$28=1,AN$3='Bonding Program'!$H$28),'Bonding Program'!$AA$28,0)-IF(AN$3&lt;='Bonding Program'!$C$8,IF(AND('Bonding Program'!$K$28&lt;&gt;"",AN$3='Bonding Program'!$K$28),'Bonding Program'!$J$28,0)-IF(AND('Bonding Program'!$M$28&lt;&gt;"",AN$3='Bonding Program'!$M$28),'Bonding Program'!$L$28,0)-IF(AND('Bonding Program'!$P$28&lt;&gt;"",AN$3='Bonding Program'!$P$28),'Bonding Program'!$O$28,0)-IF(AND('Bonding Program'!$R$28&lt;&gt;"",AN$3='Bonding Program'!$R$28),'Bonding Program'!$Q$28,0),0)</f>
        <v>0</v>
      </c>
      <c r="AO169" s="19" t="n">
        <f aca="false">IF(AND('Bonding Program'!$S$28=1,AO$3='Bonding Program'!$H$28),'Bonding Program'!$AA$28,0)-IF(AO$3&lt;='Bonding Program'!$C$8,IF(AND('Bonding Program'!$K$28&lt;&gt;"",AO$3='Bonding Program'!$K$28),'Bonding Program'!$J$28,0)-IF(AND('Bonding Program'!$M$28&lt;&gt;"",AO$3='Bonding Program'!$M$28),'Bonding Program'!$L$28,0)-IF(AND('Bonding Program'!$P$28&lt;&gt;"",AO$3='Bonding Program'!$P$28),'Bonding Program'!$O$28,0)-IF(AND('Bonding Program'!$R$28&lt;&gt;"",AO$3='Bonding Program'!$R$28),'Bonding Program'!$Q$28,0),0)</f>
        <v>0</v>
      </c>
      <c r="AP169" s="19" t="n">
        <f aca="false">IF(AND('Bonding Program'!$S$28=1,AP$3='Bonding Program'!$H$28),'Bonding Program'!$AA$28,0)-IF(AP$3&lt;='Bonding Program'!$C$8,IF(AND('Bonding Program'!$K$28&lt;&gt;"",AP$3='Bonding Program'!$K$28),'Bonding Program'!$J$28,0)-IF(AND('Bonding Program'!$M$28&lt;&gt;"",AP$3='Bonding Program'!$M$28),'Bonding Program'!$L$28,0)-IF(AND('Bonding Program'!$P$28&lt;&gt;"",AP$3='Bonding Program'!$P$28),'Bonding Program'!$O$28,0)-IF(AND('Bonding Program'!$R$28&lt;&gt;"",AP$3='Bonding Program'!$R$28),'Bonding Program'!$Q$28,0),0)</f>
        <v>0</v>
      </c>
      <c r="AQ169" s="19" t="n">
        <f aca="false">IF(AND('Bonding Program'!$S$28=1,AQ$3='Bonding Program'!$H$28),'Bonding Program'!$AA$28,0)-IF(AQ$3&lt;='Bonding Program'!$C$8,IF(AND('Bonding Program'!$K$28&lt;&gt;"",AQ$3='Bonding Program'!$K$28),'Bonding Program'!$J$28,0)-IF(AND('Bonding Program'!$M$28&lt;&gt;"",AQ$3='Bonding Program'!$M$28),'Bonding Program'!$L$28,0)-IF(AND('Bonding Program'!$P$28&lt;&gt;"",AQ$3='Bonding Program'!$P$28),'Bonding Program'!$O$28,0)-IF(AND('Bonding Program'!$R$28&lt;&gt;"",AQ$3='Bonding Program'!$R$28),'Bonding Program'!$Q$28,0),0)</f>
        <v>0</v>
      </c>
      <c r="AR169" s="19" t="n">
        <f aca="false">IF(AND('Bonding Program'!$S$28=1,AR$3='Bonding Program'!$H$28),'Bonding Program'!$AA$28,0)-IF(AR$3&lt;='Bonding Program'!$C$8,IF(AND('Bonding Program'!$K$28&lt;&gt;"",AR$3='Bonding Program'!$K$28),'Bonding Program'!$J$28,0)-IF(AND('Bonding Program'!$M$28&lt;&gt;"",AR$3='Bonding Program'!$M$28),'Bonding Program'!$L$28,0)-IF(AND('Bonding Program'!$P$28&lt;&gt;"",AR$3='Bonding Program'!$P$28),'Bonding Program'!$O$28,0)-IF(AND('Bonding Program'!$R$28&lt;&gt;"",AR$3='Bonding Program'!$R$28),'Bonding Program'!$Q$28,0),0)</f>
        <v>0</v>
      </c>
      <c r="AS169" s="19" t="n">
        <f aca="false">IF(AND('Bonding Program'!$S$28=1,AS$3='Bonding Program'!$H$28),'Bonding Program'!$AA$28,0)-IF(AS$3&lt;='Bonding Program'!$C$8,IF(AND('Bonding Program'!$K$28&lt;&gt;"",AS$3='Bonding Program'!$K$28),'Bonding Program'!$J$28,0)-IF(AND('Bonding Program'!$M$28&lt;&gt;"",AS$3='Bonding Program'!$M$28),'Bonding Program'!$L$28,0)-IF(AND('Bonding Program'!$P$28&lt;&gt;"",AS$3='Bonding Program'!$P$28),'Bonding Program'!$O$28,0)-IF(AND('Bonding Program'!$R$28&lt;&gt;"",AS$3='Bonding Program'!$R$28),'Bonding Program'!$Q$28,0),0)</f>
        <v>0</v>
      </c>
      <c r="AT169" s="19" t="n">
        <f aca="false">IF(AND('Bonding Program'!$S$28=1,AT$3='Bonding Program'!$H$28),'Bonding Program'!$AA$28,0)-IF(AT$3&lt;='Bonding Program'!$C$8,IF(AND('Bonding Program'!$K$28&lt;&gt;"",AT$3='Bonding Program'!$K$28),'Bonding Program'!$J$28,0)-IF(AND('Bonding Program'!$M$28&lt;&gt;"",AT$3='Bonding Program'!$M$28),'Bonding Program'!$L$28,0)-IF(AND('Bonding Program'!$P$28&lt;&gt;"",AT$3='Bonding Program'!$P$28),'Bonding Program'!$O$28,0)-IF(AND('Bonding Program'!$R$28&lt;&gt;"",AT$3='Bonding Program'!$R$28),'Bonding Program'!$Q$28,0),0)</f>
        <v>0</v>
      </c>
      <c r="AU169" s="19" t="n">
        <f aca="false">IF(AND('Bonding Program'!$S$28=1,AU$3='Bonding Program'!$H$28),'Bonding Program'!$AA$28,0)-IF(AU$3&lt;='Bonding Program'!$C$8,IF(AND('Bonding Program'!$K$28&lt;&gt;"",AU$3='Bonding Program'!$K$28),'Bonding Program'!$J$28,0)-IF(AND('Bonding Program'!$M$28&lt;&gt;"",AU$3='Bonding Program'!$M$28),'Bonding Program'!$L$28,0)-IF(AND('Bonding Program'!$P$28&lt;&gt;"",AU$3='Bonding Program'!$P$28),'Bonding Program'!$O$28,0)-IF(AND('Bonding Program'!$R$28&lt;&gt;"",AU$3='Bonding Program'!$R$28),'Bonding Program'!$Q$28,0),0)</f>
        <v>0</v>
      </c>
      <c r="AV169" s="19" t="n">
        <f aca="false">IF(AND('Bonding Program'!$S$28=1,AV$3='Bonding Program'!$H$28),'Bonding Program'!$AA$28,0)-IF(AV$3&lt;='Bonding Program'!$C$8,IF(AND('Bonding Program'!$K$28&lt;&gt;"",AV$3='Bonding Program'!$K$28),'Bonding Program'!$J$28,0)-IF(AND('Bonding Program'!$M$28&lt;&gt;"",AV$3='Bonding Program'!$M$28),'Bonding Program'!$L$28,0)-IF(AND('Bonding Program'!$P$28&lt;&gt;"",AV$3='Bonding Program'!$P$28),'Bonding Program'!$O$28,0)-IF(AND('Bonding Program'!$R$28&lt;&gt;"",AV$3='Bonding Program'!$R$28),'Bonding Program'!$Q$28,0),0)</f>
        <v>0</v>
      </c>
      <c r="AW169" s="19" t="n">
        <f aca="false">IF(AND('Bonding Program'!$S$28=1,AW$3='Bonding Program'!$H$28),'Bonding Program'!$AA$28,0)-IF(AW$3&lt;='Bonding Program'!$C$8,IF(AND('Bonding Program'!$K$28&lt;&gt;"",AW$3='Bonding Program'!$K$28),'Bonding Program'!$J$28,0)-IF(AND('Bonding Program'!$M$28&lt;&gt;"",AW$3='Bonding Program'!$M$28),'Bonding Program'!$L$28,0)-IF(AND('Bonding Program'!$P$28&lt;&gt;"",AW$3='Bonding Program'!$P$28),'Bonding Program'!$O$28,0)-IF(AND('Bonding Program'!$R$28&lt;&gt;"",AW$3='Bonding Program'!$R$28),'Bonding Program'!$Q$28,0),0)</f>
        <v>0</v>
      </c>
      <c r="AX169" s="19" t="n">
        <f aca="false">IF(AND('Bonding Program'!$S$28=1,AX$3='Bonding Program'!$H$28),'Bonding Program'!$AA$28,0)-IF(AX$3&lt;='Bonding Program'!$C$8,IF(AND('Bonding Program'!$K$28&lt;&gt;"",AX$3='Bonding Program'!$K$28),'Bonding Program'!$J$28,0)-IF(AND('Bonding Program'!$M$28&lt;&gt;"",AX$3='Bonding Program'!$M$28),'Bonding Program'!$L$28,0)-IF(AND('Bonding Program'!$P$28&lt;&gt;"",AX$3='Bonding Program'!$P$28),'Bonding Program'!$O$28,0)-IF(AND('Bonding Program'!$R$28&lt;&gt;"",AX$3='Bonding Program'!$R$28),'Bonding Program'!$Q$28,0),0)</f>
        <v>0</v>
      </c>
      <c r="AY169" s="19" t="n">
        <f aca="false">IF(AND('Bonding Program'!$S$28=1,AY$3='Bonding Program'!$H$28),'Bonding Program'!$AA$28,0)-IF(AY$3&lt;='Bonding Program'!$C$8,IF(AND('Bonding Program'!$K$28&lt;&gt;"",AY$3='Bonding Program'!$K$28),'Bonding Program'!$J$28,0)-IF(AND('Bonding Program'!$M$28&lt;&gt;"",AY$3='Bonding Program'!$M$28),'Bonding Program'!$L$28,0)-IF(AND('Bonding Program'!$P$28&lt;&gt;"",AY$3='Bonding Program'!$P$28),'Bonding Program'!$O$28,0)-IF(AND('Bonding Program'!$R$28&lt;&gt;"",AY$3='Bonding Program'!$R$28),'Bonding Program'!$Q$28,0),0)</f>
        <v>0</v>
      </c>
      <c r="AZ169" s="19" t="n">
        <f aca="false">IF(AND('Bonding Program'!$S$28=1,AZ$3='Bonding Program'!$H$28),'Bonding Program'!$AA$28,0)-IF(AZ$3&lt;='Bonding Program'!$C$8,IF(AND('Bonding Program'!$K$28&lt;&gt;"",AZ$3='Bonding Program'!$K$28),'Bonding Program'!$J$28,0)-IF(AND('Bonding Program'!$M$28&lt;&gt;"",AZ$3='Bonding Program'!$M$28),'Bonding Program'!$L$28,0)-IF(AND('Bonding Program'!$P$28&lt;&gt;"",AZ$3='Bonding Program'!$P$28),'Bonding Program'!$O$28,0)-IF(AND('Bonding Program'!$R$28&lt;&gt;"",AZ$3='Bonding Program'!$R$28),'Bonding Program'!$Q$28,0),0)</f>
        <v>0</v>
      </c>
      <c r="BA169" s="19" t="n">
        <f aca="false">IF(AND('Bonding Program'!$S$28=1,BA$3='Bonding Program'!$H$28),'Bonding Program'!$AA$28,0)-IF(BA$3&lt;='Bonding Program'!$C$8,IF(AND('Bonding Program'!$K$28&lt;&gt;"",BA$3='Bonding Program'!$K$28),'Bonding Program'!$J$28,0)-IF(AND('Bonding Program'!$M$28&lt;&gt;"",BA$3='Bonding Program'!$M$28),'Bonding Program'!$L$28,0)-IF(AND('Bonding Program'!$P$28&lt;&gt;"",BA$3='Bonding Program'!$P$28),'Bonding Program'!$O$28,0)-IF(AND('Bonding Program'!$R$28&lt;&gt;"",BA$3='Bonding Program'!$R$28),'Bonding Program'!$Q$28,0),0)</f>
        <v>0</v>
      </c>
      <c r="BB169" s="19" t="n">
        <f aca="false">IF(AND('Bonding Program'!$S$28=1,BB$3='Bonding Program'!$H$28),'Bonding Program'!$AA$28,0)-IF(BB$3&lt;='Bonding Program'!$C$8,IF(AND('Bonding Program'!$K$28&lt;&gt;"",BB$3='Bonding Program'!$K$28),'Bonding Program'!$J$28,0)-IF(AND('Bonding Program'!$M$28&lt;&gt;"",BB$3='Bonding Program'!$M$28),'Bonding Program'!$L$28,0)-IF(AND('Bonding Program'!$P$28&lt;&gt;"",BB$3='Bonding Program'!$P$28),'Bonding Program'!$O$28,0)-IF(AND('Bonding Program'!$R$28&lt;&gt;"",BB$3='Bonding Program'!$R$28),'Bonding Program'!$Q$28,0),0)</f>
        <v>0</v>
      </c>
      <c r="BC169" s="19" t="n">
        <f aca="false">IF(AND('Bonding Program'!$S$28=1,BC$3='Bonding Program'!$H$28),'Bonding Program'!$AA$28,0)-IF(BC$3&lt;='Bonding Program'!$C$8,IF(AND('Bonding Program'!$K$28&lt;&gt;"",BC$3='Bonding Program'!$K$28),'Bonding Program'!$J$28,0)-IF(AND('Bonding Program'!$M$28&lt;&gt;"",BC$3='Bonding Program'!$M$28),'Bonding Program'!$L$28,0)-IF(AND('Bonding Program'!$P$28&lt;&gt;"",BC$3='Bonding Program'!$P$28),'Bonding Program'!$O$28,0)-IF(AND('Bonding Program'!$R$28&lt;&gt;"",BC$3='Bonding Program'!$R$28),'Bonding Program'!$Q$28,0),0)</f>
        <v>0</v>
      </c>
      <c r="BD169" s="19" t="n">
        <f aca="false">IF(AND('Bonding Program'!$S$28=1,BD$3='Bonding Program'!$H$28),'Bonding Program'!$AA$28,0)-IF(BD$3&lt;='Bonding Program'!$C$8,IF(AND('Bonding Program'!$K$28&lt;&gt;"",BD$3='Bonding Program'!$K$28),'Bonding Program'!$J$28,0)-IF(AND('Bonding Program'!$M$28&lt;&gt;"",BD$3='Bonding Program'!$M$28),'Bonding Program'!$L$28,0)-IF(AND('Bonding Program'!$P$28&lt;&gt;"",BD$3='Bonding Program'!$P$28),'Bonding Program'!$O$28,0)-IF(AND('Bonding Program'!$R$28&lt;&gt;"",BD$3='Bonding Program'!$R$28),'Bonding Program'!$Q$28,0),0)</f>
        <v>0</v>
      </c>
      <c r="BE169" s="19" t="n">
        <f aca="false">IF(AND('Bonding Program'!$S$28=1,BE$3='Bonding Program'!$H$28),'Bonding Program'!$AA$28,0)-IF(BE$3&lt;='Bonding Program'!$C$8,IF(AND('Bonding Program'!$K$28&lt;&gt;"",BE$3='Bonding Program'!$K$28),'Bonding Program'!$J$28,0)-IF(AND('Bonding Program'!$M$28&lt;&gt;"",BE$3='Bonding Program'!$M$28),'Bonding Program'!$L$28,0)-IF(AND('Bonding Program'!$P$28&lt;&gt;"",BE$3='Bonding Program'!$P$28),'Bonding Program'!$O$28,0)-IF(AND('Bonding Program'!$R$28&lt;&gt;"",BE$3='Bonding Program'!$R$28),'Bonding Program'!$Q$28,0),0)</f>
        <v>0</v>
      </c>
      <c r="BF169" s="19" t="n">
        <f aca="false">IF(AND('Bonding Program'!$S$28=1,BF$3='Bonding Program'!$H$28),'Bonding Program'!$AA$28,0)-IF(BF$3&lt;='Bonding Program'!$C$8,IF(AND('Bonding Program'!$K$28&lt;&gt;"",BF$3='Bonding Program'!$K$28),'Bonding Program'!$J$28,0)-IF(AND('Bonding Program'!$M$28&lt;&gt;"",BF$3='Bonding Program'!$M$28),'Bonding Program'!$L$28,0)-IF(AND('Bonding Program'!$P$28&lt;&gt;"",BF$3='Bonding Program'!$P$28),'Bonding Program'!$O$28,0)-IF(AND('Bonding Program'!$R$28&lt;&gt;"",BF$3='Bonding Program'!$R$28),'Bonding Program'!$Q$28,0),0)</f>
        <v>0</v>
      </c>
      <c r="BG169" s="19" t="n">
        <f aca="false">IF(AND('Bonding Program'!$S$28=1,BG$3='Bonding Program'!$H$28),'Bonding Program'!$AA$28,0)-IF(BG$3&lt;='Bonding Program'!$C$8,IF(AND('Bonding Program'!$K$28&lt;&gt;"",BG$3='Bonding Program'!$K$28),'Bonding Program'!$J$28,0)-IF(AND('Bonding Program'!$M$28&lt;&gt;"",BG$3='Bonding Program'!$M$28),'Bonding Program'!$L$28,0)-IF(AND('Bonding Program'!$P$28&lt;&gt;"",BG$3='Bonding Program'!$P$28),'Bonding Program'!$O$28,0)-IF(AND('Bonding Program'!$R$28&lt;&gt;"",BG$3='Bonding Program'!$R$28),'Bonding Program'!$Q$28,0),0)</f>
        <v>0</v>
      </c>
      <c r="BH169" s="19" t="n">
        <f aca="false">IF(AND('Bonding Program'!$S$28=1,BH$3='Bonding Program'!$H$28),'Bonding Program'!$AA$28,0)-IF(BH$3&lt;='Bonding Program'!$C$8,IF(AND('Bonding Program'!$K$28&lt;&gt;"",BH$3='Bonding Program'!$K$28),'Bonding Program'!$J$28,0)-IF(AND('Bonding Program'!$M$28&lt;&gt;"",BH$3='Bonding Program'!$M$28),'Bonding Program'!$L$28,0)-IF(AND('Bonding Program'!$P$28&lt;&gt;"",BH$3='Bonding Program'!$P$28),'Bonding Program'!$O$28,0)-IF(AND('Bonding Program'!$R$28&lt;&gt;"",BH$3='Bonding Program'!$R$28),'Bonding Program'!$Q$28,0),0)</f>
        <v>0</v>
      </c>
      <c r="BI169" s="19" t="n">
        <f aca="false">IF(AND('Bonding Program'!$S$28=1,BI$3='Bonding Program'!$H$28),'Bonding Program'!$AA$28,0)-IF(BI$3&lt;='Bonding Program'!$C$8,IF(AND('Bonding Program'!$K$28&lt;&gt;"",BI$3='Bonding Program'!$K$28),'Bonding Program'!$J$28,0)-IF(AND('Bonding Program'!$M$28&lt;&gt;"",BI$3='Bonding Program'!$M$28),'Bonding Program'!$L$28,0)-IF(AND('Bonding Program'!$P$28&lt;&gt;"",BI$3='Bonding Program'!$P$28),'Bonding Program'!$O$28,0)-IF(AND('Bonding Program'!$R$28&lt;&gt;"",BI$3='Bonding Program'!$R$28),'Bonding Program'!$Q$28,0),0)</f>
        <v>0</v>
      </c>
      <c r="BJ169" s="19" t="n">
        <f aca="false">IF(AND('Bonding Program'!$S$28=1,BJ$3='Bonding Program'!$H$28),'Bonding Program'!$AA$28,0)-IF(BJ$3&lt;='Bonding Program'!$C$8,IF(AND('Bonding Program'!$K$28&lt;&gt;"",BJ$3='Bonding Program'!$K$28),'Bonding Program'!$J$28,0)-IF(AND('Bonding Program'!$M$28&lt;&gt;"",BJ$3='Bonding Program'!$M$28),'Bonding Program'!$L$28,0)-IF(AND('Bonding Program'!$P$28&lt;&gt;"",BJ$3='Bonding Program'!$P$28),'Bonding Program'!$O$28,0)-IF(AND('Bonding Program'!$R$28&lt;&gt;"",BJ$3='Bonding Program'!$R$28),'Bonding Program'!$Q$28,0),0)</f>
        <v>0</v>
      </c>
      <c r="BK169" s="19" t="n">
        <f aca="false">IF(AND('Bonding Program'!$S$28=1,BK$3='Bonding Program'!$H$28),'Bonding Program'!$AA$28,0)-IF(BK$3&lt;='Bonding Program'!$C$8,IF(AND('Bonding Program'!$K$28&lt;&gt;"",BK$3='Bonding Program'!$K$28),'Bonding Program'!$J$28,0)-IF(AND('Bonding Program'!$M$28&lt;&gt;"",BK$3='Bonding Program'!$M$28),'Bonding Program'!$L$28,0)-IF(AND('Bonding Program'!$P$28&lt;&gt;"",BK$3='Bonding Program'!$P$28),'Bonding Program'!$O$28,0)-IF(AND('Bonding Program'!$R$28&lt;&gt;"",BK$3='Bonding Program'!$R$28),'Bonding Program'!$Q$28,0),0)</f>
        <v>0</v>
      </c>
      <c r="BL169" s="19" t="n">
        <f aca="false">IF(AND('Bonding Program'!$S$28=1,BL$3='Bonding Program'!$H$28),'Bonding Program'!$AA$28,0)-IF(BL$3&lt;='Bonding Program'!$C$8,IF(AND('Bonding Program'!$K$28&lt;&gt;"",BL$3='Bonding Program'!$K$28),'Bonding Program'!$J$28,0)-IF(AND('Bonding Program'!$M$28&lt;&gt;"",BL$3='Bonding Program'!$M$28),'Bonding Program'!$L$28,0)-IF(AND('Bonding Program'!$P$28&lt;&gt;"",BL$3='Bonding Program'!$P$28),'Bonding Program'!$O$28,0)-IF(AND('Bonding Program'!$R$28&lt;&gt;"",BL$3='Bonding Program'!$R$28),'Bonding Program'!$Q$28,0),0)</f>
        <v>0</v>
      </c>
      <c r="BM169" s="19" t="n">
        <f aca="false">IF(AND('Bonding Program'!$S$28=1,BM$3='Bonding Program'!$H$28),'Bonding Program'!$AA$28,0)-IF(BM$3&lt;='Bonding Program'!$C$8,IF(AND('Bonding Program'!$K$28&lt;&gt;"",BM$3='Bonding Program'!$K$28),'Bonding Program'!$J$28,0)-IF(AND('Bonding Program'!$M$28&lt;&gt;"",BM$3='Bonding Program'!$M$28),'Bonding Program'!$L$28,0)-IF(AND('Bonding Program'!$P$28&lt;&gt;"",BM$3='Bonding Program'!$P$28),'Bonding Program'!$O$28,0)-IF(AND('Bonding Program'!$R$28&lt;&gt;"",BM$3='Bonding Program'!$R$28),'Bonding Program'!$Q$28,0),0)</f>
        <v>0</v>
      </c>
      <c r="BN169" s="19" t="n">
        <f aca="false">IF(AND('Bonding Program'!$S$28=1,BN$3='Bonding Program'!$H$28),'Bonding Program'!$AA$28,0)-IF(BN$3&lt;='Bonding Program'!$C$8,IF(AND('Bonding Program'!$K$28&lt;&gt;"",BN$3='Bonding Program'!$K$28),'Bonding Program'!$J$28,0)-IF(AND('Bonding Program'!$M$28&lt;&gt;"",BN$3='Bonding Program'!$M$28),'Bonding Program'!$L$28,0)-IF(AND('Bonding Program'!$P$28&lt;&gt;"",BN$3='Bonding Program'!$P$28),'Bonding Program'!$O$28,0)-IF(AND('Bonding Program'!$R$28&lt;&gt;"",BN$3='Bonding Program'!$R$28),'Bonding Program'!$Q$28,0),0)</f>
        <v>0</v>
      </c>
      <c r="BO169" s="19" t="n">
        <f aca="false">IF(AND('Bonding Program'!$S$28=1,BO$3='Bonding Program'!$H$28),'Bonding Program'!$AA$28,0)-IF(BO$3&lt;='Bonding Program'!$C$8,IF(AND('Bonding Program'!$K$28&lt;&gt;"",BO$3='Bonding Program'!$K$28),'Bonding Program'!$J$28,0)-IF(AND('Bonding Program'!$M$28&lt;&gt;"",BO$3='Bonding Program'!$M$28),'Bonding Program'!$L$28,0)-IF(AND('Bonding Program'!$P$28&lt;&gt;"",BO$3='Bonding Program'!$P$28),'Bonding Program'!$O$28,0)-IF(AND('Bonding Program'!$R$28&lt;&gt;"",BO$3='Bonding Program'!$R$28),'Bonding Program'!$Q$28,0),0)</f>
        <v>0</v>
      </c>
      <c r="BP169" s="19" t="n">
        <f aca="false">IF(AND('Bonding Program'!$S$28=1,BP$3='Bonding Program'!$H$28),'Bonding Program'!$AA$28,0)-IF(BP$3&lt;='Bonding Program'!$C$8,IF(AND('Bonding Program'!$K$28&lt;&gt;"",BP$3='Bonding Program'!$K$28),'Bonding Program'!$J$28,0)-IF(AND('Bonding Program'!$M$28&lt;&gt;"",BP$3='Bonding Program'!$M$28),'Bonding Program'!$L$28,0)-IF(AND('Bonding Program'!$P$28&lt;&gt;"",BP$3='Bonding Program'!$P$28),'Bonding Program'!$O$28,0)-IF(AND('Bonding Program'!$R$28&lt;&gt;"",BP$3='Bonding Program'!$R$28),'Bonding Program'!$Q$28,0),0)</f>
        <v>0</v>
      </c>
      <c r="BQ169" s="19" t="n">
        <f aca="false">IF(AND('Bonding Program'!$S$28=1,BQ$3='Bonding Program'!$H$28),'Bonding Program'!$AA$28,0)-IF(BQ$3&lt;='Bonding Program'!$C$8,IF(AND('Bonding Program'!$K$28&lt;&gt;"",BQ$3='Bonding Program'!$K$28),'Bonding Program'!$J$28,0)-IF(AND('Bonding Program'!$M$28&lt;&gt;"",BQ$3='Bonding Program'!$M$28),'Bonding Program'!$L$28,0)-IF(AND('Bonding Program'!$P$28&lt;&gt;"",BQ$3='Bonding Program'!$P$28),'Bonding Program'!$O$28,0)-IF(AND('Bonding Program'!$R$28&lt;&gt;"",BQ$3='Bonding Program'!$R$28),'Bonding Program'!$Q$28,0),0)</f>
        <v>0</v>
      </c>
      <c r="BR169" s="19" t="n">
        <f aca="false">IF(AND('Bonding Program'!$S$28=1,BR$3='Bonding Program'!$H$28),'Bonding Program'!$AA$28,0)-IF(BR$3&lt;='Bonding Program'!$C$8,IF(AND('Bonding Program'!$K$28&lt;&gt;"",BR$3='Bonding Program'!$K$28),'Bonding Program'!$J$28,0)-IF(AND('Bonding Program'!$M$28&lt;&gt;"",BR$3='Bonding Program'!$M$28),'Bonding Program'!$L$28,0)-IF(AND('Bonding Program'!$P$28&lt;&gt;"",BR$3='Bonding Program'!$P$28),'Bonding Program'!$O$28,0)-IF(AND('Bonding Program'!$R$28&lt;&gt;"",BR$3='Bonding Program'!$R$28),'Bonding Program'!$Q$28,0),0)</f>
        <v>0</v>
      </c>
      <c r="BS169" s="19" t="n">
        <f aca="false">IF(AND('Bonding Program'!$S$28=1,BS$3='Bonding Program'!$H$28),'Bonding Program'!$AA$28,0)-IF(BS$3&lt;='Bonding Program'!$C$8,IF(AND('Bonding Program'!$K$28&lt;&gt;"",BS$3='Bonding Program'!$K$28),'Bonding Program'!$J$28,0)-IF(AND('Bonding Program'!$M$28&lt;&gt;"",BS$3='Bonding Program'!$M$28),'Bonding Program'!$L$28,0)-IF(AND('Bonding Program'!$P$28&lt;&gt;"",BS$3='Bonding Program'!$P$28),'Bonding Program'!$O$28,0)-IF(AND('Bonding Program'!$R$28&lt;&gt;"",BS$3='Bonding Program'!$R$28),'Bonding Program'!$Q$28,0),0)</f>
        <v>0</v>
      </c>
      <c r="BT169" s="19" t="n">
        <f aca="false">IF(AND('Bonding Program'!$S$28=1,BT$3='Bonding Program'!$H$28),'Bonding Program'!$AA$28,0)-IF(BT$3&lt;='Bonding Program'!$C$8,IF(AND('Bonding Program'!$K$28&lt;&gt;"",BT$3='Bonding Program'!$K$28),'Bonding Program'!$J$28,0)-IF(AND('Bonding Program'!$M$28&lt;&gt;"",BT$3='Bonding Program'!$M$28),'Bonding Program'!$L$28,0)-IF(AND('Bonding Program'!$P$28&lt;&gt;"",BT$3='Bonding Program'!$P$28),'Bonding Program'!$O$28,0)-IF(AND('Bonding Program'!$R$28&lt;&gt;"",BT$3='Bonding Program'!$R$28),'Bonding Program'!$Q$28,0),0)</f>
        <v>0</v>
      </c>
      <c r="BU169" s="19" t="n">
        <f aca="false">IF(AND('Bonding Program'!$S$28=1,BU$3='Bonding Program'!$H$28),'Bonding Program'!$AA$28,0)-IF(BU$3&lt;='Bonding Program'!$C$8,IF(AND('Bonding Program'!$K$28&lt;&gt;"",BU$3='Bonding Program'!$K$28),'Bonding Program'!$J$28,0)-IF(AND('Bonding Program'!$M$28&lt;&gt;"",BU$3='Bonding Program'!$M$28),'Bonding Program'!$L$28,0)-IF(AND('Bonding Program'!$P$28&lt;&gt;"",BU$3='Bonding Program'!$P$28),'Bonding Program'!$O$28,0)-IF(AND('Bonding Program'!$R$28&lt;&gt;"",BU$3='Bonding Program'!$R$28),'Bonding Program'!$Q$28,0),0)</f>
        <v>0</v>
      </c>
      <c r="BV169" s="19" t="n">
        <f aca="false">IF(AND('Bonding Program'!$S$28=1,BV$3='Bonding Program'!$H$28),'Bonding Program'!$AA$28,0)-IF(BV$3&lt;='Bonding Program'!$C$8,IF(AND('Bonding Program'!$K$28&lt;&gt;"",BV$3='Bonding Program'!$K$28),'Bonding Program'!$J$28,0)-IF(AND('Bonding Program'!$M$28&lt;&gt;"",BV$3='Bonding Program'!$M$28),'Bonding Program'!$L$28,0)-IF(AND('Bonding Program'!$P$28&lt;&gt;"",BV$3='Bonding Program'!$P$28),'Bonding Program'!$O$28,0)-IF(AND('Bonding Program'!$R$28&lt;&gt;"",BV$3='Bonding Program'!$R$28),'Bonding Program'!$Q$28,0),0)</f>
        <v>0</v>
      </c>
      <c r="BW169" s="19" t="n">
        <f aca="false">IF(AND('Bonding Program'!$S$28=1,BW$3='Bonding Program'!$H$28),'Bonding Program'!$AA$28,0)-IF(BW$3&lt;='Bonding Program'!$C$8,IF(AND('Bonding Program'!$K$28&lt;&gt;"",BW$3='Bonding Program'!$K$28),'Bonding Program'!$J$28,0)-IF(AND('Bonding Program'!$M$28&lt;&gt;"",BW$3='Bonding Program'!$M$28),'Bonding Program'!$L$28,0)-IF(AND('Bonding Program'!$P$28&lt;&gt;"",BW$3='Bonding Program'!$P$28),'Bonding Program'!$O$28,0)-IF(AND('Bonding Program'!$R$28&lt;&gt;"",BW$3='Bonding Program'!$R$28),'Bonding Program'!$Q$28,0),0)</f>
        <v>0</v>
      </c>
      <c r="BX169" s="19" t="n">
        <f aca="false">IF(AND('Bonding Program'!$S$28=1,BX$3='Bonding Program'!$H$28),'Bonding Program'!$AA$28,0)-IF(BX$3&lt;='Bonding Program'!$C$8,IF(AND('Bonding Program'!$K$28&lt;&gt;"",BX$3='Bonding Program'!$K$28),'Bonding Program'!$J$28,0)-IF(AND('Bonding Program'!$M$28&lt;&gt;"",BX$3='Bonding Program'!$M$28),'Bonding Program'!$L$28,0)-IF(AND('Bonding Program'!$P$28&lt;&gt;"",BX$3='Bonding Program'!$P$28),'Bonding Program'!$O$28,0)-IF(AND('Bonding Program'!$R$28&lt;&gt;"",BX$3='Bonding Program'!$R$28),'Bonding Program'!$Q$28,0),0)</f>
        <v>0</v>
      </c>
      <c r="BY169" s="19" t="n">
        <f aca="false">IF(AND('Bonding Program'!$S$28=1,BY$3='Bonding Program'!$H$28),'Bonding Program'!$AA$28,0)-IF(BY$3&lt;='Bonding Program'!$C$8,IF(AND('Bonding Program'!$K$28&lt;&gt;"",BY$3='Bonding Program'!$K$28),'Bonding Program'!$J$28,0)-IF(AND('Bonding Program'!$M$28&lt;&gt;"",BY$3='Bonding Program'!$M$28),'Bonding Program'!$L$28,0)-IF(AND('Bonding Program'!$P$28&lt;&gt;"",BY$3='Bonding Program'!$P$28),'Bonding Program'!$O$28,0)-IF(AND('Bonding Program'!$R$28&lt;&gt;"",BY$3='Bonding Program'!$R$28),'Bonding Program'!$Q$28,0),0)</f>
        <v>0</v>
      </c>
      <c r="BZ169" s="19" t="n">
        <f aca="false">IF(AND('Bonding Program'!$S$28=1,BZ$3='Bonding Program'!$H$28),'Bonding Program'!$AA$28,0)-IF(BZ$3&lt;='Bonding Program'!$C$8,IF(AND('Bonding Program'!$K$28&lt;&gt;"",BZ$3='Bonding Program'!$K$28),'Bonding Program'!$J$28,0)-IF(AND('Bonding Program'!$M$28&lt;&gt;"",BZ$3='Bonding Program'!$M$28),'Bonding Program'!$L$28,0)-IF(AND('Bonding Program'!$P$28&lt;&gt;"",BZ$3='Bonding Program'!$P$28),'Bonding Program'!$O$28,0)-IF(AND('Bonding Program'!$R$28&lt;&gt;"",BZ$3='Bonding Program'!$R$28),'Bonding Program'!$Q$28,0),0)</f>
        <v>0</v>
      </c>
      <c r="CA169" s="19" t="n">
        <f aca="false">IF(AND('Bonding Program'!$S$28=1,CA$3='Bonding Program'!$H$28),'Bonding Program'!$AA$28,0)-IF(CA$3&lt;='Bonding Program'!$C$8,IF(AND('Bonding Program'!$K$28&lt;&gt;"",CA$3='Bonding Program'!$K$28),'Bonding Program'!$J$28,0)-IF(AND('Bonding Program'!$M$28&lt;&gt;"",CA$3='Bonding Program'!$M$28),'Bonding Program'!$L$28,0)-IF(AND('Bonding Program'!$P$28&lt;&gt;"",CA$3='Bonding Program'!$P$28),'Bonding Program'!$O$28,0)-IF(AND('Bonding Program'!$R$28&lt;&gt;"",CA$3='Bonding Program'!$R$28),'Bonding Program'!$Q$28,0),0)</f>
        <v>0</v>
      </c>
      <c r="CB169" s="19" t="n">
        <f aca="false">IF(AND('Bonding Program'!$S$28=1,CB$3='Bonding Program'!$H$28),'Bonding Program'!$AA$28,0)-IF(CB$3&lt;='Bonding Program'!$C$8,IF(AND('Bonding Program'!$K$28&lt;&gt;"",CB$3='Bonding Program'!$K$28),'Bonding Program'!$J$28,0)-IF(AND('Bonding Program'!$M$28&lt;&gt;"",CB$3='Bonding Program'!$M$28),'Bonding Program'!$L$28,0)-IF(AND('Bonding Program'!$P$28&lt;&gt;"",CB$3='Bonding Program'!$P$28),'Bonding Program'!$O$28,0)-IF(AND('Bonding Program'!$R$28&lt;&gt;"",CB$3='Bonding Program'!$R$28),'Bonding Program'!$Q$28,0),0)</f>
        <v>0</v>
      </c>
      <c r="CC169" s="19" t="n">
        <f aca="false">IF(AND('Bonding Program'!$S$28=1,CC$3='Bonding Program'!$H$28),'Bonding Program'!$AA$28,0)-IF(CC$3&lt;='Bonding Program'!$C$8,IF(AND('Bonding Program'!$K$28&lt;&gt;"",CC$3='Bonding Program'!$K$28),'Bonding Program'!$J$28,0)-IF(AND('Bonding Program'!$M$28&lt;&gt;"",CC$3='Bonding Program'!$M$28),'Bonding Program'!$L$28,0)-IF(AND('Bonding Program'!$P$28&lt;&gt;"",CC$3='Bonding Program'!$P$28),'Bonding Program'!$O$28,0)-IF(AND('Bonding Program'!$R$28&lt;&gt;"",CC$3='Bonding Program'!$R$28),'Bonding Program'!$Q$28,0),0)</f>
        <v>0</v>
      </c>
      <c r="CD169" s="19" t="n">
        <f aca="false">IF(AND('Bonding Program'!$S$28=1,CD$3='Bonding Program'!$H$28),'Bonding Program'!$AA$28,0)-IF(CD$3&lt;='Bonding Program'!$C$8,IF(AND('Bonding Program'!$K$28&lt;&gt;"",CD$3='Bonding Program'!$K$28),'Bonding Program'!$J$28,0)-IF(AND('Bonding Program'!$M$28&lt;&gt;"",CD$3='Bonding Program'!$M$28),'Bonding Program'!$L$28,0)-IF(AND('Bonding Program'!$P$28&lt;&gt;"",CD$3='Bonding Program'!$P$28),'Bonding Program'!$O$28,0)-IF(AND('Bonding Program'!$R$28&lt;&gt;"",CD$3='Bonding Program'!$R$28),'Bonding Program'!$Q$28,0),0)</f>
        <v>0</v>
      </c>
      <c r="CE169" s="19" t="n">
        <f aca="false">IF(AND('Bonding Program'!$S$28=1,CE$3='Bonding Program'!$H$28),'Bonding Program'!$AA$28,0)-IF(CE$3&lt;='Bonding Program'!$C$8,IF(AND('Bonding Program'!$K$28&lt;&gt;"",CE$3='Bonding Program'!$K$28),'Bonding Program'!$J$28,0)-IF(AND('Bonding Program'!$M$28&lt;&gt;"",CE$3='Bonding Program'!$M$28),'Bonding Program'!$L$28,0)-IF(AND('Bonding Program'!$P$28&lt;&gt;"",CE$3='Bonding Program'!$P$28),'Bonding Program'!$O$28,0)-IF(AND('Bonding Program'!$R$28&lt;&gt;"",CE$3='Bonding Program'!$R$28),'Bonding Program'!$Q$28,0),0)</f>
        <v>0</v>
      </c>
      <c r="CF169" s="19" t="n">
        <f aca="false">IF(AND('Bonding Program'!$S$28=1,CF$3='Bonding Program'!$H$28),'Bonding Program'!$AA$28,0)-IF(CF$3&lt;='Bonding Program'!$C$8,IF(AND('Bonding Program'!$K$28&lt;&gt;"",CF$3='Bonding Program'!$K$28),'Bonding Program'!$J$28,0)-IF(AND('Bonding Program'!$M$28&lt;&gt;"",CF$3='Bonding Program'!$M$28),'Bonding Program'!$L$28,0)-IF(AND('Bonding Program'!$P$28&lt;&gt;"",CF$3='Bonding Program'!$P$28),'Bonding Program'!$O$28,0)-IF(AND('Bonding Program'!$R$28&lt;&gt;"",CF$3='Bonding Program'!$R$28),'Bonding Program'!$Q$28,0),0)</f>
        <v>0</v>
      </c>
      <c r="CG169" s="19" t="n">
        <f aca="false">IF(AND('Bonding Program'!$S$28=1,CG$3='Bonding Program'!$H$28),'Bonding Program'!$AA$28,0)-IF(CG$3&lt;='Bonding Program'!$C$8,IF(AND('Bonding Program'!$K$28&lt;&gt;"",CG$3='Bonding Program'!$K$28),'Bonding Program'!$J$28,0)-IF(AND('Bonding Program'!$M$28&lt;&gt;"",CG$3='Bonding Program'!$M$28),'Bonding Program'!$L$28,0)-IF(AND('Bonding Program'!$P$28&lt;&gt;"",CG$3='Bonding Program'!$P$28),'Bonding Program'!$O$28,0)-IF(AND('Bonding Program'!$R$28&lt;&gt;"",CG$3='Bonding Program'!$R$28),'Bonding Program'!$Q$28,0),0)</f>
        <v>0</v>
      </c>
      <c r="CH169" s="19" t="n">
        <f aca="false">IF(AND('Bonding Program'!$S$28=1,CH$3='Bonding Program'!$H$28),'Bonding Program'!$AA$28,0)-IF(CH$3&lt;='Bonding Program'!$C$8,IF(AND('Bonding Program'!$K$28&lt;&gt;"",CH$3='Bonding Program'!$K$28),'Bonding Program'!$J$28,0)-IF(AND('Bonding Program'!$M$28&lt;&gt;"",CH$3='Bonding Program'!$M$28),'Bonding Program'!$L$28,0)-IF(AND('Bonding Program'!$P$28&lt;&gt;"",CH$3='Bonding Program'!$P$28),'Bonding Program'!$O$28,0)-IF(AND('Bonding Program'!$R$28&lt;&gt;"",CH$3='Bonding Program'!$R$28),'Bonding Program'!$Q$28,0),0)</f>
        <v>0</v>
      </c>
      <c r="CI169" s="19" t="n">
        <f aca="false">IF(AND('Bonding Program'!$S$28=1,CI$3='Bonding Program'!$H$28),'Bonding Program'!$AA$28,0)-IF(CI$3&lt;='Bonding Program'!$C$8,IF(AND('Bonding Program'!$K$28&lt;&gt;"",CI$3='Bonding Program'!$K$28),'Bonding Program'!$J$28,0)-IF(AND('Bonding Program'!$M$28&lt;&gt;"",CI$3='Bonding Program'!$M$28),'Bonding Program'!$L$28,0)-IF(AND('Bonding Program'!$P$28&lt;&gt;"",CI$3='Bonding Program'!$P$28),'Bonding Program'!$O$28,0)-IF(AND('Bonding Program'!$R$28&lt;&gt;"",CI$3='Bonding Program'!$R$28),'Bonding Program'!$Q$28,0),0)</f>
        <v>0</v>
      </c>
      <c r="CJ169" s="19" t="n">
        <f aca="false">IF(AND('Bonding Program'!$S$28=1,CJ$3='Bonding Program'!$H$28),'Bonding Program'!$AA$28,0)-IF(CJ$3&lt;='Bonding Program'!$C$8,IF(AND('Bonding Program'!$K$28&lt;&gt;"",CJ$3='Bonding Program'!$K$28),'Bonding Program'!$J$28,0)-IF(AND('Bonding Program'!$M$28&lt;&gt;"",CJ$3='Bonding Program'!$M$28),'Bonding Program'!$L$28,0)-IF(AND('Bonding Program'!$P$28&lt;&gt;"",CJ$3='Bonding Program'!$P$28),'Bonding Program'!$O$28,0)-IF(AND('Bonding Program'!$R$28&lt;&gt;"",CJ$3='Bonding Program'!$R$28),'Bonding Program'!$Q$28,0),0)</f>
        <v>0</v>
      </c>
      <c r="CK169" s="19" t="n">
        <f aca="false">IF(AND('Bonding Program'!$S$28=1,CK$3='Bonding Program'!$H$28),'Bonding Program'!$AA$28,0)-IF(CK$3&lt;='Bonding Program'!$C$8,IF(AND('Bonding Program'!$K$28&lt;&gt;"",CK$3='Bonding Program'!$K$28),'Bonding Program'!$J$28,0)-IF(AND('Bonding Program'!$M$28&lt;&gt;"",CK$3='Bonding Program'!$M$28),'Bonding Program'!$L$28,0)-IF(AND('Bonding Program'!$P$28&lt;&gt;"",CK$3='Bonding Program'!$P$28),'Bonding Program'!$O$28,0)-IF(AND('Bonding Program'!$R$28&lt;&gt;"",CK$3='Bonding Program'!$R$28),'Bonding Program'!$Q$28,0),0)</f>
        <v>0</v>
      </c>
      <c r="CL169" s="19" t="n">
        <f aca="false">IF(AND('Bonding Program'!$S$28=1,CL$3='Bonding Program'!$H$28),'Bonding Program'!$AA$28,0)-IF(CL$3&lt;='Bonding Program'!$C$8,IF(AND('Bonding Program'!$K$28&lt;&gt;"",CL$3='Bonding Program'!$K$28),'Bonding Program'!$J$28,0)-IF(AND('Bonding Program'!$M$28&lt;&gt;"",CL$3='Bonding Program'!$M$28),'Bonding Program'!$L$28,0)-IF(AND('Bonding Program'!$P$28&lt;&gt;"",CL$3='Bonding Program'!$P$28),'Bonding Program'!$O$28,0)-IF(AND('Bonding Program'!$R$28&lt;&gt;"",CL$3='Bonding Program'!$R$28),'Bonding Program'!$Q$28,0),0)</f>
        <v>0</v>
      </c>
      <c r="CM169" s="19" t="n">
        <f aca="false">IF(AND('Bonding Program'!$S$28=1,CM$3='Bonding Program'!$H$28),'Bonding Program'!$AA$28,0)-IF(CM$3&lt;='Bonding Program'!$C$8,IF(AND('Bonding Program'!$K$28&lt;&gt;"",CM$3='Bonding Program'!$K$28),'Bonding Program'!$J$28,0)-IF(AND('Bonding Program'!$M$28&lt;&gt;"",CM$3='Bonding Program'!$M$28),'Bonding Program'!$L$28,0)-IF(AND('Bonding Program'!$P$28&lt;&gt;"",CM$3='Bonding Program'!$P$28),'Bonding Program'!$O$28,0)-IF(AND('Bonding Program'!$R$28&lt;&gt;"",CM$3='Bonding Program'!$R$28),'Bonding Program'!$Q$28,0),0)</f>
        <v>0</v>
      </c>
      <c r="CN169" s="19" t="n">
        <f aca="false">IF(AND('Bonding Program'!$S$28=1,CN$3='Bonding Program'!$H$28),'Bonding Program'!$AA$28,0)-IF(CN$3&lt;='Bonding Program'!$C$8,IF(AND('Bonding Program'!$K$28&lt;&gt;"",CN$3='Bonding Program'!$K$28),'Bonding Program'!$J$28,0)-IF(AND('Bonding Program'!$M$28&lt;&gt;"",CN$3='Bonding Program'!$M$28),'Bonding Program'!$L$28,0)-IF(AND('Bonding Program'!$P$28&lt;&gt;"",CN$3='Bonding Program'!$P$28),'Bonding Program'!$O$28,0)-IF(AND('Bonding Program'!$R$28&lt;&gt;"",CN$3='Bonding Program'!$R$28),'Bonding Program'!$Q$28,0),0)</f>
        <v>0</v>
      </c>
      <c r="CO169" s="19" t="n">
        <f aca="false">IF(AND('Bonding Program'!$S$28=1,CO$3='Bonding Program'!$H$28),'Bonding Program'!$AA$28,0)-IF(CO$3&lt;='Bonding Program'!$C$8,IF(AND('Bonding Program'!$K$28&lt;&gt;"",CO$3='Bonding Program'!$K$28),'Bonding Program'!$J$28,0)-IF(AND('Bonding Program'!$M$28&lt;&gt;"",CO$3='Bonding Program'!$M$28),'Bonding Program'!$L$28,0)-IF(AND('Bonding Program'!$P$28&lt;&gt;"",CO$3='Bonding Program'!$P$28),'Bonding Program'!$O$28,0)-IF(AND('Bonding Program'!$R$28&lt;&gt;"",CO$3='Bonding Program'!$R$28),'Bonding Program'!$Q$28,0),0)</f>
        <v>0</v>
      </c>
      <c r="CP169" s="19" t="n">
        <f aca="false">IF(AND('Bonding Program'!$S$28=1,CP$3='Bonding Program'!$H$28),'Bonding Program'!$AA$28,0)-IF(CP$3&lt;='Bonding Program'!$C$8,IF(AND('Bonding Program'!$K$28&lt;&gt;"",CP$3='Bonding Program'!$K$28),'Bonding Program'!$J$28,0)-IF(AND('Bonding Program'!$M$28&lt;&gt;"",CP$3='Bonding Program'!$M$28),'Bonding Program'!$L$28,0)-IF(AND('Bonding Program'!$P$28&lt;&gt;"",CP$3='Bonding Program'!$P$28),'Bonding Program'!$O$28,0)-IF(AND('Bonding Program'!$R$28&lt;&gt;"",CP$3='Bonding Program'!$R$28),'Bonding Program'!$Q$28,0),0)</f>
        <v>0</v>
      </c>
      <c r="CQ169" s="19" t="n">
        <f aca="false">IF(AND('Bonding Program'!$S$28=1,CQ$3='Bonding Program'!$H$28),'Bonding Program'!$AA$28,0)-IF(CQ$3&lt;='Bonding Program'!$C$8,IF(AND('Bonding Program'!$K$28&lt;&gt;"",CQ$3='Bonding Program'!$K$28),'Bonding Program'!$J$28,0)-IF(AND('Bonding Program'!$M$28&lt;&gt;"",CQ$3='Bonding Program'!$M$28),'Bonding Program'!$L$28,0)-IF(AND('Bonding Program'!$P$28&lt;&gt;"",CQ$3='Bonding Program'!$P$28),'Bonding Program'!$O$28,0)-IF(AND('Bonding Program'!$R$28&lt;&gt;"",CQ$3='Bonding Program'!$R$28),'Bonding Program'!$Q$28,0),0)</f>
        <v>0</v>
      </c>
      <c r="CR169" s="19" t="n">
        <f aca="false">IF(AND('Bonding Program'!$S$28=1,CR$3='Bonding Program'!$H$28),'Bonding Program'!$AA$28,0)-IF(CR$3&lt;='Bonding Program'!$C$8,IF(AND('Bonding Program'!$K$28&lt;&gt;"",CR$3='Bonding Program'!$K$28),'Bonding Program'!$J$28,0)-IF(AND('Bonding Program'!$M$28&lt;&gt;"",CR$3='Bonding Program'!$M$28),'Bonding Program'!$L$28,0)-IF(AND('Bonding Program'!$P$28&lt;&gt;"",CR$3='Bonding Program'!$P$28),'Bonding Program'!$O$28,0)-IF(AND('Bonding Program'!$R$28&lt;&gt;"",CR$3='Bonding Program'!$R$28),'Bonding Program'!$Q$28,0),0)</f>
        <v>0</v>
      </c>
      <c r="CS169" s="19" t="n">
        <f aca="false">IF(AND('Bonding Program'!$S$28=1,CS$3='Bonding Program'!$H$28),'Bonding Program'!$AA$28,0)-IF(CS$3&lt;='Bonding Program'!$C$8,IF(AND('Bonding Program'!$K$28&lt;&gt;"",CS$3='Bonding Program'!$K$28),'Bonding Program'!$J$28,0)-IF(AND('Bonding Program'!$M$28&lt;&gt;"",CS$3='Bonding Program'!$M$28),'Bonding Program'!$L$28,0)-IF(AND('Bonding Program'!$P$28&lt;&gt;"",CS$3='Bonding Program'!$P$28),'Bonding Program'!$O$28,0)-IF(AND('Bonding Program'!$R$28&lt;&gt;"",CS$3='Bonding Program'!$R$28),'Bonding Program'!$Q$28,0),0)</f>
        <v>0</v>
      </c>
      <c r="CT169" s="19" t="n">
        <f aca="false">IF(AND('Bonding Program'!$S$28=1,CT$3='Bonding Program'!$H$28),'Bonding Program'!$AA$28,0)-IF(CT$3&lt;='Bonding Program'!$C$8,IF(AND('Bonding Program'!$K$28&lt;&gt;"",CT$3='Bonding Program'!$K$28),'Bonding Program'!$J$28,0)-IF(AND('Bonding Program'!$M$28&lt;&gt;"",CT$3='Bonding Program'!$M$28),'Bonding Program'!$L$28,0)-IF(AND('Bonding Program'!$P$28&lt;&gt;"",CT$3='Bonding Program'!$P$28),'Bonding Program'!$O$28,0)-IF(AND('Bonding Program'!$R$28&lt;&gt;"",CT$3='Bonding Program'!$R$28),'Bonding Program'!$Q$28,0),0)</f>
        <v>0</v>
      </c>
      <c r="CU169" s="19" t="n">
        <f aca="false">IF(AND('Bonding Program'!$S$28=1,CU$3='Bonding Program'!$H$28),'Bonding Program'!$AA$28,0)-IF(CU$3&lt;='Bonding Program'!$C$8,IF(AND('Bonding Program'!$K$28&lt;&gt;"",CU$3='Bonding Program'!$K$28),'Bonding Program'!$J$28,0)-IF(AND('Bonding Program'!$M$28&lt;&gt;"",CU$3='Bonding Program'!$M$28),'Bonding Program'!$L$28,0)-IF(AND('Bonding Program'!$P$28&lt;&gt;"",CU$3='Bonding Program'!$P$28),'Bonding Program'!$O$28,0)-IF(AND('Bonding Program'!$R$28&lt;&gt;"",CU$3='Bonding Program'!$R$28),'Bonding Program'!$Q$28,0),0)</f>
        <v>0</v>
      </c>
      <c r="CV169" s="19" t="n">
        <f aca="false">IF(AND('Bonding Program'!$S$28=1,CV$3='Bonding Program'!$H$28),'Bonding Program'!$AA$28,0)-IF(CV$3&lt;='Bonding Program'!$C$8,IF(AND('Bonding Program'!$K$28&lt;&gt;"",CV$3='Bonding Program'!$K$28),'Bonding Program'!$J$28,0)-IF(AND('Bonding Program'!$M$28&lt;&gt;"",CV$3='Bonding Program'!$M$28),'Bonding Program'!$L$28,0)-IF(AND('Bonding Program'!$P$28&lt;&gt;"",CV$3='Bonding Program'!$P$28),'Bonding Program'!$O$28,0)-IF(AND('Bonding Program'!$R$28&lt;&gt;"",CV$3='Bonding Program'!$R$28),'Bonding Program'!$Q$28,0),0)</f>
        <v>0</v>
      </c>
      <c r="CW169" s="19" t="n">
        <f aca="false">IF(AND('Bonding Program'!$S$28=1,CW$3='Bonding Program'!$H$28),'Bonding Program'!$AA$28,0)-IF(CW$3&lt;='Bonding Program'!$C$8,IF(AND('Bonding Program'!$K$28&lt;&gt;"",CW$3='Bonding Program'!$K$28),'Bonding Program'!$J$28,0)-IF(AND('Bonding Program'!$M$28&lt;&gt;"",CW$3='Bonding Program'!$M$28),'Bonding Program'!$L$28,0)-IF(AND('Bonding Program'!$P$28&lt;&gt;"",CW$3='Bonding Program'!$P$28),'Bonding Program'!$O$28,0)-IF(AND('Bonding Program'!$R$28&lt;&gt;"",CW$3='Bonding Program'!$R$28),'Bonding Program'!$Q$28,0),0)</f>
        <v>0</v>
      </c>
      <c r="CX169" s="19" t="n">
        <f aca="false">IF(AND('Bonding Program'!$S$28=1,CX$3='Bonding Program'!$H$28),'Bonding Program'!$AA$28,0)-IF(CX$3&lt;='Bonding Program'!$C$8,IF(AND('Bonding Program'!$K$28&lt;&gt;"",CX$3='Bonding Program'!$K$28),'Bonding Program'!$J$28,0)-IF(AND('Bonding Program'!$M$28&lt;&gt;"",CX$3='Bonding Program'!$M$28),'Bonding Program'!$L$28,0)-IF(AND('Bonding Program'!$P$28&lt;&gt;"",CX$3='Bonding Program'!$P$28),'Bonding Program'!$O$28,0)-IF(AND('Bonding Program'!$R$28&lt;&gt;"",CX$3='Bonding Program'!$R$28),'Bonding Program'!$Q$28,0),0)</f>
        <v>0</v>
      </c>
      <c r="CY169" s="19" t="n">
        <f aca="false">IF(AND('Bonding Program'!$S$28=1,CY$3='Bonding Program'!$H$28),'Bonding Program'!$AA$28,0)-IF(CY$3&lt;='Bonding Program'!$C$8,IF(AND('Bonding Program'!$K$28&lt;&gt;"",CY$3='Bonding Program'!$K$28),'Bonding Program'!$J$28,0)-IF(AND('Bonding Program'!$M$28&lt;&gt;"",CY$3='Bonding Program'!$M$28),'Bonding Program'!$L$28,0)-IF(AND('Bonding Program'!$P$28&lt;&gt;"",CY$3='Bonding Program'!$P$28),'Bonding Program'!$O$28,0)-IF(AND('Bonding Program'!$R$28&lt;&gt;"",CY$3='Bonding Program'!$R$28),'Bonding Program'!$Q$28,0),0)</f>
        <v>0</v>
      </c>
      <c r="CZ169" s="19" t="n">
        <f aca="false">IF(AND('Bonding Program'!$S$28=1,CZ$3='Bonding Program'!$H$28),'Bonding Program'!$AA$28,0)-IF(CZ$3&lt;='Bonding Program'!$C$8,IF(AND('Bonding Program'!$K$28&lt;&gt;"",CZ$3='Bonding Program'!$K$28),'Bonding Program'!$J$28,0)-IF(AND('Bonding Program'!$M$28&lt;&gt;"",CZ$3='Bonding Program'!$M$28),'Bonding Program'!$L$28,0)-IF(AND('Bonding Program'!$P$28&lt;&gt;"",CZ$3='Bonding Program'!$P$28),'Bonding Program'!$O$28,0)-IF(AND('Bonding Program'!$R$28&lt;&gt;"",CZ$3='Bonding Program'!$R$28),'Bonding Program'!$Q$28,0),0)</f>
        <v>0</v>
      </c>
      <c r="DA169" s="19" t="n">
        <f aca="false">IF(AND('Bonding Program'!$S$28=1,DA$3='Bonding Program'!$H$28),'Bonding Program'!$AA$28,0)-IF(DA$3&lt;='Bonding Program'!$C$8,IF(AND('Bonding Program'!$K$28&lt;&gt;"",DA$3='Bonding Program'!$K$28),'Bonding Program'!$J$28,0)-IF(AND('Bonding Program'!$M$28&lt;&gt;"",DA$3='Bonding Program'!$M$28),'Bonding Program'!$L$28,0)-IF(AND('Bonding Program'!$P$28&lt;&gt;"",DA$3='Bonding Program'!$P$28),'Bonding Program'!$O$28,0)-IF(AND('Bonding Program'!$R$28&lt;&gt;"",DA$3='Bonding Program'!$R$28),'Bonding Program'!$Q$28,0),0)</f>
        <v>0</v>
      </c>
      <c r="DB169" s="19" t="n">
        <f aca="false">IF(AND('Bonding Program'!$S$28=1,DB$3='Bonding Program'!$H$28),'Bonding Program'!$AA$28,0)-IF(DB$3&lt;='Bonding Program'!$C$8,IF(AND('Bonding Program'!$K$28&lt;&gt;"",DB$3='Bonding Program'!$K$28),'Bonding Program'!$J$28,0)-IF(AND('Bonding Program'!$M$28&lt;&gt;"",DB$3='Bonding Program'!$M$28),'Bonding Program'!$L$28,0)-IF(AND('Bonding Program'!$P$28&lt;&gt;"",DB$3='Bonding Program'!$P$28),'Bonding Program'!$O$28,0)-IF(AND('Bonding Program'!$R$28&lt;&gt;"",DB$3='Bonding Program'!$R$28),'Bonding Program'!$Q$28,0),0)</f>
        <v>0</v>
      </c>
      <c r="DC169" s="19" t="n">
        <f aca="false">IF(AND('Bonding Program'!$S$28=1,DC$3='Bonding Program'!$H$28),'Bonding Program'!$AA$28,0)-IF(DC$3&lt;='Bonding Program'!$C$8,IF(AND('Bonding Program'!$K$28&lt;&gt;"",DC$3='Bonding Program'!$K$28),'Bonding Program'!$J$28,0)-IF(AND('Bonding Program'!$M$28&lt;&gt;"",DC$3='Bonding Program'!$M$28),'Bonding Program'!$L$28,0)-IF(AND('Bonding Program'!$P$28&lt;&gt;"",DC$3='Bonding Program'!$P$28),'Bonding Program'!$O$28,0)-IF(AND('Bonding Program'!$R$28&lt;&gt;"",DC$3='Bonding Program'!$R$28),'Bonding Program'!$Q$28,0),0)</f>
        <v>0</v>
      </c>
      <c r="DD169" s="19" t="n">
        <f aca="false">IF(AND('Bonding Program'!$S$28=1,DD$3='Bonding Program'!$H$28),'Bonding Program'!$AA$28,0)-IF(DD$3&lt;='Bonding Program'!$C$8,IF(AND('Bonding Program'!$K$28&lt;&gt;"",DD$3='Bonding Program'!$K$28),'Bonding Program'!$J$28,0)-IF(AND('Bonding Program'!$M$28&lt;&gt;"",DD$3='Bonding Program'!$M$28),'Bonding Program'!$L$28,0)-IF(AND('Bonding Program'!$P$28&lt;&gt;"",DD$3='Bonding Program'!$P$28),'Bonding Program'!$O$28,0)-IF(AND('Bonding Program'!$R$28&lt;&gt;"",DD$3='Bonding Program'!$R$28),'Bonding Program'!$Q$28,0),0)</f>
        <v>0</v>
      </c>
      <c r="DE169" s="19" t="n">
        <f aca="false">IF(AND('Bonding Program'!$S$28=1,DE$3='Bonding Program'!$H$28),'Bonding Program'!$AA$28,0)-IF(DE$3&lt;='Bonding Program'!$C$8,IF(AND('Bonding Program'!$K$28&lt;&gt;"",DE$3='Bonding Program'!$K$28),'Bonding Program'!$J$28,0)-IF(AND('Bonding Program'!$M$28&lt;&gt;"",DE$3='Bonding Program'!$M$28),'Bonding Program'!$L$28,0)-IF(AND('Bonding Program'!$P$28&lt;&gt;"",DE$3='Bonding Program'!$P$28),'Bonding Program'!$O$28,0)-IF(AND('Bonding Program'!$R$28&lt;&gt;"",DE$3='Bonding Program'!$R$28),'Bonding Program'!$Q$28,0),0)</f>
        <v>0</v>
      </c>
    </row>
    <row r="170" customFormat="false" ht="15" hidden="false" customHeight="true" outlineLevel="1" collapsed="false">
      <c r="A170" s="28" t="s">
        <v>25</v>
      </c>
      <c r="B170" s="19" t="n">
        <f aca="false">IF(AND('Bonding Program'!$S$29=1,B$3='Bonding Program'!$H$29),'Bonding Program'!$AA$29,0)-IF(B$3&lt;='Bonding Program'!$C$8,IF(AND('Bonding Program'!$K$29&lt;&gt;"",B$3='Bonding Program'!$K$29),'Bonding Program'!$J$29,0)-IF(AND('Bonding Program'!$M$29&lt;&gt;"",B$3='Bonding Program'!$M$29),'Bonding Program'!$L$29,0)-IF(AND('Bonding Program'!$P$29&lt;&gt;"",B$3='Bonding Program'!$P$29),'Bonding Program'!$O$29,0)-IF(AND('Bonding Program'!$R$29&lt;&gt;"",B$3='Bonding Program'!$R$29),'Bonding Program'!$Q$29,0),0)</f>
        <v>0</v>
      </c>
      <c r="C170" s="19" t="n">
        <f aca="false">IF(AND('Bonding Program'!$S$29=1,C$3='Bonding Program'!$H$29),'Bonding Program'!$AA$29,0)-IF(C$3&lt;='Bonding Program'!$C$8,IF(AND('Bonding Program'!$K$29&lt;&gt;"",C$3='Bonding Program'!$K$29),'Bonding Program'!$J$29,0)-IF(AND('Bonding Program'!$M$29&lt;&gt;"",C$3='Bonding Program'!$M$29),'Bonding Program'!$L$29,0)-IF(AND('Bonding Program'!$P$29&lt;&gt;"",C$3='Bonding Program'!$P$29),'Bonding Program'!$O$29,0)-IF(AND('Bonding Program'!$R$29&lt;&gt;"",C$3='Bonding Program'!$R$29),'Bonding Program'!$Q$29,0),0)</f>
        <v>0</v>
      </c>
      <c r="D170" s="19" t="n">
        <f aca="false">IF(AND('Bonding Program'!$S$29=1,D$3='Bonding Program'!$H$29),'Bonding Program'!$AA$29,0)-IF(D$3&lt;='Bonding Program'!$C$8,IF(AND('Bonding Program'!$K$29&lt;&gt;"",D$3='Bonding Program'!$K$29),'Bonding Program'!$J$29,0)-IF(AND('Bonding Program'!$M$29&lt;&gt;"",D$3='Bonding Program'!$M$29),'Bonding Program'!$L$29,0)-IF(AND('Bonding Program'!$P$29&lt;&gt;"",D$3='Bonding Program'!$P$29),'Bonding Program'!$O$29,0)-IF(AND('Bonding Program'!$R$29&lt;&gt;"",D$3='Bonding Program'!$R$29),'Bonding Program'!$Q$29,0),0)</f>
        <v>0</v>
      </c>
      <c r="E170" s="19" t="n">
        <f aca="false">IF(AND('Bonding Program'!$S$29=1,E$3='Bonding Program'!$H$29),'Bonding Program'!$AA$29,0)-IF(E$3&lt;='Bonding Program'!$C$8,IF(AND('Bonding Program'!$K$29&lt;&gt;"",E$3='Bonding Program'!$K$29),'Bonding Program'!$J$29,0)-IF(AND('Bonding Program'!$M$29&lt;&gt;"",E$3='Bonding Program'!$M$29),'Bonding Program'!$L$29,0)-IF(AND('Bonding Program'!$P$29&lt;&gt;"",E$3='Bonding Program'!$P$29),'Bonding Program'!$O$29,0)-IF(AND('Bonding Program'!$R$29&lt;&gt;"",E$3='Bonding Program'!$R$29),'Bonding Program'!$Q$29,0),0)</f>
        <v>0</v>
      </c>
      <c r="F170" s="19" t="n">
        <f aca="false">IF(AND('Bonding Program'!$S$29=1,F$3='Bonding Program'!$H$29),'Bonding Program'!$AA$29,0)-IF(F$3&lt;='Bonding Program'!$C$8,IF(AND('Bonding Program'!$K$29&lt;&gt;"",F$3='Bonding Program'!$K$29),'Bonding Program'!$J$29,0)-IF(AND('Bonding Program'!$M$29&lt;&gt;"",F$3='Bonding Program'!$M$29),'Bonding Program'!$L$29,0)-IF(AND('Bonding Program'!$P$29&lt;&gt;"",F$3='Bonding Program'!$P$29),'Bonding Program'!$O$29,0)-IF(AND('Bonding Program'!$R$29&lt;&gt;"",F$3='Bonding Program'!$R$29),'Bonding Program'!$Q$29,0),0)</f>
        <v>0</v>
      </c>
      <c r="G170" s="19" t="n">
        <f aca="false">IF(AND('Bonding Program'!$S$29=1,G$3='Bonding Program'!$H$29),'Bonding Program'!$AA$29,0)-IF(G$3&lt;='Bonding Program'!$C$8,IF(AND('Bonding Program'!$K$29&lt;&gt;"",G$3='Bonding Program'!$K$29),'Bonding Program'!$J$29,0)-IF(AND('Bonding Program'!$M$29&lt;&gt;"",G$3='Bonding Program'!$M$29),'Bonding Program'!$L$29,0)-IF(AND('Bonding Program'!$P$29&lt;&gt;"",G$3='Bonding Program'!$P$29),'Bonding Program'!$O$29,0)-IF(AND('Bonding Program'!$R$29&lt;&gt;"",G$3='Bonding Program'!$R$29),'Bonding Program'!$Q$29,0),0)</f>
        <v>0</v>
      </c>
      <c r="H170" s="19" t="n">
        <f aca="false">IF(AND('Bonding Program'!$S$29=1,H$3='Bonding Program'!$H$29),'Bonding Program'!$AA$29,0)-IF(H$3&lt;='Bonding Program'!$C$8,IF(AND('Bonding Program'!$K$29&lt;&gt;"",H$3='Bonding Program'!$K$29),'Bonding Program'!$J$29,0)-IF(AND('Bonding Program'!$M$29&lt;&gt;"",H$3='Bonding Program'!$M$29),'Bonding Program'!$L$29,0)-IF(AND('Bonding Program'!$P$29&lt;&gt;"",H$3='Bonding Program'!$P$29),'Bonding Program'!$O$29,0)-IF(AND('Bonding Program'!$R$29&lt;&gt;"",H$3='Bonding Program'!$R$29),'Bonding Program'!$Q$29,0),0)</f>
        <v>0</v>
      </c>
      <c r="I170" s="19" t="n">
        <f aca="false">IF(AND('Bonding Program'!$S$29=1,I$3='Bonding Program'!$H$29),'Bonding Program'!$AA$29,0)-IF(I$3&lt;='Bonding Program'!$C$8,IF(AND('Bonding Program'!$K$29&lt;&gt;"",I$3='Bonding Program'!$K$29),'Bonding Program'!$J$29,0)-IF(AND('Bonding Program'!$M$29&lt;&gt;"",I$3='Bonding Program'!$M$29),'Bonding Program'!$L$29,0)-IF(AND('Bonding Program'!$P$29&lt;&gt;"",I$3='Bonding Program'!$P$29),'Bonding Program'!$O$29,0)-IF(AND('Bonding Program'!$R$29&lt;&gt;"",I$3='Bonding Program'!$R$29),'Bonding Program'!$Q$29,0),0)</f>
        <v>0</v>
      </c>
      <c r="J170" s="19" t="n">
        <f aca="false">IF(AND('Bonding Program'!$S$29=1,J$3='Bonding Program'!$H$29),'Bonding Program'!$AA$29,0)-IF(J$3&lt;='Bonding Program'!$C$8,IF(AND('Bonding Program'!$K$29&lt;&gt;"",J$3='Bonding Program'!$K$29),'Bonding Program'!$J$29,0)-IF(AND('Bonding Program'!$M$29&lt;&gt;"",J$3='Bonding Program'!$M$29),'Bonding Program'!$L$29,0)-IF(AND('Bonding Program'!$P$29&lt;&gt;"",J$3='Bonding Program'!$P$29),'Bonding Program'!$O$29,0)-IF(AND('Bonding Program'!$R$29&lt;&gt;"",J$3='Bonding Program'!$R$29),'Bonding Program'!$Q$29,0),0)</f>
        <v>0</v>
      </c>
      <c r="K170" s="19" t="n">
        <f aca="false">IF(AND('Bonding Program'!$S$29=1,K$3='Bonding Program'!$H$29),'Bonding Program'!$AA$29,0)-IF(K$3&lt;='Bonding Program'!$C$8,IF(AND('Bonding Program'!$K$29&lt;&gt;"",K$3='Bonding Program'!$K$29),'Bonding Program'!$J$29,0)-IF(AND('Bonding Program'!$M$29&lt;&gt;"",K$3='Bonding Program'!$M$29),'Bonding Program'!$L$29,0)-IF(AND('Bonding Program'!$P$29&lt;&gt;"",K$3='Bonding Program'!$P$29),'Bonding Program'!$O$29,0)-IF(AND('Bonding Program'!$R$29&lt;&gt;"",K$3='Bonding Program'!$R$29),'Bonding Program'!$Q$29,0),0)</f>
        <v>0</v>
      </c>
      <c r="L170" s="19" t="n">
        <f aca="false">IF(AND('Bonding Program'!$S$29=1,L$3='Bonding Program'!$H$29),'Bonding Program'!$AA$29,0)-IF(L$3&lt;='Bonding Program'!$C$8,IF(AND('Bonding Program'!$K$29&lt;&gt;"",L$3='Bonding Program'!$K$29),'Bonding Program'!$J$29,0)-IF(AND('Bonding Program'!$M$29&lt;&gt;"",L$3='Bonding Program'!$M$29),'Bonding Program'!$L$29,0)-IF(AND('Bonding Program'!$P$29&lt;&gt;"",L$3='Bonding Program'!$P$29),'Bonding Program'!$O$29,0)-IF(AND('Bonding Program'!$R$29&lt;&gt;"",L$3='Bonding Program'!$R$29),'Bonding Program'!$Q$29,0),0)</f>
        <v>0</v>
      </c>
      <c r="M170" s="19" t="n">
        <f aca="false">IF(AND('Bonding Program'!$S$29=1,M$3='Bonding Program'!$H$29),'Bonding Program'!$AA$29,0)-IF(M$3&lt;='Bonding Program'!$C$8,IF(AND('Bonding Program'!$K$29&lt;&gt;"",M$3='Bonding Program'!$K$29),'Bonding Program'!$J$29,0)-IF(AND('Bonding Program'!$M$29&lt;&gt;"",M$3='Bonding Program'!$M$29),'Bonding Program'!$L$29,0)-IF(AND('Bonding Program'!$P$29&lt;&gt;"",M$3='Bonding Program'!$P$29),'Bonding Program'!$O$29,0)-IF(AND('Bonding Program'!$R$29&lt;&gt;"",M$3='Bonding Program'!$R$29),'Bonding Program'!$Q$29,0),0)</f>
        <v>0</v>
      </c>
      <c r="N170" s="19" t="n">
        <f aca="false">IF(AND('Bonding Program'!$S$29=1,N$3='Bonding Program'!$H$29),'Bonding Program'!$AA$29,0)-IF(N$3&lt;='Bonding Program'!$C$8,IF(AND('Bonding Program'!$K$29&lt;&gt;"",N$3='Bonding Program'!$K$29),'Bonding Program'!$J$29,0)-IF(AND('Bonding Program'!$M$29&lt;&gt;"",N$3='Bonding Program'!$M$29),'Bonding Program'!$L$29,0)-IF(AND('Bonding Program'!$P$29&lt;&gt;"",N$3='Bonding Program'!$P$29),'Bonding Program'!$O$29,0)-IF(AND('Bonding Program'!$R$29&lt;&gt;"",N$3='Bonding Program'!$R$29),'Bonding Program'!$Q$29,0),0)</f>
        <v>0</v>
      </c>
      <c r="O170" s="19" t="n">
        <f aca="false">IF(AND('Bonding Program'!$S$29=1,O$3='Bonding Program'!$H$29),'Bonding Program'!$AA$29,0)-IF(O$3&lt;='Bonding Program'!$C$8,IF(AND('Bonding Program'!$K$29&lt;&gt;"",O$3='Bonding Program'!$K$29),'Bonding Program'!$J$29,0)-IF(AND('Bonding Program'!$M$29&lt;&gt;"",O$3='Bonding Program'!$M$29),'Bonding Program'!$L$29,0)-IF(AND('Bonding Program'!$P$29&lt;&gt;"",O$3='Bonding Program'!$P$29),'Bonding Program'!$O$29,0)-IF(AND('Bonding Program'!$R$29&lt;&gt;"",O$3='Bonding Program'!$R$29),'Bonding Program'!$Q$29,0),0)</f>
        <v>0</v>
      </c>
      <c r="P170" s="19" t="n">
        <f aca="false">IF(AND('Bonding Program'!$S$29=1,P$3='Bonding Program'!$H$29),'Bonding Program'!$AA$29,0)-IF(P$3&lt;='Bonding Program'!$C$8,IF(AND('Bonding Program'!$K$29&lt;&gt;"",P$3='Bonding Program'!$K$29),'Bonding Program'!$J$29,0)-IF(AND('Bonding Program'!$M$29&lt;&gt;"",P$3='Bonding Program'!$M$29),'Bonding Program'!$L$29,0)-IF(AND('Bonding Program'!$P$29&lt;&gt;"",P$3='Bonding Program'!$P$29),'Bonding Program'!$O$29,0)-IF(AND('Bonding Program'!$R$29&lt;&gt;"",P$3='Bonding Program'!$R$29),'Bonding Program'!$Q$29,0),0)</f>
        <v>0</v>
      </c>
      <c r="Q170" s="19" t="n">
        <f aca="false">IF(AND('Bonding Program'!$S$29=1,Q$3='Bonding Program'!$H$29),'Bonding Program'!$AA$29,0)-IF(Q$3&lt;='Bonding Program'!$C$8,IF(AND('Bonding Program'!$K$29&lt;&gt;"",Q$3='Bonding Program'!$K$29),'Bonding Program'!$J$29,0)-IF(AND('Bonding Program'!$M$29&lt;&gt;"",Q$3='Bonding Program'!$M$29),'Bonding Program'!$L$29,0)-IF(AND('Bonding Program'!$P$29&lt;&gt;"",Q$3='Bonding Program'!$P$29),'Bonding Program'!$O$29,0)-IF(AND('Bonding Program'!$R$29&lt;&gt;"",Q$3='Bonding Program'!$R$29),'Bonding Program'!$Q$29,0),0)</f>
        <v>0</v>
      </c>
      <c r="R170" s="19" t="n">
        <f aca="false">IF(AND('Bonding Program'!$S$29=1,R$3='Bonding Program'!$H$29),'Bonding Program'!$AA$29,0)-IF(R$3&lt;='Bonding Program'!$C$8,IF(AND('Bonding Program'!$K$29&lt;&gt;"",R$3='Bonding Program'!$K$29),'Bonding Program'!$J$29,0)-IF(AND('Bonding Program'!$M$29&lt;&gt;"",R$3='Bonding Program'!$M$29),'Bonding Program'!$L$29,0)-IF(AND('Bonding Program'!$P$29&lt;&gt;"",R$3='Bonding Program'!$P$29),'Bonding Program'!$O$29,0)-IF(AND('Bonding Program'!$R$29&lt;&gt;"",R$3='Bonding Program'!$R$29),'Bonding Program'!$Q$29,0),0)</f>
        <v>0</v>
      </c>
      <c r="S170" s="19" t="n">
        <f aca="false">IF(AND('Bonding Program'!$S$29=1,S$3='Bonding Program'!$H$29),'Bonding Program'!$AA$29,0)-IF(S$3&lt;='Bonding Program'!$C$8,IF(AND('Bonding Program'!$K$29&lt;&gt;"",S$3='Bonding Program'!$K$29),'Bonding Program'!$J$29,0)-IF(AND('Bonding Program'!$M$29&lt;&gt;"",S$3='Bonding Program'!$M$29),'Bonding Program'!$L$29,0)-IF(AND('Bonding Program'!$P$29&lt;&gt;"",S$3='Bonding Program'!$P$29),'Bonding Program'!$O$29,0)-IF(AND('Bonding Program'!$R$29&lt;&gt;"",S$3='Bonding Program'!$R$29),'Bonding Program'!$Q$29,0),0)</f>
        <v>0</v>
      </c>
      <c r="T170" s="19" t="n">
        <f aca="false">IF(AND('Bonding Program'!$S$29=1,T$3='Bonding Program'!$H$29),'Bonding Program'!$AA$29,0)-IF(T$3&lt;='Bonding Program'!$C$8,IF(AND('Bonding Program'!$K$29&lt;&gt;"",T$3='Bonding Program'!$K$29),'Bonding Program'!$J$29,0)-IF(AND('Bonding Program'!$M$29&lt;&gt;"",T$3='Bonding Program'!$M$29),'Bonding Program'!$L$29,0)-IF(AND('Bonding Program'!$P$29&lt;&gt;"",T$3='Bonding Program'!$P$29),'Bonding Program'!$O$29,0)-IF(AND('Bonding Program'!$R$29&lt;&gt;"",T$3='Bonding Program'!$R$29),'Bonding Program'!$Q$29,0),0)</f>
        <v>0</v>
      </c>
      <c r="U170" s="19" t="n">
        <f aca="false">IF(AND('Bonding Program'!$S$29=1,U$3='Bonding Program'!$H$29),'Bonding Program'!$AA$29,0)-IF(U$3&lt;='Bonding Program'!$C$8,IF(AND('Bonding Program'!$K$29&lt;&gt;"",U$3='Bonding Program'!$K$29),'Bonding Program'!$J$29,0)-IF(AND('Bonding Program'!$M$29&lt;&gt;"",U$3='Bonding Program'!$M$29),'Bonding Program'!$L$29,0)-IF(AND('Bonding Program'!$P$29&lt;&gt;"",U$3='Bonding Program'!$P$29),'Bonding Program'!$O$29,0)-IF(AND('Bonding Program'!$R$29&lt;&gt;"",U$3='Bonding Program'!$R$29),'Bonding Program'!$Q$29,0),0)</f>
        <v>0</v>
      </c>
      <c r="V170" s="19" t="n">
        <f aca="false">IF(AND('Bonding Program'!$S$29=1,V$3='Bonding Program'!$H$29),'Bonding Program'!$AA$29,0)-IF(V$3&lt;='Bonding Program'!$C$8,IF(AND('Bonding Program'!$K$29&lt;&gt;"",V$3='Bonding Program'!$K$29),'Bonding Program'!$J$29,0)-IF(AND('Bonding Program'!$M$29&lt;&gt;"",V$3='Bonding Program'!$M$29),'Bonding Program'!$L$29,0)-IF(AND('Bonding Program'!$P$29&lt;&gt;"",V$3='Bonding Program'!$P$29),'Bonding Program'!$O$29,0)-IF(AND('Bonding Program'!$R$29&lt;&gt;"",V$3='Bonding Program'!$R$29),'Bonding Program'!$Q$29,0),0)</f>
        <v>0</v>
      </c>
      <c r="W170" s="19" t="n">
        <f aca="false">IF(AND('Bonding Program'!$S$29=1,W$3='Bonding Program'!$H$29),'Bonding Program'!$AA$29,0)-IF(W$3&lt;='Bonding Program'!$C$8,IF(AND('Bonding Program'!$K$29&lt;&gt;"",W$3='Bonding Program'!$K$29),'Bonding Program'!$J$29,0)-IF(AND('Bonding Program'!$M$29&lt;&gt;"",W$3='Bonding Program'!$M$29),'Bonding Program'!$L$29,0)-IF(AND('Bonding Program'!$P$29&lt;&gt;"",W$3='Bonding Program'!$P$29),'Bonding Program'!$O$29,0)-IF(AND('Bonding Program'!$R$29&lt;&gt;"",W$3='Bonding Program'!$R$29),'Bonding Program'!$Q$29,0),0)</f>
        <v>0</v>
      </c>
      <c r="X170" s="19" t="n">
        <f aca="false">IF(AND('Bonding Program'!$S$29=1,X$3='Bonding Program'!$H$29),'Bonding Program'!$AA$29,0)-IF(X$3&lt;='Bonding Program'!$C$8,IF(AND('Bonding Program'!$K$29&lt;&gt;"",X$3='Bonding Program'!$K$29),'Bonding Program'!$J$29,0)-IF(AND('Bonding Program'!$M$29&lt;&gt;"",X$3='Bonding Program'!$M$29),'Bonding Program'!$L$29,0)-IF(AND('Bonding Program'!$P$29&lt;&gt;"",X$3='Bonding Program'!$P$29),'Bonding Program'!$O$29,0)-IF(AND('Bonding Program'!$R$29&lt;&gt;"",X$3='Bonding Program'!$R$29),'Bonding Program'!$Q$29,0),0)</f>
        <v>0</v>
      </c>
      <c r="Y170" s="19" t="n">
        <f aca="false">IF(AND('Bonding Program'!$S$29=1,Y$3='Bonding Program'!$H$29),'Bonding Program'!$AA$29,0)-IF(Y$3&lt;='Bonding Program'!$C$8,IF(AND('Bonding Program'!$K$29&lt;&gt;"",Y$3='Bonding Program'!$K$29),'Bonding Program'!$J$29,0)-IF(AND('Bonding Program'!$M$29&lt;&gt;"",Y$3='Bonding Program'!$M$29),'Bonding Program'!$L$29,0)-IF(AND('Bonding Program'!$P$29&lt;&gt;"",Y$3='Bonding Program'!$P$29),'Bonding Program'!$O$29,0)-IF(AND('Bonding Program'!$R$29&lt;&gt;"",Y$3='Bonding Program'!$R$29),'Bonding Program'!$Q$29,0),0)</f>
        <v>0</v>
      </c>
      <c r="Z170" s="19" t="n">
        <f aca="false">IF(AND('Bonding Program'!$S$29=1,Z$3='Bonding Program'!$H$29),'Bonding Program'!$AA$29,0)-IF(Z$3&lt;='Bonding Program'!$C$8,IF(AND('Bonding Program'!$K$29&lt;&gt;"",Z$3='Bonding Program'!$K$29),'Bonding Program'!$J$29,0)-IF(AND('Bonding Program'!$M$29&lt;&gt;"",Z$3='Bonding Program'!$M$29),'Bonding Program'!$L$29,0)-IF(AND('Bonding Program'!$P$29&lt;&gt;"",Z$3='Bonding Program'!$P$29),'Bonding Program'!$O$29,0)-IF(AND('Bonding Program'!$R$29&lt;&gt;"",Z$3='Bonding Program'!$R$29),'Bonding Program'!$Q$29,0),0)</f>
        <v>0</v>
      </c>
      <c r="AA170" s="19" t="n">
        <f aca="false">IF(AND('Bonding Program'!$S$29=1,AA$3='Bonding Program'!$H$29),'Bonding Program'!$AA$29,0)-IF(AA$3&lt;='Bonding Program'!$C$8,IF(AND('Bonding Program'!$K$29&lt;&gt;"",AA$3='Bonding Program'!$K$29),'Bonding Program'!$J$29,0)-IF(AND('Bonding Program'!$M$29&lt;&gt;"",AA$3='Bonding Program'!$M$29),'Bonding Program'!$L$29,0)-IF(AND('Bonding Program'!$P$29&lt;&gt;"",AA$3='Bonding Program'!$P$29),'Bonding Program'!$O$29,0)-IF(AND('Bonding Program'!$R$29&lt;&gt;"",AA$3='Bonding Program'!$R$29),'Bonding Program'!$Q$29,0),0)</f>
        <v>0</v>
      </c>
      <c r="AB170" s="19" t="n">
        <f aca="false">IF(AND('Bonding Program'!$S$29=1,AB$3='Bonding Program'!$H$29),'Bonding Program'!$AA$29,0)-IF(AB$3&lt;='Bonding Program'!$C$8,IF(AND('Bonding Program'!$K$29&lt;&gt;"",AB$3='Bonding Program'!$K$29),'Bonding Program'!$J$29,0)-IF(AND('Bonding Program'!$M$29&lt;&gt;"",AB$3='Bonding Program'!$M$29),'Bonding Program'!$L$29,0)-IF(AND('Bonding Program'!$P$29&lt;&gt;"",AB$3='Bonding Program'!$P$29),'Bonding Program'!$O$29,0)-IF(AND('Bonding Program'!$R$29&lt;&gt;"",AB$3='Bonding Program'!$R$29),'Bonding Program'!$Q$29,0),0)</f>
        <v>0</v>
      </c>
      <c r="AC170" s="19" t="n">
        <f aca="false">IF(AND('Bonding Program'!$S$29=1,AC$3='Bonding Program'!$H$29),'Bonding Program'!$AA$29,0)-IF(AC$3&lt;='Bonding Program'!$C$8,IF(AND('Bonding Program'!$K$29&lt;&gt;"",AC$3='Bonding Program'!$K$29),'Bonding Program'!$J$29,0)-IF(AND('Bonding Program'!$M$29&lt;&gt;"",AC$3='Bonding Program'!$M$29),'Bonding Program'!$L$29,0)-IF(AND('Bonding Program'!$P$29&lt;&gt;"",AC$3='Bonding Program'!$P$29),'Bonding Program'!$O$29,0)-IF(AND('Bonding Program'!$R$29&lt;&gt;"",AC$3='Bonding Program'!$R$29),'Bonding Program'!$Q$29,0),0)</f>
        <v>0</v>
      </c>
      <c r="AD170" s="19" t="n">
        <f aca="false">IF(AND('Bonding Program'!$S$29=1,AD$3='Bonding Program'!$H$29),'Bonding Program'!$AA$29,0)-IF(AD$3&lt;='Bonding Program'!$C$8,IF(AND('Bonding Program'!$K$29&lt;&gt;"",AD$3='Bonding Program'!$K$29),'Bonding Program'!$J$29,0)-IF(AND('Bonding Program'!$M$29&lt;&gt;"",AD$3='Bonding Program'!$M$29),'Bonding Program'!$L$29,0)-IF(AND('Bonding Program'!$P$29&lt;&gt;"",AD$3='Bonding Program'!$P$29),'Bonding Program'!$O$29,0)-IF(AND('Bonding Program'!$R$29&lt;&gt;"",AD$3='Bonding Program'!$R$29),'Bonding Program'!$Q$29,0),0)</f>
        <v>0</v>
      </c>
      <c r="AE170" s="19" t="n">
        <f aca="false">IF(AND('Bonding Program'!$S$29=1,AE$3='Bonding Program'!$H$29),'Bonding Program'!$AA$29,0)-IF(AE$3&lt;='Bonding Program'!$C$8,IF(AND('Bonding Program'!$K$29&lt;&gt;"",AE$3='Bonding Program'!$K$29),'Bonding Program'!$J$29,0)-IF(AND('Bonding Program'!$M$29&lt;&gt;"",AE$3='Bonding Program'!$M$29),'Bonding Program'!$L$29,0)-IF(AND('Bonding Program'!$P$29&lt;&gt;"",AE$3='Bonding Program'!$P$29),'Bonding Program'!$O$29,0)-IF(AND('Bonding Program'!$R$29&lt;&gt;"",AE$3='Bonding Program'!$R$29),'Bonding Program'!$Q$29,0),0)</f>
        <v>0</v>
      </c>
      <c r="AF170" s="19" t="n">
        <f aca="false">IF(AND('Bonding Program'!$S$29=1,AF$3='Bonding Program'!$H$29),'Bonding Program'!$AA$29,0)-IF(AF$3&lt;='Bonding Program'!$C$8,IF(AND('Bonding Program'!$K$29&lt;&gt;"",AF$3='Bonding Program'!$K$29),'Bonding Program'!$J$29,0)-IF(AND('Bonding Program'!$M$29&lt;&gt;"",AF$3='Bonding Program'!$M$29),'Bonding Program'!$L$29,0)-IF(AND('Bonding Program'!$P$29&lt;&gt;"",AF$3='Bonding Program'!$P$29),'Bonding Program'!$O$29,0)-IF(AND('Bonding Program'!$R$29&lt;&gt;"",AF$3='Bonding Program'!$R$29),'Bonding Program'!$Q$29,0),0)</f>
        <v>0</v>
      </c>
      <c r="AG170" s="19" t="n">
        <f aca="false">IF(AND('Bonding Program'!$S$29=1,AG$3='Bonding Program'!$H$29),'Bonding Program'!$AA$29,0)-IF(AG$3&lt;='Bonding Program'!$C$8,IF(AND('Bonding Program'!$K$29&lt;&gt;"",AG$3='Bonding Program'!$K$29),'Bonding Program'!$J$29,0)-IF(AND('Bonding Program'!$M$29&lt;&gt;"",AG$3='Bonding Program'!$M$29),'Bonding Program'!$L$29,0)-IF(AND('Bonding Program'!$P$29&lt;&gt;"",AG$3='Bonding Program'!$P$29),'Bonding Program'!$O$29,0)-IF(AND('Bonding Program'!$R$29&lt;&gt;"",AG$3='Bonding Program'!$R$29),'Bonding Program'!$Q$29,0),0)</f>
        <v>0</v>
      </c>
      <c r="AH170" s="19" t="n">
        <f aca="false">IF(AND('Bonding Program'!$S$29=1,AH$3='Bonding Program'!$H$29),'Bonding Program'!$AA$29,0)-IF(AH$3&lt;='Bonding Program'!$C$8,IF(AND('Bonding Program'!$K$29&lt;&gt;"",AH$3='Bonding Program'!$K$29),'Bonding Program'!$J$29,0)-IF(AND('Bonding Program'!$M$29&lt;&gt;"",AH$3='Bonding Program'!$M$29),'Bonding Program'!$L$29,0)-IF(AND('Bonding Program'!$P$29&lt;&gt;"",AH$3='Bonding Program'!$P$29),'Bonding Program'!$O$29,0)-IF(AND('Bonding Program'!$R$29&lt;&gt;"",AH$3='Bonding Program'!$R$29),'Bonding Program'!$Q$29,0),0)</f>
        <v>0</v>
      </c>
      <c r="AI170" s="19" t="n">
        <f aca="false">IF(AND('Bonding Program'!$S$29=1,AI$3='Bonding Program'!$H$29),'Bonding Program'!$AA$29,0)-IF(AI$3&lt;='Bonding Program'!$C$8,IF(AND('Bonding Program'!$K$29&lt;&gt;"",AI$3='Bonding Program'!$K$29),'Bonding Program'!$J$29,0)-IF(AND('Bonding Program'!$M$29&lt;&gt;"",AI$3='Bonding Program'!$M$29),'Bonding Program'!$L$29,0)-IF(AND('Bonding Program'!$P$29&lt;&gt;"",AI$3='Bonding Program'!$P$29),'Bonding Program'!$O$29,0)-IF(AND('Bonding Program'!$R$29&lt;&gt;"",AI$3='Bonding Program'!$R$29),'Bonding Program'!$Q$29,0),0)</f>
        <v>0</v>
      </c>
      <c r="AJ170" s="19" t="n">
        <f aca="false">IF(AND('Bonding Program'!$S$29=1,AJ$3='Bonding Program'!$H$29),'Bonding Program'!$AA$29,0)-IF(AJ$3&lt;='Bonding Program'!$C$8,IF(AND('Bonding Program'!$K$29&lt;&gt;"",AJ$3='Bonding Program'!$K$29),'Bonding Program'!$J$29,0)-IF(AND('Bonding Program'!$M$29&lt;&gt;"",AJ$3='Bonding Program'!$M$29),'Bonding Program'!$L$29,0)-IF(AND('Bonding Program'!$P$29&lt;&gt;"",AJ$3='Bonding Program'!$P$29),'Bonding Program'!$O$29,0)-IF(AND('Bonding Program'!$R$29&lt;&gt;"",AJ$3='Bonding Program'!$R$29),'Bonding Program'!$Q$29,0),0)</f>
        <v>0</v>
      </c>
      <c r="AK170" s="19" t="n">
        <f aca="false">IF(AND('Bonding Program'!$S$29=1,AK$3='Bonding Program'!$H$29),'Bonding Program'!$AA$29,0)-IF(AK$3&lt;='Bonding Program'!$C$8,IF(AND('Bonding Program'!$K$29&lt;&gt;"",AK$3='Bonding Program'!$K$29),'Bonding Program'!$J$29,0)-IF(AND('Bonding Program'!$M$29&lt;&gt;"",AK$3='Bonding Program'!$M$29),'Bonding Program'!$L$29,0)-IF(AND('Bonding Program'!$P$29&lt;&gt;"",AK$3='Bonding Program'!$P$29),'Bonding Program'!$O$29,0)-IF(AND('Bonding Program'!$R$29&lt;&gt;"",AK$3='Bonding Program'!$R$29),'Bonding Program'!$Q$29,0),0)</f>
        <v>0</v>
      </c>
      <c r="AL170" s="19" t="n">
        <f aca="false">IF(AND('Bonding Program'!$S$29=1,AL$3='Bonding Program'!$H$29),'Bonding Program'!$AA$29,0)-IF(AL$3&lt;='Bonding Program'!$C$8,IF(AND('Bonding Program'!$K$29&lt;&gt;"",AL$3='Bonding Program'!$K$29),'Bonding Program'!$J$29,0)-IF(AND('Bonding Program'!$M$29&lt;&gt;"",AL$3='Bonding Program'!$M$29),'Bonding Program'!$L$29,0)-IF(AND('Bonding Program'!$P$29&lt;&gt;"",AL$3='Bonding Program'!$P$29),'Bonding Program'!$O$29,0)-IF(AND('Bonding Program'!$R$29&lt;&gt;"",AL$3='Bonding Program'!$R$29),'Bonding Program'!$Q$29,0),0)</f>
        <v>0</v>
      </c>
      <c r="AM170" s="19" t="n">
        <f aca="false">IF(AND('Bonding Program'!$S$29=1,AM$3='Bonding Program'!$H$29),'Bonding Program'!$AA$29,0)-IF(AM$3&lt;='Bonding Program'!$C$8,IF(AND('Bonding Program'!$K$29&lt;&gt;"",AM$3='Bonding Program'!$K$29),'Bonding Program'!$J$29,0)-IF(AND('Bonding Program'!$M$29&lt;&gt;"",AM$3='Bonding Program'!$M$29),'Bonding Program'!$L$29,0)-IF(AND('Bonding Program'!$P$29&lt;&gt;"",AM$3='Bonding Program'!$P$29),'Bonding Program'!$O$29,0)-IF(AND('Bonding Program'!$R$29&lt;&gt;"",AM$3='Bonding Program'!$R$29),'Bonding Program'!$Q$29,0),0)</f>
        <v>0</v>
      </c>
      <c r="AN170" s="19" t="n">
        <f aca="false">IF(AND('Bonding Program'!$S$29=1,AN$3='Bonding Program'!$H$29),'Bonding Program'!$AA$29,0)-IF(AN$3&lt;='Bonding Program'!$C$8,IF(AND('Bonding Program'!$K$29&lt;&gt;"",AN$3='Bonding Program'!$K$29),'Bonding Program'!$J$29,0)-IF(AND('Bonding Program'!$M$29&lt;&gt;"",AN$3='Bonding Program'!$M$29),'Bonding Program'!$L$29,0)-IF(AND('Bonding Program'!$P$29&lt;&gt;"",AN$3='Bonding Program'!$P$29),'Bonding Program'!$O$29,0)-IF(AND('Bonding Program'!$R$29&lt;&gt;"",AN$3='Bonding Program'!$R$29),'Bonding Program'!$Q$29,0),0)</f>
        <v>0</v>
      </c>
      <c r="AO170" s="19" t="n">
        <f aca="false">IF(AND('Bonding Program'!$S$29=1,AO$3='Bonding Program'!$H$29),'Bonding Program'!$AA$29,0)-IF(AO$3&lt;='Bonding Program'!$C$8,IF(AND('Bonding Program'!$K$29&lt;&gt;"",AO$3='Bonding Program'!$K$29),'Bonding Program'!$J$29,0)-IF(AND('Bonding Program'!$M$29&lt;&gt;"",AO$3='Bonding Program'!$M$29),'Bonding Program'!$L$29,0)-IF(AND('Bonding Program'!$P$29&lt;&gt;"",AO$3='Bonding Program'!$P$29),'Bonding Program'!$O$29,0)-IF(AND('Bonding Program'!$R$29&lt;&gt;"",AO$3='Bonding Program'!$R$29),'Bonding Program'!$Q$29,0),0)</f>
        <v>0</v>
      </c>
      <c r="AP170" s="19" t="n">
        <f aca="false">IF(AND('Bonding Program'!$S$29=1,AP$3='Bonding Program'!$H$29),'Bonding Program'!$AA$29,0)-IF(AP$3&lt;='Bonding Program'!$C$8,IF(AND('Bonding Program'!$K$29&lt;&gt;"",AP$3='Bonding Program'!$K$29),'Bonding Program'!$J$29,0)-IF(AND('Bonding Program'!$M$29&lt;&gt;"",AP$3='Bonding Program'!$M$29),'Bonding Program'!$L$29,0)-IF(AND('Bonding Program'!$P$29&lt;&gt;"",AP$3='Bonding Program'!$P$29),'Bonding Program'!$O$29,0)-IF(AND('Bonding Program'!$R$29&lt;&gt;"",AP$3='Bonding Program'!$R$29),'Bonding Program'!$Q$29,0),0)</f>
        <v>0</v>
      </c>
      <c r="AQ170" s="19" t="n">
        <f aca="false">IF(AND('Bonding Program'!$S$29=1,AQ$3='Bonding Program'!$H$29),'Bonding Program'!$AA$29,0)-IF(AQ$3&lt;='Bonding Program'!$C$8,IF(AND('Bonding Program'!$K$29&lt;&gt;"",AQ$3='Bonding Program'!$K$29),'Bonding Program'!$J$29,0)-IF(AND('Bonding Program'!$M$29&lt;&gt;"",AQ$3='Bonding Program'!$M$29),'Bonding Program'!$L$29,0)-IF(AND('Bonding Program'!$P$29&lt;&gt;"",AQ$3='Bonding Program'!$P$29),'Bonding Program'!$O$29,0)-IF(AND('Bonding Program'!$R$29&lt;&gt;"",AQ$3='Bonding Program'!$R$29),'Bonding Program'!$Q$29,0),0)</f>
        <v>0</v>
      </c>
      <c r="AR170" s="19" t="n">
        <f aca="false">IF(AND('Bonding Program'!$S$29=1,AR$3='Bonding Program'!$H$29),'Bonding Program'!$AA$29,0)-IF(AR$3&lt;='Bonding Program'!$C$8,IF(AND('Bonding Program'!$K$29&lt;&gt;"",AR$3='Bonding Program'!$K$29),'Bonding Program'!$J$29,0)-IF(AND('Bonding Program'!$M$29&lt;&gt;"",AR$3='Bonding Program'!$M$29),'Bonding Program'!$L$29,0)-IF(AND('Bonding Program'!$P$29&lt;&gt;"",AR$3='Bonding Program'!$P$29),'Bonding Program'!$O$29,0)-IF(AND('Bonding Program'!$R$29&lt;&gt;"",AR$3='Bonding Program'!$R$29),'Bonding Program'!$Q$29,0),0)</f>
        <v>0</v>
      </c>
      <c r="AS170" s="19" t="n">
        <f aca="false">IF(AND('Bonding Program'!$S$29=1,AS$3='Bonding Program'!$H$29),'Bonding Program'!$AA$29,0)-IF(AS$3&lt;='Bonding Program'!$C$8,IF(AND('Bonding Program'!$K$29&lt;&gt;"",AS$3='Bonding Program'!$K$29),'Bonding Program'!$J$29,0)-IF(AND('Bonding Program'!$M$29&lt;&gt;"",AS$3='Bonding Program'!$M$29),'Bonding Program'!$L$29,0)-IF(AND('Bonding Program'!$P$29&lt;&gt;"",AS$3='Bonding Program'!$P$29),'Bonding Program'!$O$29,0)-IF(AND('Bonding Program'!$R$29&lt;&gt;"",AS$3='Bonding Program'!$R$29),'Bonding Program'!$Q$29,0),0)</f>
        <v>0</v>
      </c>
      <c r="AT170" s="19" t="n">
        <f aca="false">IF(AND('Bonding Program'!$S$29=1,AT$3='Bonding Program'!$H$29),'Bonding Program'!$AA$29,0)-IF(AT$3&lt;='Bonding Program'!$C$8,IF(AND('Bonding Program'!$K$29&lt;&gt;"",AT$3='Bonding Program'!$K$29),'Bonding Program'!$J$29,0)-IF(AND('Bonding Program'!$M$29&lt;&gt;"",AT$3='Bonding Program'!$M$29),'Bonding Program'!$L$29,0)-IF(AND('Bonding Program'!$P$29&lt;&gt;"",AT$3='Bonding Program'!$P$29),'Bonding Program'!$O$29,0)-IF(AND('Bonding Program'!$R$29&lt;&gt;"",AT$3='Bonding Program'!$R$29),'Bonding Program'!$Q$29,0),0)</f>
        <v>0</v>
      </c>
      <c r="AU170" s="19" t="n">
        <f aca="false">IF(AND('Bonding Program'!$S$29=1,AU$3='Bonding Program'!$H$29),'Bonding Program'!$AA$29,0)-IF(AU$3&lt;='Bonding Program'!$C$8,IF(AND('Bonding Program'!$K$29&lt;&gt;"",AU$3='Bonding Program'!$K$29),'Bonding Program'!$J$29,0)-IF(AND('Bonding Program'!$M$29&lt;&gt;"",AU$3='Bonding Program'!$M$29),'Bonding Program'!$L$29,0)-IF(AND('Bonding Program'!$P$29&lt;&gt;"",AU$3='Bonding Program'!$P$29),'Bonding Program'!$O$29,0)-IF(AND('Bonding Program'!$R$29&lt;&gt;"",AU$3='Bonding Program'!$R$29),'Bonding Program'!$Q$29,0),0)</f>
        <v>0</v>
      </c>
      <c r="AV170" s="19" t="n">
        <f aca="false">IF(AND('Bonding Program'!$S$29=1,AV$3='Bonding Program'!$H$29),'Bonding Program'!$AA$29,0)-IF(AV$3&lt;='Bonding Program'!$C$8,IF(AND('Bonding Program'!$K$29&lt;&gt;"",AV$3='Bonding Program'!$K$29),'Bonding Program'!$J$29,0)-IF(AND('Bonding Program'!$M$29&lt;&gt;"",AV$3='Bonding Program'!$M$29),'Bonding Program'!$L$29,0)-IF(AND('Bonding Program'!$P$29&lt;&gt;"",AV$3='Bonding Program'!$P$29),'Bonding Program'!$O$29,0)-IF(AND('Bonding Program'!$R$29&lt;&gt;"",AV$3='Bonding Program'!$R$29),'Bonding Program'!$Q$29,0),0)</f>
        <v>0</v>
      </c>
      <c r="AW170" s="19" t="n">
        <f aca="false">IF(AND('Bonding Program'!$S$29=1,AW$3='Bonding Program'!$H$29),'Bonding Program'!$AA$29,0)-IF(AW$3&lt;='Bonding Program'!$C$8,IF(AND('Bonding Program'!$K$29&lt;&gt;"",AW$3='Bonding Program'!$K$29),'Bonding Program'!$J$29,0)-IF(AND('Bonding Program'!$M$29&lt;&gt;"",AW$3='Bonding Program'!$M$29),'Bonding Program'!$L$29,0)-IF(AND('Bonding Program'!$P$29&lt;&gt;"",AW$3='Bonding Program'!$P$29),'Bonding Program'!$O$29,0)-IF(AND('Bonding Program'!$R$29&lt;&gt;"",AW$3='Bonding Program'!$R$29),'Bonding Program'!$Q$29,0),0)</f>
        <v>0</v>
      </c>
      <c r="AX170" s="19" t="n">
        <f aca="false">IF(AND('Bonding Program'!$S$29=1,AX$3='Bonding Program'!$H$29),'Bonding Program'!$AA$29,0)-IF(AX$3&lt;='Bonding Program'!$C$8,IF(AND('Bonding Program'!$K$29&lt;&gt;"",AX$3='Bonding Program'!$K$29),'Bonding Program'!$J$29,0)-IF(AND('Bonding Program'!$M$29&lt;&gt;"",AX$3='Bonding Program'!$M$29),'Bonding Program'!$L$29,0)-IF(AND('Bonding Program'!$P$29&lt;&gt;"",AX$3='Bonding Program'!$P$29),'Bonding Program'!$O$29,0)-IF(AND('Bonding Program'!$R$29&lt;&gt;"",AX$3='Bonding Program'!$R$29),'Bonding Program'!$Q$29,0),0)</f>
        <v>0</v>
      </c>
      <c r="AY170" s="19" t="n">
        <f aca="false">IF(AND('Bonding Program'!$S$29=1,AY$3='Bonding Program'!$H$29),'Bonding Program'!$AA$29,0)-IF(AY$3&lt;='Bonding Program'!$C$8,IF(AND('Bonding Program'!$K$29&lt;&gt;"",AY$3='Bonding Program'!$K$29),'Bonding Program'!$J$29,0)-IF(AND('Bonding Program'!$M$29&lt;&gt;"",AY$3='Bonding Program'!$M$29),'Bonding Program'!$L$29,0)-IF(AND('Bonding Program'!$P$29&lt;&gt;"",AY$3='Bonding Program'!$P$29),'Bonding Program'!$O$29,0)-IF(AND('Bonding Program'!$R$29&lt;&gt;"",AY$3='Bonding Program'!$R$29),'Bonding Program'!$Q$29,0),0)</f>
        <v>0</v>
      </c>
      <c r="AZ170" s="19" t="n">
        <f aca="false">IF(AND('Bonding Program'!$S$29=1,AZ$3='Bonding Program'!$H$29),'Bonding Program'!$AA$29,0)-IF(AZ$3&lt;='Bonding Program'!$C$8,IF(AND('Bonding Program'!$K$29&lt;&gt;"",AZ$3='Bonding Program'!$K$29),'Bonding Program'!$J$29,0)-IF(AND('Bonding Program'!$M$29&lt;&gt;"",AZ$3='Bonding Program'!$M$29),'Bonding Program'!$L$29,0)-IF(AND('Bonding Program'!$P$29&lt;&gt;"",AZ$3='Bonding Program'!$P$29),'Bonding Program'!$O$29,0)-IF(AND('Bonding Program'!$R$29&lt;&gt;"",AZ$3='Bonding Program'!$R$29),'Bonding Program'!$Q$29,0),0)</f>
        <v>0</v>
      </c>
      <c r="BA170" s="19" t="n">
        <f aca="false">IF(AND('Bonding Program'!$S$29=1,BA$3='Bonding Program'!$H$29),'Bonding Program'!$AA$29,0)-IF(BA$3&lt;='Bonding Program'!$C$8,IF(AND('Bonding Program'!$K$29&lt;&gt;"",BA$3='Bonding Program'!$K$29),'Bonding Program'!$J$29,0)-IF(AND('Bonding Program'!$M$29&lt;&gt;"",BA$3='Bonding Program'!$M$29),'Bonding Program'!$L$29,0)-IF(AND('Bonding Program'!$P$29&lt;&gt;"",BA$3='Bonding Program'!$P$29),'Bonding Program'!$O$29,0)-IF(AND('Bonding Program'!$R$29&lt;&gt;"",BA$3='Bonding Program'!$R$29),'Bonding Program'!$Q$29,0),0)</f>
        <v>0</v>
      </c>
      <c r="BB170" s="19" t="n">
        <f aca="false">IF(AND('Bonding Program'!$S$29=1,BB$3='Bonding Program'!$H$29),'Bonding Program'!$AA$29,0)-IF(BB$3&lt;='Bonding Program'!$C$8,IF(AND('Bonding Program'!$K$29&lt;&gt;"",BB$3='Bonding Program'!$K$29),'Bonding Program'!$J$29,0)-IF(AND('Bonding Program'!$M$29&lt;&gt;"",BB$3='Bonding Program'!$M$29),'Bonding Program'!$L$29,0)-IF(AND('Bonding Program'!$P$29&lt;&gt;"",BB$3='Bonding Program'!$P$29),'Bonding Program'!$O$29,0)-IF(AND('Bonding Program'!$R$29&lt;&gt;"",BB$3='Bonding Program'!$R$29),'Bonding Program'!$Q$29,0),0)</f>
        <v>0</v>
      </c>
      <c r="BC170" s="19" t="n">
        <f aca="false">IF(AND('Bonding Program'!$S$29=1,BC$3='Bonding Program'!$H$29),'Bonding Program'!$AA$29,0)-IF(BC$3&lt;='Bonding Program'!$C$8,IF(AND('Bonding Program'!$K$29&lt;&gt;"",BC$3='Bonding Program'!$K$29),'Bonding Program'!$J$29,0)-IF(AND('Bonding Program'!$M$29&lt;&gt;"",BC$3='Bonding Program'!$M$29),'Bonding Program'!$L$29,0)-IF(AND('Bonding Program'!$P$29&lt;&gt;"",BC$3='Bonding Program'!$P$29),'Bonding Program'!$O$29,0)-IF(AND('Bonding Program'!$R$29&lt;&gt;"",BC$3='Bonding Program'!$R$29),'Bonding Program'!$Q$29,0),0)</f>
        <v>0</v>
      </c>
      <c r="BD170" s="19" t="n">
        <f aca="false">IF(AND('Bonding Program'!$S$29=1,BD$3='Bonding Program'!$H$29),'Bonding Program'!$AA$29,0)-IF(BD$3&lt;='Bonding Program'!$C$8,IF(AND('Bonding Program'!$K$29&lt;&gt;"",BD$3='Bonding Program'!$K$29),'Bonding Program'!$J$29,0)-IF(AND('Bonding Program'!$M$29&lt;&gt;"",BD$3='Bonding Program'!$M$29),'Bonding Program'!$L$29,0)-IF(AND('Bonding Program'!$P$29&lt;&gt;"",BD$3='Bonding Program'!$P$29),'Bonding Program'!$O$29,0)-IF(AND('Bonding Program'!$R$29&lt;&gt;"",BD$3='Bonding Program'!$R$29),'Bonding Program'!$Q$29,0),0)</f>
        <v>0</v>
      </c>
      <c r="BE170" s="19" t="n">
        <f aca="false">IF(AND('Bonding Program'!$S$29=1,BE$3='Bonding Program'!$H$29),'Bonding Program'!$AA$29,0)-IF(BE$3&lt;='Bonding Program'!$C$8,IF(AND('Bonding Program'!$K$29&lt;&gt;"",BE$3='Bonding Program'!$K$29),'Bonding Program'!$J$29,0)-IF(AND('Bonding Program'!$M$29&lt;&gt;"",BE$3='Bonding Program'!$M$29),'Bonding Program'!$L$29,0)-IF(AND('Bonding Program'!$P$29&lt;&gt;"",BE$3='Bonding Program'!$P$29),'Bonding Program'!$O$29,0)-IF(AND('Bonding Program'!$R$29&lt;&gt;"",BE$3='Bonding Program'!$R$29),'Bonding Program'!$Q$29,0),0)</f>
        <v>0</v>
      </c>
      <c r="BF170" s="19" t="n">
        <f aca="false">IF(AND('Bonding Program'!$S$29=1,BF$3='Bonding Program'!$H$29),'Bonding Program'!$AA$29,0)-IF(BF$3&lt;='Bonding Program'!$C$8,IF(AND('Bonding Program'!$K$29&lt;&gt;"",BF$3='Bonding Program'!$K$29),'Bonding Program'!$J$29,0)-IF(AND('Bonding Program'!$M$29&lt;&gt;"",BF$3='Bonding Program'!$M$29),'Bonding Program'!$L$29,0)-IF(AND('Bonding Program'!$P$29&lt;&gt;"",BF$3='Bonding Program'!$P$29),'Bonding Program'!$O$29,0)-IF(AND('Bonding Program'!$R$29&lt;&gt;"",BF$3='Bonding Program'!$R$29),'Bonding Program'!$Q$29,0),0)</f>
        <v>0</v>
      </c>
      <c r="BG170" s="19" t="n">
        <f aca="false">IF(AND('Bonding Program'!$S$29=1,BG$3='Bonding Program'!$H$29),'Bonding Program'!$AA$29,0)-IF(BG$3&lt;='Bonding Program'!$C$8,IF(AND('Bonding Program'!$K$29&lt;&gt;"",BG$3='Bonding Program'!$K$29),'Bonding Program'!$J$29,0)-IF(AND('Bonding Program'!$M$29&lt;&gt;"",BG$3='Bonding Program'!$M$29),'Bonding Program'!$L$29,0)-IF(AND('Bonding Program'!$P$29&lt;&gt;"",BG$3='Bonding Program'!$P$29),'Bonding Program'!$O$29,0)-IF(AND('Bonding Program'!$R$29&lt;&gt;"",BG$3='Bonding Program'!$R$29),'Bonding Program'!$Q$29,0),0)</f>
        <v>0</v>
      </c>
      <c r="BH170" s="19" t="n">
        <f aca="false">IF(AND('Bonding Program'!$S$29=1,BH$3='Bonding Program'!$H$29),'Bonding Program'!$AA$29,0)-IF(BH$3&lt;='Bonding Program'!$C$8,IF(AND('Bonding Program'!$K$29&lt;&gt;"",BH$3='Bonding Program'!$K$29),'Bonding Program'!$J$29,0)-IF(AND('Bonding Program'!$M$29&lt;&gt;"",BH$3='Bonding Program'!$M$29),'Bonding Program'!$L$29,0)-IF(AND('Bonding Program'!$P$29&lt;&gt;"",BH$3='Bonding Program'!$P$29),'Bonding Program'!$O$29,0)-IF(AND('Bonding Program'!$R$29&lt;&gt;"",BH$3='Bonding Program'!$R$29),'Bonding Program'!$Q$29,0),0)</f>
        <v>0</v>
      </c>
      <c r="BI170" s="19" t="n">
        <f aca="false">IF(AND('Bonding Program'!$S$29=1,BI$3='Bonding Program'!$H$29),'Bonding Program'!$AA$29,0)-IF(BI$3&lt;='Bonding Program'!$C$8,IF(AND('Bonding Program'!$K$29&lt;&gt;"",BI$3='Bonding Program'!$K$29),'Bonding Program'!$J$29,0)-IF(AND('Bonding Program'!$M$29&lt;&gt;"",BI$3='Bonding Program'!$M$29),'Bonding Program'!$L$29,0)-IF(AND('Bonding Program'!$P$29&lt;&gt;"",BI$3='Bonding Program'!$P$29),'Bonding Program'!$O$29,0)-IF(AND('Bonding Program'!$R$29&lt;&gt;"",BI$3='Bonding Program'!$R$29),'Bonding Program'!$Q$29,0),0)</f>
        <v>0</v>
      </c>
      <c r="BJ170" s="19" t="n">
        <f aca="false">IF(AND('Bonding Program'!$S$29=1,BJ$3='Bonding Program'!$H$29),'Bonding Program'!$AA$29,0)-IF(BJ$3&lt;='Bonding Program'!$C$8,IF(AND('Bonding Program'!$K$29&lt;&gt;"",BJ$3='Bonding Program'!$K$29),'Bonding Program'!$J$29,0)-IF(AND('Bonding Program'!$M$29&lt;&gt;"",BJ$3='Bonding Program'!$M$29),'Bonding Program'!$L$29,0)-IF(AND('Bonding Program'!$P$29&lt;&gt;"",BJ$3='Bonding Program'!$P$29),'Bonding Program'!$O$29,0)-IF(AND('Bonding Program'!$R$29&lt;&gt;"",BJ$3='Bonding Program'!$R$29),'Bonding Program'!$Q$29,0),0)</f>
        <v>0</v>
      </c>
      <c r="BK170" s="19" t="n">
        <f aca="false">IF(AND('Bonding Program'!$S$29=1,BK$3='Bonding Program'!$H$29),'Bonding Program'!$AA$29,0)-IF(BK$3&lt;='Bonding Program'!$C$8,IF(AND('Bonding Program'!$K$29&lt;&gt;"",BK$3='Bonding Program'!$K$29),'Bonding Program'!$J$29,0)-IF(AND('Bonding Program'!$M$29&lt;&gt;"",BK$3='Bonding Program'!$M$29),'Bonding Program'!$L$29,0)-IF(AND('Bonding Program'!$P$29&lt;&gt;"",BK$3='Bonding Program'!$P$29),'Bonding Program'!$O$29,0)-IF(AND('Bonding Program'!$R$29&lt;&gt;"",BK$3='Bonding Program'!$R$29),'Bonding Program'!$Q$29,0),0)</f>
        <v>0</v>
      </c>
      <c r="BL170" s="19" t="n">
        <f aca="false">IF(AND('Bonding Program'!$S$29=1,BL$3='Bonding Program'!$H$29),'Bonding Program'!$AA$29,0)-IF(BL$3&lt;='Bonding Program'!$C$8,IF(AND('Bonding Program'!$K$29&lt;&gt;"",BL$3='Bonding Program'!$K$29),'Bonding Program'!$J$29,0)-IF(AND('Bonding Program'!$M$29&lt;&gt;"",BL$3='Bonding Program'!$M$29),'Bonding Program'!$L$29,0)-IF(AND('Bonding Program'!$P$29&lt;&gt;"",BL$3='Bonding Program'!$P$29),'Bonding Program'!$O$29,0)-IF(AND('Bonding Program'!$R$29&lt;&gt;"",BL$3='Bonding Program'!$R$29),'Bonding Program'!$Q$29,0),0)</f>
        <v>0</v>
      </c>
      <c r="BM170" s="19" t="n">
        <f aca="false">IF(AND('Bonding Program'!$S$29=1,BM$3='Bonding Program'!$H$29),'Bonding Program'!$AA$29,0)-IF(BM$3&lt;='Bonding Program'!$C$8,IF(AND('Bonding Program'!$K$29&lt;&gt;"",BM$3='Bonding Program'!$K$29),'Bonding Program'!$J$29,0)-IF(AND('Bonding Program'!$M$29&lt;&gt;"",BM$3='Bonding Program'!$M$29),'Bonding Program'!$L$29,0)-IF(AND('Bonding Program'!$P$29&lt;&gt;"",BM$3='Bonding Program'!$P$29),'Bonding Program'!$O$29,0)-IF(AND('Bonding Program'!$R$29&lt;&gt;"",BM$3='Bonding Program'!$R$29),'Bonding Program'!$Q$29,0),0)</f>
        <v>0</v>
      </c>
      <c r="BN170" s="19" t="n">
        <f aca="false">IF(AND('Bonding Program'!$S$29=1,BN$3='Bonding Program'!$H$29),'Bonding Program'!$AA$29,0)-IF(BN$3&lt;='Bonding Program'!$C$8,IF(AND('Bonding Program'!$K$29&lt;&gt;"",BN$3='Bonding Program'!$K$29),'Bonding Program'!$J$29,0)-IF(AND('Bonding Program'!$M$29&lt;&gt;"",BN$3='Bonding Program'!$M$29),'Bonding Program'!$L$29,0)-IF(AND('Bonding Program'!$P$29&lt;&gt;"",BN$3='Bonding Program'!$P$29),'Bonding Program'!$O$29,0)-IF(AND('Bonding Program'!$R$29&lt;&gt;"",BN$3='Bonding Program'!$R$29),'Bonding Program'!$Q$29,0),0)</f>
        <v>0</v>
      </c>
      <c r="BO170" s="19" t="n">
        <f aca="false">IF(AND('Bonding Program'!$S$29=1,BO$3='Bonding Program'!$H$29),'Bonding Program'!$AA$29,0)-IF(BO$3&lt;='Bonding Program'!$C$8,IF(AND('Bonding Program'!$K$29&lt;&gt;"",BO$3='Bonding Program'!$K$29),'Bonding Program'!$J$29,0)-IF(AND('Bonding Program'!$M$29&lt;&gt;"",BO$3='Bonding Program'!$M$29),'Bonding Program'!$L$29,0)-IF(AND('Bonding Program'!$P$29&lt;&gt;"",BO$3='Bonding Program'!$P$29),'Bonding Program'!$O$29,0)-IF(AND('Bonding Program'!$R$29&lt;&gt;"",BO$3='Bonding Program'!$R$29),'Bonding Program'!$Q$29,0),0)</f>
        <v>0</v>
      </c>
      <c r="BP170" s="19" t="n">
        <f aca="false">IF(AND('Bonding Program'!$S$29=1,BP$3='Bonding Program'!$H$29),'Bonding Program'!$AA$29,0)-IF(BP$3&lt;='Bonding Program'!$C$8,IF(AND('Bonding Program'!$K$29&lt;&gt;"",BP$3='Bonding Program'!$K$29),'Bonding Program'!$J$29,0)-IF(AND('Bonding Program'!$M$29&lt;&gt;"",BP$3='Bonding Program'!$M$29),'Bonding Program'!$L$29,0)-IF(AND('Bonding Program'!$P$29&lt;&gt;"",BP$3='Bonding Program'!$P$29),'Bonding Program'!$O$29,0)-IF(AND('Bonding Program'!$R$29&lt;&gt;"",BP$3='Bonding Program'!$R$29),'Bonding Program'!$Q$29,0),0)</f>
        <v>0</v>
      </c>
      <c r="BQ170" s="19" t="n">
        <f aca="false">IF(AND('Bonding Program'!$S$29=1,BQ$3='Bonding Program'!$H$29),'Bonding Program'!$AA$29,0)-IF(BQ$3&lt;='Bonding Program'!$C$8,IF(AND('Bonding Program'!$K$29&lt;&gt;"",BQ$3='Bonding Program'!$K$29),'Bonding Program'!$J$29,0)-IF(AND('Bonding Program'!$M$29&lt;&gt;"",BQ$3='Bonding Program'!$M$29),'Bonding Program'!$L$29,0)-IF(AND('Bonding Program'!$P$29&lt;&gt;"",BQ$3='Bonding Program'!$P$29),'Bonding Program'!$O$29,0)-IF(AND('Bonding Program'!$R$29&lt;&gt;"",BQ$3='Bonding Program'!$R$29),'Bonding Program'!$Q$29,0),0)</f>
        <v>0</v>
      </c>
      <c r="BR170" s="19" t="n">
        <f aca="false">IF(AND('Bonding Program'!$S$29=1,BR$3='Bonding Program'!$H$29),'Bonding Program'!$AA$29,0)-IF(BR$3&lt;='Bonding Program'!$C$8,IF(AND('Bonding Program'!$K$29&lt;&gt;"",BR$3='Bonding Program'!$K$29),'Bonding Program'!$J$29,0)-IF(AND('Bonding Program'!$M$29&lt;&gt;"",BR$3='Bonding Program'!$M$29),'Bonding Program'!$L$29,0)-IF(AND('Bonding Program'!$P$29&lt;&gt;"",BR$3='Bonding Program'!$P$29),'Bonding Program'!$O$29,0)-IF(AND('Bonding Program'!$R$29&lt;&gt;"",BR$3='Bonding Program'!$R$29),'Bonding Program'!$Q$29,0),0)</f>
        <v>0</v>
      </c>
      <c r="BS170" s="19" t="n">
        <f aca="false">IF(AND('Bonding Program'!$S$29=1,BS$3='Bonding Program'!$H$29),'Bonding Program'!$AA$29,0)-IF(BS$3&lt;='Bonding Program'!$C$8,IF(AND('Bonding Program'!$K$29&lt;&gt;"",BS$3='Bonding Program'!$K$29),'Bonding Program'!$J$29,0)-IF(AND('Bonding Program'!$M$29&lt;&gt;"",BS$3='Bonding Program'!$M$29),'Bonding Program'!$L$29,0)-IF(AND('Bonding Program'!$P$29&lt;&gt;"",BS$3='Bonding Program'!$P$29),'Bonding Program'!$O$29,0)-IF(AND('Bonding Program'!$R$29&lt;&gt;"",BS$3='Bonding Program'!$R$29),'Bonding Program'!$Q$29,0),0)</f>
        <v>0</v>
      </c>
      <c r="BT170" s="19" t="n">
        <f aca="false">IF(AND('Bonding Program'!$S$29=1,BT$3='Bonding Program'!$H$29),'Bonding Program'!$AA$29,0)-IF(BT$3&lt;='Bonding Program'!$C$8,IF(AND('Bonding Program'!$K$29&lt;&gt;"",BT$3='Bonding Program'!$K$29),'Bonding Program'!$J$29,0)-IF(AND('Bonding Program'!$M$29&lt;&gt;"",BT$3='Bonding Program'!$M$29),'Bonding Program'!$L$29,0)-IF(AND('Bonding Program'!$P$29&lt;&gt;"",BT$3='Bonding Program'!$P$29),'Bonding Program'!$O$29,0)-IF(AND('Bonding Program'!$R$29&lt;&gt;"",BT$3='Bonding Program'!$R$29),'Bonding Program'!$Q$29,0),0)</f>
        <v>0</v>
      </c>
      <c r="BU170" s="19" t="n">
        <f aca="false">IF(AND('Bonding Program'!$S$29=1,BU$3='Bonding Program'!$H$29),'Bonding Program'!$AA$29,0)-IF(BU$3&lt;='Bonding Program'!$C$8,IF(AND('Bonding Program'!$K$29&lt;&gt;"",BU$3='Bonding Program'!$K$29),'Bonding Program'!$J$29,0)-IF(AND('Bonding Program'!$M$29&lt;&gt;"",BU$3='Bonding Program'!$M$29),'Bonding Program'!$L$29,0)-IF(AND('Bonding Program'!$P$29&lt;&gt;"",BU$3='Bonding Program'!$P$29),'Bonding Program'!$O$29,0)-IF(AND('Bonding Program'!$R$29&lt;&gt;"",BU$3='Bonding Program'!$R$29),'Bonding Program'!$Q$29,0),0)</f>
        <v>0</v>
      </c>
      <c r="BV170" s="19" t="n">
        <f aca="false">IF(AND('Bonding Program'!$S$29=1,BV$3='Bonding Program'!$H$29),'Bonding Program'!$AA$29,0)-IF(BV$3&lt;='Bonding Program'!$C$8,IF(AND('Bonding Program'!$K$29&lt;&gt;"",BV$3='Bonding Program'!$K$29),'Bonding Program'!$J$29,0)-IF(AND('Bonding Program'!$M$29&lt;&gt;"",BV$3='Bonding Program'!$M$29),'Bonding Program'!$L$29,0)-IF(AND('Bonding Program'!$P$29&lt;&gt;"",BV$3='Bonding Program'!$P$29),'Bonding Program'!$O$29,0)-IF(AND('Bonding Program'!$R$29&lt;&gt;"",BV$3='Bonding Program'!$R$29),'Bonding Program'!$Q$29,0),0)</f>
        <v>0</v>
      </c>
      <c r="BW170" s="19" t="n">
        <f aca="false">IF(AND('Bonding Program'!$S$29=1,BW$3='Bonding Program'!$H$29),'Bonding Program'!$AA$29,0)-IF(BW$3&lt;='Bonding Program'!$C$8,IF(AND('Bonding Program'!$K$29&lt;&gt;"",BW$3='Bonding Program'!$K$29),'Bonding Program'!$J$29,0)-IF(AND('Bonding Program'!$M$29&lt;&gt;"",BW$3='Bonding Program'!$M$29),'Bonding Program'!$L$29,0)-IF(AND('Bonding Program'!$P$29&lt;&gt;"",BW$3='Bonding Program'!$P$29),'Bonding Program'!$O$29,0)-IF(AND('Bonding Program'!$R$29&lt;&gt;"",BW$3='Bonding Program'!$R$29),'Bonding Program'!$Q$29,0),0)</f>
        <v>0</v>
      </c>
      <c r="BX170" s="19" t="n">
        <f aca="false">IF(AND('Bonding Program'!$S$29=1,BX$3='Bonding Program'!$H$29),'Bonding Program'!$AA$29,0)-IF(BX$3&lt;='Bonding Program'!$C$8,IF(AND('Bonding Program'!$K$29&lt;&gt;"",BX$3='Bonding Program'!$K$29),'Bonding Program'!$J$29,0)-IF(AND('Bonding Program'!$M$29&lt;&gt;"",BX$3='Bonding Program'!$M$29),'Bonding Program'!$L$29,0)-IF(AND('Bonding Program'!$P$29&lt;&gt;"",BX$3='Bonding Program'!$P$29),'Bonding Program'!$O$29,0)-IF(AND('Bonding Program'!$R$29&lt;&gt;"",BX$3='Bonding Program'!$R$29),'Bonding Program'!$Q$29,0),0)</f>
        <v>0</v>
      </c>
      <c r="BY170" s="19" t="n">
        <f aca="false">IF(AND('Bonding Program'!$S$29=1,BY$3='Bonding Program'!$H$29),'Bonding Program'!$AA$29,0)-IF(BY$3&lt;='Bonding Program'!$C$8,IF(AND('Bonding Program'!$K$29&lt;&gt;"",BY$3='Bonding Program'!$K$29),'Bonding Program'!$J$29,0)-IF(AND('Bonding Program'!$M$29&lt;&gt;"",BY$3='Bonding Program'!$M$29),'Bonding Program'!$L$29,0)-IF(AND('Bonding Program'!$P$29&lt;&gt;"",BY$3='Bonding Program'!$P$29),'Bonding Program'!$O$29,0)-IF(AND('Bonding Program'!$R$29&lt;&gt;"",BY$3='Bonding Program'!$R$29),'Bonding Program'!$Q$29,0),0)</f>
        <v>0</v>
      </c>
      <c r="BZ170" s="19" t="n">
        <f aca="false">IF(AND('Bonding Program'!$S$29=1,BZ$3='Bonding Program'!$H$29),'Bonding Program'!$AA$29,0)-IF(BZ$3&lt;='Bonding Program'!$C$8,IF(AND('Bonding Program'!$K$29&lt;&gt;"",BZ$3='Bonding Program'!$K$29),'Bonding Program'!$J$29,0)-IF(AND('Bonding Program'!$M$29&lt;&gt;"",BZ$3='Bonding Program'!$M$29),'Bonding Program'!$L$29,0)-IF(AND('Bonding Program'!$P$29&lt;&gt;"",BZ$3='Bonding Program'!$P$29),'Bonding Program'!$O$29,0)-IF(AND('Bonding Program'!$R$29&lt;&gt;"",BZ$3='Bonding Program'!$R$29),'Bonding Program'!$Q$29,0),0)</f>
        <v>0</v>
      </c>
      <c r="CA170" s="19" t="n">
        <f aca="false">IF(AND('Bonding Program'!$S$29=1,CA$3='Bonding Program'!$H$29),'Bonding Program'!$AA$29,0)-IF(CA$3&lt;='Bonding Program'!$C$8,IF(AND('Bonding Program'!$K$29&lt;&gt;"",CA$3='Bonding Program'!$K$29),'Bonding Program'!$J$29,0)-IF(AND('Bonding Program'!$M$29&lt;&gt;"",CA$3='Bonding Program'!$M$29),'Bonding Program'!$L$29,0)-IF(AND('Bonding Program'!$P$29&lt;&gt;"",CA$3='Bonding Program'!$P$29),'Bonding Program'!$O$29,0)-IF(AND('Bonding Program'!$R$29&lt;&gt;"",CA$3='Bonding Program'!$R$29),'Bonding Program'!$Q$29,0),0)</f>
        <v>0</v>
      </c>
      <c r="CB170" s="19" t="n">
        <f aca="false">IF(AND('Bonding Program'!$S$29=1,CB$3='Bonding Program'!$H$29),'Bonding Program'!$AA$29,0)-IF(CB$3&lt;='Bonding Program'!$C$8,IF(AND('Bonding Program'!$K$29&lt;&gt;"",CB$3='Bonding Program'!$K$29),'Bonding Program'!$J$29,0)-IF(AND('Bonding Program'!$M$29&lt;&gt;"",CB$3='Bonding Program'!$M$29),'Bonding Program'!$L$29,0)-IF(AND('Bonding Program'!$P$29&lt;&gt;"",CB$3='Bonding Program'!$P$29),'Bonding Program'!$O$29,0)-IF(AND('Bonding Program'!$R$29&lt;&gt;"",CB$3='Bonding Program'!$R$29),'Bonding Program'!$Q$29,0),0)</f>
        <v>0</v>
      </c>
      <c r="CC170" s="19" t="n">
        <f aca="false">IF(AND('Bonding Program'!$S$29=1,CC$3='Bonding Program'!$H$29),'Bonding Program'!$AA$29,0)-IF(CC$3&lt;='Bonding Program'!$C$8,IF(AND('Bonding Program'!$K$29&lt;&gt;"",CC$3='Bonding Program'!$K$29),'Bonding Program'!$J$29,0)-IF(AND('Bonding Program'!$M$29&lt;&gt;"",CC$3='Bonding Program'!$M$29),'Bonding Program'!$L$29,0)-IF(AND('Bonding Program'!$P$29&lt;&gt;"",CC$3='Bonding Program'!$P$29),'Bonding Program'!$O$29,0)-IF(AND('Bonding Program'!$R$29&lt;&gt;"",CC$3='Bonding Program'!$R$29),'Bonding Program'!$Q$29,0),0)</f>
        <v>0</v>
      </c>
      <c r="CD170" s="19" t="n">
        <f aca="false">IF(AND('Bonding Program'!$S$29=1,CD$3='Bonding Program'!$H$29),'Bonding Program'!$AA$29,0)-IF(CD$3&lt;='Bonding Program'!$C$8,IF(AND('Bonding Program'!$K$29&lt;&gt;"",CD$3='Bonding Program'!$K$29),'Bonding Program'!$J$29,0)-IF(AND('Bonding Program'!$M$29&lt;&gt;"",CD$3='Bonding Program'!$M$29),'Bonding Program'!$L$29,0)-IF(AND('Bonding Program'!$P$29&lt;&gt;"",CD$3='Bonding Program'!$P$29),'Bonding Program'!$O$29,0)-IF(AND('Bonding Program'!$R$29&lt;&gt;"",CD$3='Bonding Program'!$R$29),'Bonding Program'!$Q$29,0),0)</f>
        <v>0</v>
      </c>
      <c r="CE170" s="19" t="n">
        <f aca="false">IF(AND('Bonding Program'!$S$29=1,CE$3='Bonding Program'!$H$29),'Bonding Program'!$AA$29,0)-IF(CE$3&lt;='Bonding Program'!$C$8,IF(AND('Bonding Program'!$K$29&lt;&gt;"",CE$3='Bonding Program'!$K$29),'Bonding Program'!$J$29,0)-IF(AND('Bonding Program'!$M$29&lt;&gt;"",CE$3='Bonding Program'!$M$29),'Bonding Program'!$L$29,0)-IF(AND('Bonding Program'!$P$29&lt;&gt;"",CE$3='Bonding Program'!$P$29),'Bonding Program'!$O$29,0)-IF(AND('Bonding Program'!$R$29&lt;&gt;"",CE$3='Bonding Program'!$R$29),'Bonding Program'!$Q$29,0),0)</f>
        <v>0</v>
      </c>
      <c r="CF170" s="19" t="n">
        <f aca="false">IF(AND('Bonding Program'!$S$29=1,CF$3='Bonding Program'!$H$29),'Bonding Program'!$AA$29,0)-IF(CF$3&lt;='Bonding Program'!$C$8,IF(AND('Bonding Program'!$K$29&lt;&gt;"",CF$3='Bonding Program'!$K$29),'Bonding Program'!$J$29,0)-IF(AND('Bonding Program'!$M$29&lt;&gt;"",CF$3='Bonding Program'!$M$29),'Bonding Program'!$L$29,0)-IF(AND('Bonding Program'!$P$29&lt;&gt;"",CF$3='Bonding Program'!$P$29),'Bonding Program'!$O$29,0)-IF(AND('Bonding Program'!$R$29&lt;&gt;"",CF$3='Bonding Program'!$R$29),'Bonding Program'!$Q$29,0),0)</f>
        <v>0</v>
      </c>
      <c r="CG170" s="19" t="n">
        <f aca="false">IF(AND('Bonding Program'!$S$29=1,CG$3='Bonding Program'!$H$29),'Bonding Program'!$AA$29,0)-IF(CG$3&lt;='Bonding Program'!$C$8,IF(AND('Bonding Program'!$K$29&lt;&gt;"",CG$3='Bonding Program'!$K$29),'Bonding Program'!$J$29,0)-IF(AND('Bonding Program'!$M$29&lt;&gt;"",CG$3='Bonding Program'!$M$29),'Bonding Program'!$L$29,0)-IF(AND('Bonding Program'!$P$29&lt;&gt;"",CG$3='Bonding Program'!$P$29),'Bonding Program'!$O$29,0)-IF(AND('Bonding Program'!$R$29&lt;&gt;"",CG$3='Bonding Program'!$R$29),'Bonding Program'!$Q$29,0),0)</f>
        <v>0</v>
      </c>
      <c r="CH170" s="19" t="n">
        <f aca="false">IF(AND('Bonding Program'!$S$29=1,CH$3='Bonding Program'!$H$29),'Bonding Program'!$AA$29,0)-IF(CH$3&lt;='Bonding Program'!$C$8,IF(AND('Bonding Program'!$K$29&lt;&gt;"",CH$3='Bonding Program'!$K$29),'Bonding Program'!$J$29,0)-IF(AND('Bonding Program'!$M$29&lt;&gt;"",CH$3='Bonding Program'!$M$29),'Bonding Program'!$L$29,0)-IF(AND('Bonding Program'!$P$29&lt;&gt;"",CH$3='Bonding Program'!$P$29),'Bonding Program'!$O$29,0)-IF(AND('Bonding Program'!$R$29&lt;&gt;"",CH$3='Bonding Program'!$R$29),'Bonding Program'!$Q$29,0),0)</f>
        <v>0</v>
      </c>
      <c r="CI170" s="19" t="n">
        <f aca="false">IF(AND('Bonding Program'!$S$29=1,CI$3='Bonding Program'!$H$29),'Bonding Program'!$AA$29,0)-IF(CI$3&lt;='Bonding Program'!$C$8,IF(AND('Bonding Program'!$K$29&lt;&gt;"",CI$3='Bonding Program'!$K$29),'Bonding Program'!$J$29,0)-IF(AND('Bonding Program'!$M$29&lt;&gt;"",CI$3='Bonding Program'!$M$29),'Bonding Program'!$L$29,0)-IF(AND('Bonding Program'!$P$29&lt;&gt;"",CI$3='Bonding Program'!$P$29),'Bonding Program'!$O$29,0)-IF(AND('Bonding Program'!$R$29&lt;&gt;"",CI$3='Bonding Program'!$R$29),'Bonding Program'!$Q$29,0),0)</f>
        <v>0</v>
      </c>
      <c r="CJ170" s="19" t="n">
        <f aca="false">IF(AND('Bonding Program'!$S$29=1,CJ$3='Bonding Program'!$H$29),'Bonding Program'!$AA$29,0)-IF(CJ$3&lt;='Bonding Program'!$C$8,IF(AND('Bonding Program'!$K$29&lt;&gt;"",CJ$3='Bonding Program'!$K$29),'Bonding Program'!$J$29,0)-IF(AND('Bonding Program'!$M$29&lt;&gt;"",CJ$3='Bonding Program'!$M$29),'Bonding Program'!$L$29,0)-IF(AND('Bonding Program'!$P$29&lt;&gt;"",CJ$3='Bonding Program'!$P$29),'Bonding Program'!$O$29,0)-IF(AND('Bonding Program'!$R$29&lt;&gt;"",CJ$3='Bonding Program'!$R$29),'Bonding Program'!$Q$29,0),0)</f>
        <v>0</v>
      </c>
      <c r="CK170" s="19" t="n">
        <f aca="false">IF(AND('Bonding Program'!$S$29=1,CK$3='Bonding Program'!$H$29),'Bonding Program'!$AA$29,0)-IF(CK$3&lt;='Bonding Program'!$C$8,IF(AND('Bonding Program'!$K$29&lt;&gt;"",CK$3='Bonding Program'!$K$29),'Bonding Program'!$J$29,0)-IF(AND('Bonding Program'!$M$29&lt;&gt;"",CK$3='Bonding Program'!$M$29),'Bonding Program'!$L$29,0)-IF(AND('Bonding Program'!$P$29&lt;&gt;"",CK$3='Bonding Program'!$P$29),'Bonding Program'!$O$29,0)-IF(AND('Bonding Program'!$R$29&lt;&gt;"",CK$3='Bonding Program'!$R$29),'Bonding Program'!$Q$29,0),0)</f>
        <v>0</v>
      </c>
      <c r="CL170" s="19" t="n">
        <f aca="false">IF(AND('Bonding Program'!$S$29=1,CL$3='Bonding Program'!$H$29),'Bonding Program'!$AA$29,0)-IF(CL$3&lt;='Bonding Program'!$C$8,IF(AND('Bonding Program'!$K$29&lt;&gt;"",CL$3='Bonding Program'!$K$29),'Bonding Program'!$J$29,0)-IF(AND('Bonding Program'!$M$29&lt;&gt;"",CL$3='Bonding Program'!$M$29),'Bonding Program'!$L$29,0)-IF(AND('Bonding Program'!$P$29&lt;&gt;"",CL$3='Bonding Program'!$P$29),'Bonding Program'!$O$29,0)-IF(AND('Bonding Program'!$R$29&lt;&gt;"",CL$3='Bonding Program'!$R$29),'Bonding Program'!$Q$29,0),0)</f>
        <v>0</v>
      </c>
      <c r="CM170" s="19" t="n">
        <f aca="false">IF(AND('Bonding Program'!$S$29=1,CM$3='Bonding Program'!$H$29),'Bonding Program'!$AA$29,0)-IF(CM$3&lt;='Bonding Program'!$C$8,IF(AND('Bonding Program'!$K$29&lt;&gt;"",CM$3='Bonding Program'!$K$29),'Bonding Program'!$J$29,0)-IF(AND('Bonding Program'!$M$29&lt;&gt;"",CM$3='Bonding Program'!$M$29),'Bonding Program'!$L$29,0)-IF(AND('Bonding Program'!$P$29&lt;&gt;"",CM$3='Bonding Program'!$P$29),'Bonding Program'!$O$29,0)-IF(AND('Bonding Program'!$R$29&lt;&gt;"",CM$3='Bonding Program'!$R$29),'Bonding Program'!$Q$29,0),0)</f>
        <v>0</v>
      </c>
      <c r="CN170" s="19" t="n">
        <f aca="false">IF(AND('Bonding Program'!$S$29=1,CN$3='Bonding Program'!$H$29),'Bonding Program'!$AA$29,0)-IF(CN$3&lt;='Bonding Program'!$C$8,IF(AND('Bonding Program'!$K$29&lt;&gt;"",CN$3='Bonding Program'!$K$29),'Bonding Program'!$J$29,0)-IF(AND('Bonding Program'!$M$29&lt;&gt;"",CN$3='Bonding Program'!$M$29),'Bonding Program'!$L$29,0)-IF(AND('Bonding Program'!$P$29&lt;&gt;"",CN$3='Bonding Program'!$P$29),'Bonding Program'!$O$29,0)-IF(AND('Bonding Program'!$R$29&lt;&gt;"",CN$3='Bonding Program'!$R$29),'Bonding Program'!$Q$29,0),0)</f>
        <v>0</v>
      </c>
      <c r="CO170" s="19" t="n">
        <f aca="false">IF(AND('Bonding Program'!$S$29=1,CO$3='Bonding Program'!$H$29),'Bonding Program'!$AA$29,0)-IF(CO$3&lt;='Bonding Program'!$C$8,IF(AND('Bonding Program'!$K$29&lt;&gt;"",CO$3='Bonding Program'!$K$29),'Bonding Program'!$J$29,0)-IF(AND('Bonding Program'!$M$29&lt;&gt;"",CO$3='Bonding Program'!$M$29),'Bonding Program'!$L$29,0)-IF(AND('Bonding Program'!$P$29&lt;&gt;"",CO$3='Bonding Program'!$P$29),'Bonding Program'!$O$29,0)-IF(AND('Bonding Program'!$R$29&lt;&gt;"",CO$3='Bonding Program'!$R$29),'Bonding Program'!$Q$29,0),0)</f>
        <v>0</v>
      </c>
      <c r="CP170" s="19" t="n">
        <f aca="false">IF(AND('Bonding Program'!$S$29=1,CP$3='Bonding Program'!$H$29),'Bonding Program'!$AA$29,0)-IF(CP$3&lt;='Bonding Program'!$C$8,IF(AND('Bonding Program'!$K$29&lt;&gt;"",CP$3='Bonding Program'!$K$29),'Bonding Program'!$J$29,0)-IF(AND('Bonding Program'!$M$29&lt;&gt;"",CP$3='Bonding Program'!$M$29),'Bonding Program'!$L$29,0)-IF(AND('Bonding Program'!$P$29&lt;&gt;"",CP$3='Bonding Program'!$P$29),'Bonding Program'!$O$29,0)-IF(AND('Bonding Program'!$R$29&lt;&gt;"",CP$3='Bonding Program'!$R$29),'Bonding Program'!$Q$29,0),0)</f>
        <v>0</v>
      </c>
      <c r="CQ170" s="19" t="n">
        <f aca="false">IF(AND('Bonding Program'!$S$29=1,CQ$3='Bonding Program'!$H$29),'Bonding Program'!$AA$29,0)-IF(CQ$3&lt;='Bonding Program'!$C$8,IF(AND('Bonding Program'!$K$29&lt;&gt;"",CQ$3='Bonding Program'!$K$29),'Bonding Program'!$J$29,0)-IF(AND('Bonding Program'!$M$29&lt;&gt;"",CQ$3='Bonding Program'!$M$29),'Bonding Program'!$L$29,0)-IF(AND('Bonding Program'!$P$29&lt;&gt;"",CQ$3='Bonding Program'!$P$29),'Bonding Program'!$O$29,0)-IF(AND('Bonding Program'!$R$29&lt;&gt;"",CQ$3='Bonding Program'!$R$29),'Bonding Program'!$Q$29,0),0)</f>
        <v>0</v>
      </c>
      <c r="CR170" s="19" t="n">
        <f aca="false">IF(AND('Bonding Program'!$S$29=1,CR$3='Bonding Program'!$H$29),'Bonding Program'!$AA$29,0)-IF(CR$3&lt;='Bonding Program'!$C$8,IF(AND('Bonding Program'!$K$29&lt;&gt;"",CR$3='Bonding Program'!$K$29),'Bonding Program'!$J$29,0)-IF(AND('Bonding Program'!$M$29&lt;&gt;"",CR$3='Bonding Program'!$M$29),'Bonding Program'!$L$29,0)-IF(AND('Bonding Program'!$P$29&lt;&gt;"",CR$3='Bonding Program'!$P$29),'Bonding Program'!$O$29,0)-IF(AND('Bonding Program'!$R$29&lt;&gt;"",CR$3='Bonding Program'!$R$29),'Bonding Program'!$Q$29,0),0)</f>
        <v>0</v>
      </c>
      <c r="CS170" s="19" t="n">
        <f aca="false">IF(AND('Bonding Program'!$S$29=1,CS$3='Bonding Program'!$H$29),'Bonding Program'!$AA$29,0)-IF(CS$3&lt;='Bonding Program'!$C$8,IF(AND('Bonding Program'!$K$29&lt;&gt;"",CS$3='Bonding Program'!$K$29),'Bonding Program'!$J$29,0)-IF(AND('Bonding Program'!$M$29&lt;&gt;"",CS$3='Bonding Program'!$M$29),'Bonding Program'!$L$29,0)-IF(AND('Bonding Program'!$P$29&lt;&gt;"",CS$3='Bonding Program'!$P$29),'Bonding Program'!$O$29,0)-IF(AND('Bonding Program'!$R$29&lt;&gt;"",CS$3='Bonding Program'!$R$29),'Bonding Program'!$Q$29,0),0)</f>
        <v>0</v>
      </c>
      <c r="CT170" s="19" t="n">
        <f aca="false">IF(AND('Bonding Program'!$S$29=1,CT$3='Bonding Program'!$H$29),'Bonding Program'!$AA$29,0)-IF(CT$3&lt;='Bonding Program'!$C$8,IF(AND('Bonding Program'!$K$29&lt;&gt;"",CT$3='Bonding Program'!$K$29),'Bonding Program'!$J$29,0)-IF(AND('Bonding Program'!$M$29&lt;&gt;"",CT$3='Bonding Program'!$M$29),'Bonding Program'!$L$29,0)-IF(AND('Bonding Program'!$P$29&lt;&gt;"",CT$3='Bonding Program'!$P$29),'Bonding Program'!$O$29,0)-IF(AND('Bonding Program'!$R$29&lt;&gt;"",CT$3='Bonding Program'!$R$29),'Bonding Program'!$Q$29,0),0)</f>
        <v>0</v>
      </c>
      <c r="CU170" s="19" t="n">
        <f aca="false">IF(AND('Bonding Program'!$S$29=1,CU$3='Bonding Program'!$H$29),'Bonding Program'!$AA$29,0)-IF(CU$3&lt;='Bonding Program'!$C$8,IF(AND('Bonding Program'!$K$29&lt;&gt;"",CU$3='Bonding Program'!$K$29),'Bonding Program'!$J$29,0)-IF(AND('Bonding Program'!$M$29&lt;&gt;"",CU$3='Bonding Program'!$M$29),'Bonding Program'!$L$29,0)-IF(AND('Bonding Program'!$P$29&lt;&gt;"",CU$3='Bonding Program'!$P$29),'Bonding Program'!$O$29,0)-IF(AND('Bonding Program'!$R$29&lt;&gt;"",CU$3='Bonding Program'!$R$29),'Bonding Program'!$Q$29,0),0)</f>
        <v>0</v>
      </c>
      <c r="CV170" s="19" t="n">
        <f aca="false">IF(AND('Bonding Program'!$S$29=1,CV$3='Bonding Program'!$H$29),'Bonding Program'!$AA$29,0)-IF(CV$3&lt;='Bonding Program'!$C$8,IF(AND('Bonding Program'!$K$29&lt;&gt;"",CV$3='Bonding Program'!$K$29),'Bonding Program'!$J$29,0)-IF(AND('Bonding Program'!$M$29&lt;&gt;"",CV$3='Bonding Program'!$M$29),'Bonding Program'!$L$29,0)-IF(AND('Bonding Program'!$P$29&lt;&gt;"",CV$3='Bonding Program'!$P$29),'Bonding Program'!$O$29,0)-IF(AND('Bonding Program'!$R$29&lt;&gt;"",CV$3='Bonding Program'!$R$29),'Bonding Program'!$Q$29,0),0)</f>
        <v>0</v>
      </c>
      <c r="CW170" s="19" t="n">
        <f aca="false">IF(AND('Bonding Program'!$S$29=1,CW$3='Bonding Program'!$H$29),'Bonding Program'!$AA$29,0)-IF(CW$3&lt;='Bonding Program'!$C$8,IF(AND('Bonding Program'!$K$29&lt;&gt;"",CW$3='Bonding Program'!$K$29),'Bonding Program'!$J$29,0)-IF(AND('Bonding Program'!$M$29&lt;&gt;"",CW$3='Bonding Program'!$M$29),'Bonding Program'!$L$29,0)-IF(AND('Bonding Program'!$P$29&lt;&gt;"",CW$3='Bonding Program'!$P$29),'Bonding Program'!$O$29,0)-IF(AND('Bonding Program'!$R$29&lt;&gt;"",CW$3='Bonding Program'!$R$29),'Bonding Program'!$Q$29,0),0)</f>
        <v>0</v>
      </c>
      <c r="CX170" s="19" t="n">
        <f aca="false">IF(AND('Bonding Program'!$S$29=1,CX$3='Bonding Program'!$H$29),'Bonding Program'!$AA$29,0)-IF(CX$3&lt;='Bonding Program'!$C$8,IF(AND('Bonding Program'!$K$29&lt;&gt;"",CX$3='Bonding Program'!$K$29),'Bonding Program'!$J$29,0)-IF(AND('Bonding Program'!$M$29&lt;&gt;"",CX$3='Bonding Program'!$M$29),'Bonding Program'!$L$29,0)-IF(AND('Bonding Program'!$P$29&lt;&gt;"",CX$3='Bonding Program'!$P$29),'Bonding Program'!$O$29,0)-IF(AND('Bonding Program'!$R$29&lt;&gt;"",CX$3='Bonding Program'!$R$29),'Bonding Program'!$Q$29,0),0)</f>
        <v>0</v>
      </c>
      <c r="CY170" s="19" t="n">
        <f aca="false">IF(AND('Bonding Program'!$S$29=1,CY$3='Bonding Program'!$H$29),'Bonding Program'!$AA$29,0)-IF(CY$3&lt;='Bonding Program'!$C$8,IF(AND('Bonding Program'!$K$29&lt;&gt;"",CY$3='Bonding Program'!$K$29),'Bonding Program'!$J$29,0)-IF(AND('Bonding Program'!$M$29&lt;&gt;"",CY$3='Bonding Program'!$M$29),'Bonding Program'!$L$29,0)-IF(AND('Bonding Program'!$P$29&lt;&gt;"",CY$3='Bonding Program'!$P$29),'Bonding Program'!$O$29,0)-IF(AND('Bonding Program'!$R$29&lt;&gt;"",CY$3='Bonding Program'!$R$29),'Bonding Program'!$Q$29,0),0)</f>
        <v>0</v>
      </c>
      <c r="CZ170" s="19" t="n">
        <f aca="false">IF(AND('Bonding Program'!$S$29=1,CZ$3='Bonding Program'!$H$29),'Bonding Program'!$AA$29,0)-IF(CZ$3&lt;='Bonding Program'!$C$8,IF(AND('Bonding Program'!$K$29&lt;&gt;"",CZ$3='Bonding Program'!$K$29),'Bonding Program'!$J$29,0)-IF(AND('Bonding Program'!$M$29&lt;&gt;"",CZ$3='Bonding Program'!$M$29),'Bonding Program'!$L$29,0)-IF(AND('Bonding Program'!$P$29&lt;&gt;"",CZ$3='Bonding Program'!$P$29),'Bonding Program'!$O$29,0)-IF(AND('Bonding Program'!$R$29&lt;&gt;"",CZ$3='Bonding Program'!$R$29),'Bonding Program'!$Q$29,0),0)</f>
        <v>0</v>
      </c>
      <c r="DA170" s="19" t="n">
        <f aca="false">IF(AND('Bonding Program'!$S$29=1,DA$3='Bonding Program'!$H$29),'Bonding Program'!$AA$29,0)-IF(DA$3&lt;='Bonding Program'!$C$8,IF(AND('Bonding Program'!$K$29&lt;&gt;"",DA$3='Bonding Program'!$K$29),'Bonding Program'!$J$29,0)-IF(AND('Bonding Program'!$M$29&lt;&gt;"",DA$3='Bonding Program'!$M$29),'Bonding Program'!$L$29,0)-IF(AND('Bonding Program'!$P$29&lt;&gt;"",DA$3='Bonding Program'!$P$29),'Bonding Program'!$O$29,0)-IF(AND('Bonding Program'!$R$29&lt;&gt;"",DA$3='Bonding Program'!$R$29),'Bonding Program'!$Q$29,0),0)</f>
        <v>0</v>
      </c>
      <c r="DB170" s="19" t="n">
        <f aca="false">IF(AND('Bonding Program'!$S$29=1,DB$3='Bonding Program'!$H$29),'Bonding Program'!$AA$29,0)-IF(DB$3&lt;='Bonding Program'!$C$8,IF(AND('Bonding Program'!$K$29&lt;&gt;"",DB$3='Bonding Program'!$K$29),'Bonding Program'!$J$29,0)-IF(AND('Bonding Program'!$M$29&lt;&gt;"",DB$3='Bonding Program'!$M$29),'Bonding Program'!$L$29,0)-IF(AND('Bonding Program'!$P$29&lt;&gt;"",DB$3='Bonding Program'!$P$29),'Bonding Program'!$O$29,0)-IF(AND('Bonding Program'!$R$29&lt;&gt;"",DB$3='Bonding Program'!$R$29),'Bonding Program'!$Q$29,0),0)</f>
        <v>0</v>
      </c>
      <c r="DC170" s="19" t="n">
        <f aca="false">IF(AND('Bonding Program'!$S$29=1,DC$3='Bonding Program'!$H$29),'Bonding Program'!$AA$29,0)-IF(DC$3&lt;='Bonding Program'!$C$8,IF(AND('Bonding Program'!$K$29&lt;&gt;"",DC$3='Bonding Program'!$K$29),'Bonding Program'!$J$29,0)-IF(AND('Bonding Program'!$M$29&lt;&gt;"",DC$3='Bonding Program'!$M$29),'Bonding Program'!$L$29,0)-IF(AND('Bonding Program'!$P$29&lt;&gt;"",DC$3='Bonding Program'!$P$29),'Bonding Program'!$O$29,0)-IF(AND('Bonding Program'!$R$29&lt;&gt;"",DC$3='Bonding Program'!$R$29),'Bonding Program'!$Q$29,0),0)</f>
        <v>0</v>
      </c>
      <c r="DD170" s="19" t="n">
        <f aca="false">IF(AND('Bonding Program'!$S$29=1,DD$3='Bonding Program'!$H$29),'Bonding Program'!$AA$29,0)-IF(DD$3&lt;='Bonding Program'!$C$8,IF(AND('Bonding Program'!$K$29&lt;&gt;"",DD$3='Bonding Program'!$K$29),'Bonding Program'!$J$29,0)-IF(AND('Bonding Program'!$M$29&lt;&gt;"",DD$3='Bonding Program'!$M$29),'Bonding Program'!$L$29,0)-IF(AND('Bonding Program'!$P$29&lt;&gt;"",DD$3='Bonding Program'!$P$29),'Bonding Program'!$O$29,0)-IF(AND('Bonding Program'!$R$29&lt;&gt;"",DD$3='Bonding Program'!$R$29),'Bonding Program'!$Q$29,0),0)</f>
        <v>0</v>
      </c>
      <c r="DE170" s="19" t="n">
        <f aca="false">IF(AND('Bonding Program'!$S$29=1,DE$3='Bonding Program'!$H$29),'Bonding Program'!$AA$29,0)-IF(DE$3&lt;='Bonding Program'!$C$8,IF(AND('Bonding Program'!$K$29&lt;&gt;"",DE$3='Bonding Program'!$K$29),'Bonding Program'!$J$29,0)-IF(AND('Bonding Program'!$M$29&lt;&gt;"",DE$3='Bonding Program'!$M$29),'Bonding Program'!$L$29,0)-IF(AND('Bonding Program'!$P$29&lt;&gt;"",DE$3='Bonding Program'!$P$29),'Bonding Program'!$O$29,0)-IF(AND('Bonding Program'!$R$29&lt;&gt;"",DE$3='Bonding Program'!$R$29),'Bonding Program'!$Q$29,0),0)</f>
        <v>0</v>
      </c>
    </row>
    <row r="171" customFormat="false" ht="15" hidden="false" customHeight="true" outlineLevel="1" collapsed="false">
      <c r="A171" s="28" t="s">
        <v>26</v>
      </c>
      <c r="B171" s="19" t="n">
        <f aca="false">IF(AND('Bonding Program'!$S$30=1,B$3='Bonding Program'!$H$30),'Bonding Program'!$AA$30,0)-IF(B$3&lt;='Bonding Program'!$C$8,IF(AND('Bonding Program'!$K$30&lt;&gt;"",B$3='Bonding Program'!$K$30),'Bonding Program'!$J$30,0)-IF(AND('Bonding Program'!$M$30&lt;&gt;"",B$3='Bonding Program'!$M$30),'Bonding Program'!$L$30,0)-IF(AND('Bonding Program'!$P$30&lt;&gt;"",B$3='Bonding Program'!$P$30),'Bonding Program'!$O$30,0)-IF(AND('Bonding Program'!$R$30&lt;&gt;"",B$3='Bonding Program'!$R$30),'Bonding Program'!$Q$30,0),0)</f>
        <v>0</v>
      </c>
      <c r="C171" s="19" t="n">
        <f aca="false">IF(AND('Bonding Program'!$S$30=1,C$3='Bonding Program'!$H$30),'Bonding Program'!$AA$30,0)-IF(C$3&lt;='Bonding Program'!$C$8,IF(AND('Bonding Program'!$K$30&lt;&gt;"",C$3='Bonding Program'!$K$30),'Bonding Program'!$J$30,0)-IF(AND('Bonding Program'!$M$30&lt;&gt;"",C$3='Bonding Program'!$M$30),'Bonding Program'!$L$30,0)-IF(AND('Bonding Program'!$P$30&lt;&gt;"",C$3='Bonding Program'!$P$30),'Bonding Program'!$O$30,0)-IF(AND('Bonding Program'!$R$30&lt;&gt;"",C$3='Bonding Program'!$R$30),'Bonding Program'!$Q$30,0),0)</f>
        <v>0</v>
      </c>
      <c r="D171" s="19" t="n">
        <f aca="false">IF(AND('Bonding Program'!$S$30=1,D$3='Bonding Program'!$H$30),'Bonding Program'!$AA$30,0)-IF(D$3&lt;='Bonding Program'!$C$8,IF(AND('Bonding Program'!$K$30&lt;&gt;"",D$3='Bonding Program'!$K$30),'Bonding Program'!$J$30,0)-IF(AND('Bonding Program'!$M$30&lt;&gt;"",D$3='Bonding Program'!$M$30),'Bonding Program'!$L$30,0)-IF(AND('Bonding Program'!$P$30&lt;&gt;"",D$3='Bonding Program'!$P$30),'Bonding Program'!$O$30,0)-IF(AND('Bonding Program'!$R$30&lt;&gt;"",D$3='Bonding Program'!$R$30),'Bonding Program'!$Q$30,0),0)</f>
        <v>0</v>
      </c>
      <c r="E171" s="19" t="n">
        <f aca="false">IF(AND('Bonding Program'!$S$30=1,E$3='Bonding Program'!$H$30),'Bonding Program'!$AA$30,0)-IF(E$3&lt;='Bonding Program'!$C$8,IF(AND('Bonding Program'!$K$30&lt;&gt;"",E$3='Bonding Program'!$K$30),'Bonding Program'!$J$30,0)-IF(AND('Bonding Program'!$M$30&lt;&gt;"",E$3='Bonding Program'!$M$30),'Bonding Program'!$L$30,0)-IF(AND('Bonding Program'!$P$30&lt;&gt;"",E$3='Bonding Program'!$P$30),'Bonding Program'!$O$30,0)-IF(AND('Bonding Program'!$R$30&lt;&gt;"",E$3='Bonding Program'!$R$30),'Bonding Program'!$Q$30,0),0)</f>
        <v>0</v>
      </c>
      <c r="F171" s="19" t="n">
        <f aca="false">IF(AND('Bonding Program'!$S$30=1,F$3='Bonding Program'!$H$30),'Bonding Program'!$AA$30,0)-IF(F$3&lt;='Bonding Program'!$C$8,IF(AND('Bonding Program'!$K$30&lt;&gt;"",F$3='Bonding Program'!$K$30),'Bonding Program'!$J$30,0)-IF(AND('Bonding Program'!$M$30&lt;&gt;"",F$3='Bonding Program'!$M$30),'Bonding Program'!$L$30,0)-IF(AND('Bonding Program'!$P$30&lt;&gt;"",F$3='Bonding Program'!$P$30),'Bonding Program'!$O$30,0)-IF(AND('Bonding Program'!$R$30&lt;&gt;"",F$3='Bonding Program'!$R$30),'Bonding Program'!$Q$30,0),0)</f>
        <v>0</v>
      </c>
      <c r="G171" s="19" t="n">
        <f aca="false">IF(AND('Bonding Program'!$S$30=1,G$3='Bonding Program'!$H$30),'Bonding Program'!$AA$30,0)-IF(G$3&lt;='Bonding Program'!$C$8,IF(AND('Bonding Program'!$K$30&lt;&gt;"",G$3='Bonding Program'!$K$30),'Bonding Program'!$J$30,0)-IF(AND('Bonding Program'!$M$30&lt;&gt;"",G$3='Bonding Program'!$M$30),'Bonding Program'!$L$30,0)-IF(AND('Bonding Program'!$P$30&lt;&gt;"",G$3='Bonding Program'!$P$30),'Bonding Program'!$O$30,0)-IF(AND('Bonding Program'!$R$30&lt;&gt;"",G$3='Bonding Program'!$R$30),'Bonding Program'!$Q$30,0),0)</f>
        <v>0</v>
      </c>
      <c r="H171" s="19" t="n">
        <f aca="false">IF(AND('Bonding Program'!$S$30=1,H$3='Bonding Program'!$H$30),'Bonding Program'!$AA$30,0)-IF(H$3&lt;='Bonding Program'!$C$8,IF(AND('Bonding Program'!$K$30&lt;&gt;"",H$3='Bonding Program'!$K$30),'Bonding Program'!$J$30,0)-IF(AND('Bonding Program'!$M$30&lt;&gt;"",H$3='Bonding Program'!$M$30),'Bonding Program'!$L$30,0)-IF(AND('Bonding Program'!$P$30&lt;&gt;"",H$3='Bonding Program'!$P$30),'Bonding Program'!$O$30,0)-IF(AND('Bonding Program'!$R$30&lt;&gt;"",H$3='Bonding Program'!$R$30),'Bonding Program'!$Q$30,0),0)</f>
        <v>0</v>
      </c>
      <c r="I171" s="19" t="n">
        <f aca="false">IF(AND('Bonding Program'!$S$30=1,I$3='Bonding Program'!$H$30),'Bonding Program'!$AA$30,0)-IF(I$3&lt;='Bonding Program'!$C$8,IF(AND('Bonding Program'!$K$30&lt;&gt;"",I$3='Bonding Program'!$K$30),'Bonding Program'!$J$30,0)-IF(AND('Bonding Program'!$M$30&lt;&gt;"",I$3='Bonding Program'!$M$30),'Bonding Program'!$L$30,0)-IF(AND('Bonding Program'!$P$30&lt;&gt;"",I$3='Bonding Program'!$P$30),'Bonding Program'!$O$30,0)-IF(AND('Bonding Program'!$R$30&lt;&gt;"",I$3='Bonding Program'!$R$30),'Bonding Program'!$Q$30,0),0)</f>
        <v>0</v>
      </c>
      <c r="J171" s="19" t="n">
        <f aca="false">IF(AND('Bonding Program'!$S$30=1,J$3='Bonding Program'!$H$30),'Bonding Program'!$AA$30,0)-IF(J$3&lt;='Bonding Program'!$C$8,IF(AND('Bonding Program'!$K$30&lt;&gt;"",J$3='Bonding Program'!$K$30),'Bonding Program'!$J$30,0)-IF(AND('Bonding Program'!$M$30&lt;&gt;"",J$3='Bonding Program'!$M$30),'Bonding Program'!$L$30,0)-IF(AND('Bonding Program'!$P$30&lt;&gt;"",J$3='Bonding Program'!$P$30),'Bonding Program'!$O$30,0)-IF(AND('Bonding Program'!$R$30&lt;&gt;"",J$3='Bonding Program'!$R$30),'Bonding Program'!$Q$30,0),0)</f>
        <v>0</v>
      </c>
      <c r="K171" s="19" t="n">
        <f aca="false">IF(AND('Bonding Program'!$S$30=1,K$3='Bonding Program'!$H$30),'Bonding Program'!$AA$30,0)-IF(K$3&lt;='Bonding Program'!$C$8,IF(AND('Bonding Program'!$K$30&lt;&gt;"",K$3='Bonding Program'!$K$30),'Bonding Program'!$J$30,0)-IF(AND('Bonding Program'!$M$30&lt;&gt;"",K$3='Bonding Program'!$M$30),'Bonding Program'!$L$30,0)-IF(AND('Bonding Program'!$P$30&lt;&gt;"",K$3='Bonding Program'!$P$30),'Bonding Program'!$O$30,0)-IF(AND('Bonding Program'!$R$30&lt;&gt;"",K$3='Bonding Program'!$R$30),'Bonding Program'!$Q$30,0),0)</f>
        <v>0</v>
      </c>
      <c r="L171" s="19" t="n">
        <f aca="false">IF(AND('Bonding Program'!$S$30=1,L$3='Bonding Program'!$H$30),'Bonding Program'!$AA$30,0)-IF(L$3&lt;='Bonding Program'!$C$8,IF(AND('Bonding Program'!$K$30&lt;&gt;"",L$3='Bonding Program'!$K$30),'Bonding Program'!$J$30,0)-IF(AND('Bonding Program'!$M$30&lt;&gt;"",L$3='Bonding Program'!$M$30),'Bonding Program'!$L$30,0)-IF(AND('Bonding Program'!$P$30&lt;&gt;"",L$3='Bonding Program'!$P$30),'Bonding Program'!$O$30,0)-IF(AND('Bonding Program'!$R$30&lt;&gt;"",L$3='Bonding Program'!$R$30),'Bonding Program'!$Q$30,0),0)</f>
        <v>0</v>
      </c>
      <c r="M171" s="19" t="n">
        <f aca="false">IF(AND('Bonding Program'!$S$30=1,M$3='Bonding Program'!$H$30),'Bonding Program'!$AA$30,0)-IF(M$3&lt;='Bonding Program'!$C$8,IF(AND('Bonding Program'!$K$30&lt;&gt;"",M$3='Bonding Program'!$K$30),'Bonding Program'!$J$30,0)-IF(AND('Bonding Program'!$M$30&lt;&gt;"",M$3='Bonding Program'!$M$30),'Bonding Program'!$L$30,0)-IF(AND('Bonding Program'!$P$30&lt;&gt;"",M$3='Bonding Program'!$P$30),'Bonding Program'!$O$30,0)-IF(AND('Bonding Program'!$R$30&lt;&gt;"",M$3='Bonding Program'!$R$30),'Bonding Program'!$Q$30,0),0)</f>
        <v>0</v>
      </c>
      <c r="N171" s="19" t="n">
        <f aca="false">IF(AND('Bonding Program'!$S$30=1,N$3='Bonding Program'!$H$30),'Bonding Program'!$AA$30,0)-IF(N$3&lt;='Bonding Program'!$C$8,IF(AND('Bonding Program'!$K$30&lt;&gt;"",N$3='Bonding Program'!$K$30),'Bonding Program'!$J$30,0)-IF(AND('Bonding Program'!$M$30&lt;&gt;"",N$3='Bonding Program'!$M$30),'Bonding Program'!$L$30,0)-IF(AND('Bonding Program'!$P$30&lt;&gt;"",N$3='Bonding Program'!$P$30),'Bonding Program'!$O$30,0)-IF(AND('Bonding Program'!$R$30&lt;&gt;"",N$3='Bonding Program'!$R$30),'Bonding Program'!$Q$30,0),0)</f>
        <v>0</v>
      </c>
      <c r="O171" s="19" t="n">
        <f aca="false">IF(AND('Bonding Program'!$S$30=1,O$3='Bonding Program'!$H$30),'Bonding Program'!$AA$30,0)-IF(O$3&lt;='Bonding Program'!$C$8,IF(AND('Bonding Program'!$K$30&lt;&gt;"",O$3='Bonding Program'!$K$30),'Bonding Program'!$J$30,0)-IF(AND('Bonding Program'!$M$30&lt;&gt;"",O$3='Bonding Program'!$M$30),'Bonding Program'!$L$30,0)-IF(AND('Bonding Program'!$P$30&lt;&gt;"",O$3='Bonding Program'!$P$30),'Bonding Program'!$O$30,0)-IF(AND('Bonding Program'!$R$30&lt;&gt;"",O$3='Bonding Program'!$R$30),'Bonding Program'!$Q$30,0),0)</f>
        <v>0</v>
      </c>
      <c r="P171" s="19" t="n">
        <f aca="false">IF(AND('Bonding Program'!$S$30=1,P$3='Bonding Program'!$H$30),'Bonding Program'!$AA$30,0)-IF(P$3&lt;='Bonding Program'!$C$8,IF(AND('Bonding Program'!$K$30&lt;&gt;"",P$3='Bonding Program'!$K$30),'Bonding Program'!$J$30,0)-IF(AND('Bonding Program'!$M$30&lt;&gt;"",P$3='Bonding Program'!$M$30),'Bonding Program'!$L$30,0)-IF(AND('Bonding Program'!$P$30&lt;&gt;"",P$3='Bonding Program'!$P$30),'Bonding Program'!$O$30,0)-IF(AND('Bonding Program'!$R$30&lt;&gt;"",P$3='Bonding Program'!$R$30),'Bonding Program'!$Q$30,0),0)</f>
        <v>0</v>
      </c>
      <c r="Q171" s="19" t="n">
        <f aca="false">IF(AND('Bonding Program'!$S$30=1,Q$3='Bonding Program'!$H$30),'Bonding Program'!$AA$30,0)-IF(Q$3&lt;='Bonding Program'!$C$8,IF(AND('Bonding Program'!$K$30&lt;&gt;"",Q$3='Bonding Program'!$K$30),'Bonding Program'!$J$30,0)-IF(AND('Bonding Program'!$M$30&lt;&gt;"",Q$3='Bonding Program'!$M$30),'Bonding Program'!$L$30,0)-IF(AND('Bonding Program'!$P$30&lt;&gt;"",Q$3='Bonding Program'!$P$30),'Bonding Program'!$O$30,0)-IF(AND('Bonding Program'!$R$30&lt;&gt;"",Q$3='Bonding Program'!$R$30),'Bonding Program'!$Q$30,0),0)</f>
        <v>0</v>
      </c>
      <c r="R171" s="19" t="n">
        <f aca="false">IF(AND('Bonding Program'!$S$30=1,R$3='Bonding Program'!$H$30),'Bonding Program'!$AA$30,0)-IF(R$3&lt;='Bonding Program'!$C$8,IF(AND('Bonding Program'!$K$30&lt;&gt;"",R$3='Bonding Program'!$K$30),'Bonding Program'!$J$30,0)-IF(AND('Bonding Program'!$M$30&lt;&gt;"",R$3='Bonding Program'!$M$30),'Bonding Program'!$L$30,0)-IF(AND('Bonding Program'!$P$30&lt;&gt;"",R$3='Bonding Program'!$P$30),'Bonding Program'!$O$30,0)-IF(AND('Bonding Program'!$R$30&lt;&gt;"",R$3='Bonding Program'!$R$30),'Bonding Program'!$Q$30,0),0)</f>
        <v>0</v>
      </c>
      <c r="S171" s="19" t="n">
        <f aca="false">IF(AND('Bonding Program'!$S$30=1,S$3='Bonding Program'!$H$30),'Bonding Program'!$AA$30,0)-IF(S$3&lt;='Bonding Program'!$C$8,IF(AND('Bonding Program'!$K$30&lt;&gt;"",S$3='Bonding Program'!$K$30),'Bonding Program'!$J$30,0)-IF(AND('Bonding Program'!$M$30&lt;&gt;"",S$3='Bonding Program'!$M$30),'Bonding Program'!$L$30,0)-IF(AND('Bonding Program'!$P$30&lt;&gt;"",S$3='Bonding Program'!$P$30),'Bonding Program'!$O$30,0)-IF(AND('Bonding Program'!$R$30&lt;&gt;"",S$3='Bonding Program'!$R$30),'Bonding Program'!$Q$30,0),0)</f>
        <v>0</v>
      </c>
      <c r="T171" s="19" t="n">
        <f aca="false">IF(AND('Bonding Program'!$S$30=1,T$3='Bonding Program'!$H$30),'Bonding Program'!$AA$30,0)-IF(T$3&lt;='Bonding Program'!$C$8,IF(AND('Bonding Program'!$K$30&lt;&gt;"",T$3='Bonding Program'!$K$30),'Bonding Program'!$J$30,0)-IF(AND('Bonding Program'!$M$30&lt;&gt;"",T$3='Bonding Program'!$M$30),'Bonding Program'!$L$30,0)-IF(AND('Bonding Program'!$P$30&lt;&gt;"",T$3='Bonding Program'!$P$30),'Bonding Program'!$O$30,0)-IF(AND('Bonding Program'!$R$30&lt;&gt;"",T$3='Bonding Program'!$R$30),'Bonding Program'!$Q$30,0),0)</f>
        <v>0</v>
      </c>
      <c r="U171" s="19" t="n">
        <f aca="false">IF(AND('Bonding Program'!$S$30=1,U$3='Bonding Program'!$H$30),'Bonding Program'!$AA$30,0)-IF(U$3&lt;='Bonding Program'!$C$8,IF(AND('Bonding Program'!$K$30&lt;&gt;"",U$3='Bonding Program'!$K$30),'Bonding Program'!$J$30,0)-IF(AND('Bonding Program'!$M$30&lt;&gt;"",U$3='Bonding Program'!$M$30),'Bonding Program'!$L$30,0)-IF(AND('Bonding Program'!$P$30&lt;&gt;"",U$3='Bonding Program'!$P$30),'Bonding Program'!$O$30,0)-IF(AND('Bonding Program'!$R$30&lt;&gt;"",U$3='Bonding Program'!$R$30),'Bonding Program'!$Q$30,0),0)</f>
        <v>0</v>
      </c>
      <c r="V171" s="19" t="n">
        <f aca="false">IF(AND('Bonding Program'!$S$30=1,V$3='Bonding Program'!$H$30),'Bonding Program'!$AA$30,0)-IF(V$3&lt;='Bonding Program'!$C$8,IF(AND('Bonding Program'!$K$30&lt;&gt;"",V$3='Bonding Program'!$K$30),'Bonding Program'!$J$30,0)-IF(AND('Bonding Program'!$M$30&lt;&gt;"",V$3='Bonding Program'!$M$30),'Bonding Program'!$L$30,0)-IF(AND('Bonding Program'!$P$30&lt;&gt;"",V$3='Bonding Program'!$P$30),'Bonding Program'!$O$30,0)-IF(AND('Bonding Program'!$R$30&lt;&gt;"",V$3='Bonding Program'!$R$30),'Bonding Program'!$Q$30,0),0)</f>
        <v>0</v>
      </c>
      <c r="W171" s="19" t="n">
        <f aca="false">IF(AND('Bonding Program'!$S$30=1,W$3='Bonding Program'!$H$30),'Bonding Program'!$AA$30,0)-IF(W$3&lt;='Bonding Program'!$C$8,IF(AND('Bonding Program'!$K$30&lt;&gt;"",W$3='Bonding Program'!$K$30),'Bonding Program'!$J$30,0)-IF(AND('Bonding Program'!$M$30&lt;&gt;"",W$3='Bonding Program'!$M$30),'Bonding Program'!$L$30,0)-IF(AND('Bonding Program'!$P$30&lt;&gt;"",W$3='Bonding Program'!$P$30),'Bonding Program'!$O$30,0)-IF(AND('Bonding Program'!$R$30&lt;&gt;"",W$3='Bonding Program'!$R$30),'Bonding Program'!$Q$30,0),0)</f>
        <v>0</v>
      </c>
      <c r="X171" s="19" t="n">
        <f aca="false">IF(AND('Bonding Program'!$S$30=1,X$3='Bonding Program'!$H$30),'Bonding Program'!$AA$30,0)-IF(X$3&lt;='Bonding Program'!$C$8,IF(AND('Bonding Program'!$K$30&lt;&gt;"",X$3='Bonding Program'!$K$30),'Bonding Program'!$J$30,0)-IF(AND('Bonding Program'!$M$30&lt;&gt;"",X$3='Bonding Program'!$M$30),'Bonding Program'!$L$30,0)-IF(AND('Bonding Program'!$P$30&lt;&gt;"",X$3='Bonding Program'!$P$30),'Bonding Program'!$O$30,0)-IF(AND('Bonding Program'!$R$30&lt;&gt;"",X$3='Bonding Program'!$R$30),'Bonding Program'!$Q$30,0),0)</f>
        <v>0</v>
      </c>
      <c r="Y171" s="19" t="n">
        <f aca="false">IF(AND('Bonding Program'!$S$30=1,Y$3='Bonding Program'!$H$30),'Bonding Program'!$AA$30,0)-IF(Y$3&lt;='Bonding Program'!$C$8,IF(AND('Bonding Program'!$K$30&lt;&gt;"",Y$3='Bonding Program'!$K$30),'Bonding Program'!$J$30,0)-IF(AND('Bonding Program'!$M$30&lt;&gt;"",Y$3='Bonding Program'!$M$30),'Bonding Program'!$L$30,0)-IF(AND('Bonding Program'!$P$30&lt;&gt;"",Y$3='Bonding Program'!$P$30),'Bonding Program'!$O$30,0)-IF(AND('Bonding Program'!$R$30&lt;&gt;"",Y$3='Bonding Program'!$R$30),'Bonding Program'!$Q$30,0),0)</f>
        <v>0</v>
      </c>
      <c r="Z171" s="19" t="n">
        <f aca="false">IF(AND('Bonding Program'!$S$30=1,Z$3='Bonding Program'!$H$30),'Bonding Program'!$AA$30,0)-IF(Z$3&lt;='Bonding Program'!$C$8,IF(AND('Bonding Program'!$K$30&lt;&gt;"",Z$3='Bonding Program'!$K$30),'Bonding Program'!$J$30,0)-IF(AND('Bonding Program'!$M$30&lt;&gt;"",Z$3='Bonding Program'!$M$30),'Bonding Program'!$L$30,0)-IF(AND('Bonding Program'!$P$30&lt;&gt;"",Z$3='Bonding Program'!$P$30),'Bonding Program'!$O$30,0)-IF(AND('Bonding Program'!$R$30&lt;&gt;"",Z$3='Bonding Program'!$R$30),'Bonding Program'!$Q$30,0),0)</f>
        <v>0</v>
      </c>
      <c r="AA171" s="19" t="n">
        <f aca="false">IF(AND('Bonding Program'!$S$30=1,AA$3='Bonding Program'!$H$30),'Bonding Program'!$AA$30,0)-IF(AA$3&lt;='Bonding Program'!$C$8,IF(AND('Bonding Program'!$K$30&lt;&gt;"",AA$3='Bonding Program'!$K$30),'Bonding Program'!$J$30,0)-IF(AND('Bonding Program'!$M$30&lt;&gt;"",AA$3='Bonding Program'!$M$30),'Bonding Program'!$L$30,0)-IF(AND('Bonding Program'!$P$30&lt;&gt;"",AA$3='Bonding Program'!$P$30),'Bonding Program'!$O$30,0)-IF(AND('Bonding Program'!$R$30&lt;&gt;"",AA$3='Bonding Program'!$R$30),'Bonding Program'!$Q$30,0),0)</f>
        <v>0</v>
      </c>
      <c r="AB171" s="19" t="n">
        <f aca="false">IF(AND('Bonding Program'!$S$30=1,AB$3='Bonding Program'!$H$30),'Bonding Program'!$AA$30,0)-IF(AB$3&lt;='Bonding Program'!$C$8,IF(AND('Bonding Program'!$K$30&lt;&gt;"",AB$3='Bonding Program'!$K$30),'Bonding Program'!$J$30,0)-IF(AND('Bonding Program'!$M$30&lt;&gt;"",AB$3='Bonding Program'!$M$30),'Bonding Program'!$L$30,0)-IF(AND('Bonding Program'!$P$30&lt;&gt;"",AB$3='Bonding Program'!$P$30),'Bonding Program'!$O$30,0)-IF(AND('Bonding Program'!$R$30&lt;&gt;"",AB$3='Bonding Program'!$R$30),'Bonding Program'!$Q$30,0),0)</f>
        <v>0</v>
      </c>
      <c r="AC171" s="19" t="n">
        <f aca="false">IF(AND('Bonding Program'!$S$30=1,AC$3='Bonding Program'!$H$30),'Bonding Program'!$AA$30,0)-IF(AC$3&lt;='Bonding Program'!$C$8,IF(AND('Bonding Program'!$K$30&lt;&gt;"",AC$3='Bonding Program'!$K$30),'Bonding Program'!$J$30,0)-IF(AND('Bonding Program'!$M$30&lt;&gt;"",AC$3='Bonding Program'!$M$30),'Bonding Program'!$L$30,0)-IF(AND('Bonding Program'!$P$30&lt;&gt;"",AC$3='Bonding Program'!$P$30),'Bonding Program'!$O$30,0)-IF(AND('Bonding Program'!$R$30&lt;&gt;"",AC$3='Bonding Program'!$R$30),'Bonding Program'!$Q$30,0),0)</f>
        <v>0</v>
      </c>
      <c r="AD171" s="19" t="n">
        <f aca="false">IF(AND('Bonding Program'!$S$30=1,AD$3='Bonding Program'!$H$30),'Bonding Program'!$AA$30,0)-IF(AD$3&lt;='Bonding Program'!$C$8,IF(AND('Bonding Program'!$K$30&lt;&gt;"",AD$3='Bonding Program'!$K$30),'Bonding Program'!$J$30,0)-IF(AND('Bonding Program'!$M$30&lt;&gt;"",AD$3='Bonding Program'!$M$30),'Bonding Program'!$L$30,0)-IF(AND('Bonding Program'!$P$30&lt;&gt;"",AD$3='Bonding Program'!$P$30),'Bonding Program'!$O$30,0)-IF(AND('Bonding Program'!$R$30&lt;&gt;"",AD$3='Bonding Program'!$R$30),'Bonding Program'!$Q$30,0),0)</f>
        <v>0</v>
      </c>
      <c r="AE171" s="19" t="n">
        <f aca="false">IF(AND('Bonding Program'!$S$30=1,AE$3='Bonding Program'!$H$30),'Bonding Program'!$AA$30,0)-IF(AE$3&lt;='Bonding Program'!$C$8,IF(AND('Bonding Program'!$K$30&lt;&gt;"",AE$3='Bonding Program'!$K$30),'Bonding Program'!$J$30,0)-IF(AND('Bonding Program'!$M$30&lt;&gt;"",AE$3='Bonding Program'!$M$30),'Bonding Program'!$L$30,0)-IF(AND('Bonding Program'!$P$30&lt;&gt;"",AE$3='Bonding Program'!$P$30),'Bonding Program'!$O$30,0)-IF(AND('Bonding Program'!$R$30&lt;&gt;"",AE$3='Bonding Program'!$R$30),'Bonding Program'!$Q$30,0),0)</f>
        <v>0</v>
      </c>
      <c r="AF171" s="19" t="n">
        <f aca="false">IF(AND('Bonding Program'!$S$30=1,AF$3='Bonding Program'!$H$30),'Bonding Program'!$AA$30,0)-IF(AF$3&lt;='Bonding Program'!$C$8,IF(AND('Bonding Program'!$K$30&lt;&gt;"",AF$3='Bonding Program'!$K$30),'Bonding Program'!$J$30,0)-IF(AND('Bonding Program'!$M$30&lt;&gt;"",AF$3='Bonding Program'!$M$30),'Bonding Program'!$L$30,0)-IF(AND('Bonding Program'!$P$30&lt;&gt;"",AF$3='Bonding Program'!$P$30),'Bonding Program'!$O$30,0)-IF(AND('Bonding Program'!$R$30&lt;&gt;"",AF$3='Bonding Program'!$R$30),'Bonding Program'!$Q$30,0),0)</f>
        <v>0</v>
      </c>
      <c r="AG171" s="19" t="n">
        <f aca="false">IF(AND('Bonding Program'!$S$30=1,AG$3='Bonding Program'!$H$30),'Bonding Program'!$AA$30,0)-IF(AG$3&lt;='Bonding Program'!$C$8,IF(AND('Bonding Program'!$K$30&lt;&gt;"",AG$3='Bonding Program'!$K$30),'Bonding Program'!$J$30,0)-IF(AND('Bonding Program'!$M$30&lt;&gt;"",AG$3='Bonding Program'!$M$30),'Bonding Program'!$L$30,0)-IF(AND('Bonding Program'!$P$30&lt;&gt;"",AG$3='Bonding Program'!$P$30),'Bonding Program'!$O$30,0)-IF(AND('Bonding Program'!$R$30&lt;&gt;"",AG$3='Bonding Program'!$R$30),'Bonding Program'!$Q$30,0),0)</f>
        <v>0</v>
      </c>
      <c r="AH171" s="19" t="n">
        <f aca="false">IF(AND('Bonding Program'!$S$30=1,AH$3='Bonding Program'!$H$30),'Bonding Program'!$AA$30,0)-IF(AH$3&lt;='Bonding Program'!$C$8,IF(AND('Bonding Program'!$K$30&lt;&gt;"",AH$3='Bonding Program'!$K$30),'Bonding Program'!$J$30,0)-IF(AND('Bonding Program'!$M$30&lt;&gt;"",AH$3='Bonding Program'!$M$30),'Bonding Program'!$L$30,0)-IF(AND('Bonding Program'!$P$30&lt;&gt;"",AH$3='Bonding Program'!$P$30),'Bonding Program'!$O$30,0)-IF(AND('Bonding Program'!$R$30&lt;&gt;"",AH$3='Bonding Program'!$R$30),'Bonding Program'!$Q$30,0),0)</f>
        <v>0</v>
      </c>
      <c r="AI171" s="19" t="n">
        <f aca="false">IF(AND('Bonding Program'!$S$30=1,AI$3='Bonding Program'!$H$30),'Bonding Program'!$AA$30,0)-IF(AI$3&lt;='Bonding Program'!$C$8,IF(AND('Bonding Program'!$K$30&lt;&gt;"",AI$3='Bonding Program'!$K$30),'Bonding Program'!$J$30,0)-IF(AND('Bonding Program'!$M$30&lt;&gt;"",AI$3='Bonding Program'!$M$30),'Bonding Program'!$L$30,0)-IF(AND('Bonding Program'!$P$30&lt;&gt;"",AI$3='Bonding Program'!$P$30),'Bonding Program'!$O$30,0)-IF(AND('Bonding Program'!$R$30&lt;&gt;"",AI$3='Bonding Program'!$R$30),'Bonding Program'!$Q$30,0),0)</f>
        <v>0</v>
      </c>
      <c r="AJ171" s="19" t="n">
        <f aca="false">IF(AND('Bonding Program'!$S$30=1,AJ$3='Bonding Program'!$H$30),'Bonding Program'!$AA$30,0)-IF(AJ$3&lt;='Bonding Program'!$C$8,IF(AND('Bonding Program'!$K$30&lt;&gt;"",AJ$3='Bonding Program'!$K$30),'Bonding Program'!$J$30,0)-IF(AND('Bonding Program'!$M$30&lt;&gt;"",AJ$3='Bonding Program'!$M$30),'Bonding Program'!$L$30,0)-IF(AND('Bonding Program'!$P$30&lt;&gt;"",AJ$3='Bonding Program'!$P$30),'Bonding Program'!$O$30,0)-IF(AND('Bonding Program'!$R$30&lt;&gt;"",AJ$3='Bonding Program'!$R$30),'Bonding Program'!$Q$30,0),0)</f>
        <v>0</v>
      </c>
      <c r="AK171" s="19" t="n">
        <f aca="false">IF(AND('Bonding Program'!$S$30=1,AK$3='Bonding Program'!$H$30),'Bonding Program'!$AA$30,0)-IF(AK$3&lt;='Bonding Program'!$C$8,IF(AND('Bonding Program'!$K$30&lt;&gt;"",AK$3='Bonding Program'!$K$30),'Bonding Program'!$J$30,0)-IF(AND('Bonding Program'!$M$30&lt;&gt;"",AK$3='Bonding Program'!$M$30),'Bonding Program'!$L$30,0)-IF(AND('Bonding Program'!$P$30&lt;&gt;"",AK$3='Bonding Program'!$P$30),'Bonding Program'!$O$30,0)-IF(AND('Bonding Program'!$R$30&lt;&gt;"",AK$3='Bonding Program'!$R$30),'Bonding Program'!$Q$30,0),0)</f>
        <v>0</v>
      </c>
      <c r="AL171" s="19" t="n">
        <f aca="false">IF(AND('Bonding Program'!$S$30=1,AL$3='Bonding Program'!$H$30),'Bonding Program'!$AA$30,0)-IF(AL$3&lt;='Bonding Program'!$C$8,IF(AND('Bonding Program'!$K$30&lt;&gt;"",AL$3='Bonding Program'!$K$30),'Bonding Program'!$J$30,0)-IF(AND('Bonding Program'!$M$30&lt;&gt;"",AL$3='Bonding Program'!$M$30),'Bonding Program'!$L$30,0)-IF(AND('Bonding Program'!$P$30&lt;&gt;"",AL$3='Bonding Program'!$P$30),'Bonding Program'!$O$30,0)-IF(AND('Bonding Program'!$R$30&lt;&gt;"",AL$3='Bonding Program'!$R$30),'Bonding Program'!$Q$30,0),0)</f>
        <v>0</v>
      </c>
      <c r="AM171" s="19" t="n">
        <f aca="false">IF(AND('Bonding Program'!$S$30=1,AM$3='Bonding Program'!$H$30),'Bonding Program'!$AA$30,0)-IF(AM$3&lt;='Bonding Program'!$C$8,IF(AND('Bonding Program'!$K$30&lt;&gt;"",AM$3='Bonding Program'!$K$30),'Bonding Program'!$J$30,0)-IF(AND('Bonding Program'!$M$30&lt;&gt;"",AM$3='Bonding Program'!$M$30),'Bonding Program'!$L$30,0)-IF(AND('Bonding Program'!$P$30&lt;&gt;"",AM$3='Bonding Program'!$P$30),'Bonding Program'!$O$30,0)-IF(AND('Bonding Program'!$R$30&lt;&gt;"",AM$3='Bonding Program'!$R$30),'Bonding Program'!$Q$30,0),0)</f>
        <v>0</v>
      </c>
      <c r="AN171" s="19" t="n">
        <f aca="false">IF(AND('Bonding Program'!$S$30=1,AN$3='Bonding Program'!$H$30),'Bonding Program'!$AA$30,0)-IF(AN$3&lt;='Bonding Program'!$C$8,IF(AND('Bonding Program'!$K$30&lt;&gt;"",AN$3='Bonding Program'!$K$30),'Bonding Program'!$J$30,0)-IF(AND('Bonding Program'!$M$30&lt;&gt;"",AN$3='Bonding Program'!$M$30),'Bonding Program'!$L$30,0)-IF(AND('Bonding Program'!$P$30&lt;&gt;"",AN$3='Bonding Program'!$P$30),'Bonding Program'!$O$30,0)-IF(AND('Bonding Program'!$R$30&lt;&gt;"",AN$3='Bonding Program'!$R$30),'Bonding Program'!$Q$30,0),0)</f>
        <v>0</v>
      </c>
      <c r="AO171" s="19" t="n">
        <f aca="false">IF(AND('Bonding Program'!$S$30=1,AO$3='Bonding Program'!$H$30),'Bonding Program'!$AA$30,0)-IF(AO$3&lt;='Bonding Program'!$C$8,IF(AND('Bonding Program'!$K$30&lt;&gt;"",AO$3='Bonding Program'!$K$30),'Bonding Program'!$J$30,0)-IF(AND('Bonding Program'!$M$30&lt;&gt;"",AO$3='Bonding Program'!$M$30),'Bonding Program'!$L$30,0)-IF(AND('Bonding Program'!$P$30&lt;&gt;"",AO$3='Bonding Program'!$P$30),'Bonding Program'!$O$30,0)-IF(AND('Bonding Program'!$R$30&lt;&gt;"",AO$3='Bonding Program'!$R$30),'Bonding Program'!$Q$30,0),0)</f>
        <v>0</v>
      </c>
      <c r="AP171" s="19" t="n">
        <f aca="false">IF(AND('Bonding Program'!$S$30=1,AP$3='Bonding Program'!$H$30),'Bonding Program'!$AA$30,0)-IF(AP$3&lt;='Bonding Program'!$C$8,IF(AND('Bonding Program'!$K$30&lt;&gt;"",AP$3='Bonding Program'!$K$30),'Bonding Program'!$J$30,0)-IF(AND('Bonding Program'!$M$30&lt;&gt;"",AP$3='Bonding Program'!$M$30),'Bonding Program'!$L$30,0)-IF(AND('Bonding Program'!$P$30&lt;&gt;"",AP$3='Bonding Program'!$P$30),'Bonding Program'!$O$30,0)-IF(AND('Bonding Program'!$R$30&lt;&gt;"",AP$3='Bonding Program'!$R$30),'Bonding Program'!$Q$30,0),0)</f>
        <v>0</v>
      </c>
      <c r="AQ171" s="19" t="n">
        <f aca="false">IF(AND('Bonding Program'!$S$30=1,AQ$3='Bonding Program'!$H$30),'Bonding Program'!$AA$30,0)-IF(AQ$3&lt;='Bonding Program'!$C$8,IF(AND('Bonding Program'!$K$30&lt;&gt;"",AQ$3='Bonding Program'!$K$30),'Bonding Program'!$J$30,0)-IF(AND('Bonding Program'!$M$30&lt;&gt;"",AQ$3='Bonding Program'!$M$30),'Bonding Program'!$L$30,0)-IF(AND('Bonding Program'!$P$30&lt;&gt;"",AQ$3='Bonding Program'!$P$30),'Bonding Program'!$O$30,0)-IF(AND('Bonding Program'!$R$30&lt;&gt;"",AQ$3='Bonding Program'!$R$30),'Bonding Program'!$Q$30,0),0)</f>
        <v>0</v>
      </c>
      <c r="AR171" s="19" t="n">
        <f aca="false">IF(AND('Bonding Program'!$S$30=1,AR$3='Bonding Program'!$H$30),'Bonding Program'!$AA$30,0)-IF(AR$3&lt;='Bonding Program'!$C$8,IF(AND('Bonding Program'!$K$30&lt;&gt;"",AR$3='Bonding Program'!$K$30),'Bonding Program'!$J$30,0)-IF(AND('Bonding Program'!$M$30&lt;&gt;"",AR$3='Bonding Program'!$M$30),'Bonding Program'!$L$30,0)-IF(AND('Bonding Program'!$P$30&lt;&gt;"",AR$3='Bonding Program'!$P$30),'Bonding Program'!$O$30,0)-IF(AND('Bonding Program'!$R$30&lt;&gt;"",AR$3='Bonding Program'!$R$30),'Bonding Program'!$Q$30,0),0)</f>
        <v>0</v>
      </c>
      <c r="AS171" s="19" t="n">
        <f aca="false">IF(AND('Bonding Program'!$S$30=1,AS$3='Bonding Program'!$H$30),'Bonding Program'!$AA$30,0)-IF(AS$3&lt;='Bonding Program'!$C$8,IF(AND('Bonding Program'!$K$30&lt;&gt;"",AS$3='Bonding Program'!$K$30),'Bonding Program'!$J$30,0)-IF(AND('Bonding Program'!$M$30&lt;&gt;"",AS$3='Bonding Program'!$M$30),'Bonding Program'!$L$30,0)-IF(AND('Bonding Program'!$P$30&lt;&gt;"",AS$3='Bonding Program'!$P$30),'Bonding Program'!$O$30,0)-IF(AND('Bonding Program'!$R$30&lt;&gt;"",AS$3='Bonding Program'!$R$30),'Bonding Program'!$Q$30,0),0)</f>
        <v>0</v>
      </c>
      <c r="AT171" s="19" t="n">
        <f aca="false">IF(AND('Bonding Program'!$S$30=1,AT$3='Bonding Program'!$H$30),'Bonding Program'!$AA$30,0)-IF(AT$3&lt;='Bonding Program'!$C$8,IF(AND('Bonding Program'!$K$30&lt;&gt;"",AT$3='Bonding Program'!$K$30),'Bonding Program'!$J$30,0)-IF(AND('Bonding Program'!$M$30&lt;&gt;"",AT$3='Bonding Program'!$M$30),'Bonding Program'!$L$30,0)-IF(AND('Bonding Program'!$P$30&lt;&gt;"",AT$3='Bonding Program'!$P$30),'Bonding Program'!$O$30,0)-IF(AND('Bonding Program'!$R$30&lt;&gt;"",AT$3='Bonding Program'!$R$30),'Bonding Program'!$Q$30,0),0)</f>
        <v>0</v>
      </c>
      <c r="AU171" s="19" t="n">
        <f aca="false">IF(AND('Bonding Program'!$S$30=1,AU$3='Bonding Program'!$H$30),'Bonding Program'!$AA$30,0)-IF(AU$3&lt;='Bonding Program'!$C$8,IF(AND('Bonding Program'!$K$30&lt;&gt;"",AU$3='Bonding Program'!$K$30),'Bonding Program'!$J$30,0)-IF(AND('Bonding Program'!$M$30&lt;&gt;"",AU$3='Bonding Program'!$M$30),'Bonding Program'!$L$30,0)-IF(AND('Bonding Program'!$P$30&lt;&gt;"",AU$3='Bonding Program'!$P$30),'Bonding Program'!$O$30,0)-IF(AND('Bonding Program'!$R$30&lt;&gt;"",AU$3='Bonding Program'!$R$30),'Bonding Program'!$Q$30,0),0)</f>
        <v>0</v>
      </c>
      <c r="AV171" s="19" t="n">
        <f aca="false">IF(AND('Bonding Program'!$S$30=1,AV$3='Bonding Program'!$H$30),'Bonding Program'!$AA$30,0)-IF(AV$3&lt;='Bonding Program'!$C$8,IF(AND('Bonding Program'!$K$30&lt;&gt;"",AV$3='Bonding Program'!$K$30),'Bonding Program'!$J$30,0)-IF(AND('Bonding Program'!$M$30&lt;&gt;"",AV$3='Bonding Program'!$M$30),'Bonding Program'!$L$30,0)-IF(AND('Bonding Program'!$P$30&lt;&gt;"",AV$3='Bonding Program'!$P$30),'Bonding Program'!$O$30,0)-IF(AND('Bonding Program'!$R$30&lt;&gt;"",AV$3='Bonding Program'!$R$30),'Bonding Program'!$Q$30,0),0)</f>
        <v>0</v>
      </c>
      <c r="AW171" s="19" t="n">
        <f aca="false">IF(AND('Bonding Program'!$S$30=1,AW$3='Bonding Program'!$H$30),'Bonding Program'!$AA$30,0)-IF(AW$3&lt;='Bonding Program'!$C$8,IF(AND('Bonding Program'!$K$30&lt;&gt;"",AW$3='Bonding Program'!$K$30),'Bonding Program'!$J$30,0)-IF(AND('Bonding Program'!$M$30&lt;&gt;"",AW$3='Bonding Program'!$M$30),'Bonding Program'!$L$30,0)-IF(AND('Bonding Program'!$P$30&lt;&gt;"",AW$3='Bonding Program'!$P$30),'Bonding Program'!$O$30,0)-IF(AND('Bonding Program'!$R$30&lt;&gt;"",AW$3='Bonding Program'!$R$30),'Bonding Program'!$Q$30,0),0)</f>
        <v>0</v>
      </c>
      <c r="AX171" s="19" t="n">
        <f aca="false">IF(AND('Bonding Program'!$S$30=1,AX$3='Bonding Program'!$H$30),'Bonding Program'!$AA$30,0)-IF(AX$3&lt;='Bonding Program'!$C$8,IF(AND('Bonding Program'!$K$30&lt;&gt;"",AX$3='Bonding Program'!$K$30),'Bonding Program'!$J$30,0)-IF(AND('Bonding Program'!$M$30&lt;&gt;"",AX$3='Bonding Program'!$M$30),'Bonding Program'!$L$30,0)-IF(AND('Bonding Program'!$P$30&lt;&gt;"",AX$3='Bonding Program'!$P$30),'Bonding Program'!$O$30,0)-IF(AND('Bonding Program'!$R$30&lt;&gt;"",AX$3='Bonding Program'!$R$30),'Bonding Program'!$Q$30,0),0)</f>
        <v>0</v>
      </c>
      <c r="AY171" s="19" t="n">
        <f aca="false">IF(AND('Bonding Program'!$S$30=1,AY$3='Bonding Program'!$H$30),'Bonding Program'!$AA$30,0)-IF(AY$3&lt;='Bonding Program'!$C$8,IF(AND('Bonding Program'!$K$30&lt;&gt;"",AY$3='Bonding Program'!$K$30),'Bonding Program'!$J$30,0)-IF(AND('Bonding Program'!$M$30&lt;&gt;"",AY$3='Bonding Program'!$M$30),'Bonding Program'!$L$30,0)-IF(AND('Bonding Program'!$P$30&lt;&gt;"",AY$3='Bonding Program'!$P$30),'Bonding Program'!$O$30,0)-IF(AND('Bonding Program'!$R$30&lt;&gt;"",AY$3='Bonding Program'!$R$30),'Bonding Program'!$Q$30,0),0)</f>
        <v>0</v>
      </c>
      <c r="AZ171" s="19" t="n">
        <f aca="false">IF(AND('Bonding Program'!$S$30=1,AZ$3='Bonding Program'!$H$30),'Bonding Program'!$AA$30,0)-IF(AZ$3&lt;='Bonding Program'!$C$8,IF(AND('Bonding Program'!$K$30&lt;&gt;"",AZ$3='Bonding Program'!$K$30),'Bonding Program'!$J$30,0)-IF(AND('Bonding Program'!$M$30&lt;&gt;"",AZ$3='Bonding Program'!$M$30),'Bonding Program'!$L$30,0)-IF(AND('Bonding Program'!$P$30&lt;&gt;"",AZ$3='Bonding Program'!$P$30),'Bonding Program'!$O$30,0)-IF(AND('Bonding Program'!$R$30&lt;&gt;"",AZ$3='Bonding Program'!$R$30),'Bonding Program'!$Q$30,0),0)</f>
        <v>0</v>
      </c>
      <c r="BA171" s="19" t="n">
        <f aca="false">IF(AND('Bonding Program'!$S$30=1,BA$3='Bonding Program'!$H$30),'Bonding Program'!$AA$30,0)-IF(BA$3&lt;='Bonding Program'!$C$8,IF(AND('Bonding Program'!$K$30&lt;&gt;"",BA$3='Bonding Program'!$K$30),'Bonding Program'!$J$30,0)-IF(AND('Bonding Program'!$M$30&lt;&gt;"",BA$3='Bonding Program'!$M$30),'Bonding Program'!$L$30,0)-IF(AND('Bonding Program'!$P$30&lt;&gt;"",BA$3='Bonding Program'!$P$30),'Bonding Program'!$O$30,0)-IF(AND('Bonding Program'!$R$30&lt;&gt;"",BA$3='Bonding Program'!$R$30),'Bonding Program'!$Q$30,0),0)</f>
        <v>0</v>
      </c>
      <c r="BB171" s="19" t="n">
        <f aca="false">IF(AND('Bonding Program'!$S$30=1,BB$3='Bonding Program'!$H$30),'Bonding Program'!$AA$30,0)-IF(BB$3&lt;='Bonding Program'!$C$8,IF(AND('Bonding Program'!$K$30&lt;&gt;"",BB$3='Bonding Program'!$K$30),'Bonding Program'!$J$30,0)-IF(AND('Bonding Program'!$M$30&lt;&gt;"",BB$3='Bonding Program'!$M$30),'Bonding Program'!$L$30,0)-IF(AND('Bonding Program'!$P$30&lt;&gt;"",BB$3='Bonding Program'!$P$30),'Bonding Program'!$O$30,0)-IF(AND('Bonding Program'!$R$30&lt;&gt;"",BB$3='Bonding Program'!$R$30),'Bonding Program'!$Q$30,0),0)</f>
        <v>0</v>
      </c>
      <c r="BC171" s="19" t="n">
        <f aca="false">IF(AND('Bonding Program'!$S$30=1,BC$3='Bonding Program'!$H$30),'Bonding Program'!$AA$30,0)-IF(BC$3&lt;='Bonding Program'!$C$8,IF(AND('Bonding Program'!$K$30&lt;&gt;"",BC$3='Bonding Program'!$K$30),'Bonding Program'!$J$30,0)-IF(AND('Bonding Program'!$M$30&lt;&gt;"",BC$3='Bonding Program'!$M$30),'Bonding Program'!$L$30,0)-IF(AND('Bonding Program'!$P$30&lt;&gt;"",BC$3='Bonding Program'!$P$30),'Bonding Program'!$O$30,0)-IF(AND('Bonding Program'!$R$30&lt;&gt;"",BC$3='Bonding Program'!$R$30),'Bonding Program'!$Q$30,0),0)</f>
        <v>0</v>
      </c>
      <c r="BD171" s="19" t="n">
        <f aca="false">IF(AND('Bonding Program'!$S$30=1,BD$3='Bonding Program'!$H$30),'Bonding Program'!$AA$30,0)-IF(BD$3&lt;='Bonding Program'!$C$8,IF(AND('Bonding Program'!$K$30&lt;&gt;"",BD$3='Bonding Program'!$K$30),'Bonding Program'!$J$30,0)-IF(AND('Bonding Program'!$M$30&lt;&gt;"",BD$3='Bonding Program'!$M$30),'Bonding Program'!$L$30,0)-IF(AND('Bonding Program'!$P$30&lt;&gt;"",BD$3='Bonding Program'!$P$30),'Bonding Program'!$O$30,0)-IF(AND('Bonding Program'!$R$30&lt;&gt;"",BD$3='Bonding Program'!$R$30),'Bonding Program'!$Q$30,0),0)</f>
        <v>0</v>
      </c>
      <c r="BE171" s="19" t="n">
        <f aca="false">IF(AND('Bonding Program'!$S$30=1,BE$3='Bonding Program'!$H$30),'Bonding Program'!$AA$30,0)-IF(BE$3&lt;='Bonding Program'!$C$8,IF(AND('Bonding Program'!$K$30&lt;&gt;"",BE$3='Bonding Program'!$K$30),'Bonding Program'!$J$30,0)-IF(AND('Bonding Program'!$M$30&lt;&gt;"",BE$3='Bonding Program'!$M$30),'Bonding Program'!$L$30,0)-IF(AND('Bonding Program'!$P$30&lt;&gt;"",BE$3='Bonding Program'!$P$30),'Bonding Program'!$O$30,0)-IF(AND('Bonding Program'!$R$30&lt;&gt;"",BE$3='Bonding Program'!$R$30),'Bonding Program'!$Q$30,0),0)</f>
        <v>0</v>
      </c>
      <c r="BF171" s="19" t="n">
        <f aca="false">IF(AND('Bonding Program'!$S$30=1,BF$3='Bonding Program'!$H$30),'Bonding Program'!$AA$30,0)-IF(BF$3&lt;='Bonding Program'!$C$8,IF(AND('Bonding Program'!$K$30&lt;&gt;"",BF$3='Bonding Program'!$K$30),'Bonding Program'!$J$30,0)-IF(AND('Bonding Program'!$M$30&lt;&gt;"",BF$3='Bonding Program'!$M$30),'Bonding Program'!$L$30,0)-IF(AND('Bonding Program'!$P$30&lt;&gt;"",BF$3='Bonding Program'!$P$30),'Bonding Program'!$O$30,0)-IF(AND('Bonding Program'!$R$30&lt;&gt;"",BF$3='Bonding Program'!$R$30),'Bonding Program'!$Q$30,0),0)</f>
        <v>0</v>
      </c>
      <c r="BG171" s="19" t="n">
        <f aca="false">IF(AND('Bonding Program'!$S$30=1,BG$3='Bonding Program'!$H$30),'Bonding Program'!$AA$30,0)-IF(BG$3&lt;='Bonding Program'!$C$8,IF(AND('Bonding Program'!$K$30&lt;&gt;"",BG$3='Bonding Program'!$K$30),'Bonding Program'!$J$30,0)-IF(AND('Bonding Program'!$M$30&lt;&gt;"",BG$3='Bonding Program'!$M$30),'Bonding Program'!$L$30,0)-IF(AND('Bonding Program'!$P$30&lt;&gt;"",BG$3='Bonding Program'!$P$30),'Bonding Program'!$O$30,0)-IF(AND('Bonding Program'!$R$30&lt;&gt;"",BG$3='Bonding Program'!$R$30),'Bonding Program'!$Q$30,0),0)</f>
        <v>0</v>
      </c>
      <c r="BH171" s="19" t="n">
        <f aca="false">IF(AND('Bonding Program'!$S$30=1,BH$3='Bonding Program'!$H$30),'Bonding Program'!$AA$30,0)-IF(BH$3&lt;='Bonding Program'!$C$8,IF(AND('Bonding Program'!$K$30&lt;&gt;"",BH$3='Bonding Program'!$K$30),'Bonding Program'!$J$30,0)-IF(AND('Bonding Program'!$M$30&lt;&gt;"",BH$3='Bonding Program'!$M$30),'Bonding Program'!$L$30,0)-IF(AND('Bonding Program'!$P$30&lt;&gt;"",BH$3='Bonding Program'!$P$30),'Bonding Program'!$O$30,0)-IF(AND('Bonding Program'!$R$30&lt;&gt;"",BH$3='Bonding Program'!$R$30),'Bonding Program'!$Q$30,0),0)</f>
        <v>0</v>
      </c>
      <c r="BI171" s="19" t="n">
        <f aca="false">IF(AND('Bonding Program'!$S$30=1,BI$3='Bonding Program'!$H$30),'Bonding Program'!$AA$30,0)-IF(BI$3&lt;='Bonding Program'!$C$8,IF(AND('Bonding Program'!$K$30&lt;&gt;"",BI$3='Bonding Program'!$K$30),'Bonding Program'!$J$30,0)-IF(AND('Bonding Program'!$M$30&lt;&gt;"",BI$3='Bonding Program'!$M$30),'Bonding Program'!$L$30,0)-IF(AND('Bonding Program'!$P$30&lt;&gt;"",BI$3='Bonding Program'!$P$30),'Bonding Program'!$O$30,0)-IF(AND('Bonding Program'!$R$30&lt;&gt;"",BI$3='Bonding Program'!$R$30),'Bonding Program'!$Q$30,0),0)</f>
        <v>0</v>
      </c>
      <c r="BJ171" s="19" t="n">
        <f aca="false">IF(AND('Bonding Program'!$S$30=1,BJ$3='Bonding Program'!$H$30),'Bonding Program'!$AA$30,0)-IF(BJ$3&lt;='Bonding Program'!$C$8,IF(AND('Bonding Program'!$K$30&lt;&gt;"",BJ$3='Bonding Program'!$K$30),'Bonding Program'!$J$30,0)-IF(AND('Bonding Program'!$M$30&lt;&gt;"",BJ$3='Bonding Program'!$M$30),'Bonding Program'!$L$30,0)-IF(AND('Bonding Program'!$P$30&lt;&gt;"",BJ$3='Bonding Program'!$P$30),'Bonding Program'!$O$30,0)-IF(AND('Bonding Program'!$R$30&lt;&gt;"",BJ$3='Bonding Program'!$R$30),'Bonding Program'!$Q$30,0),0)</f>
        <v>0</v>
      </c>
      <c r="BK171" s="19" t="n">
        <f aca="false">IF(AND('Bonding Program'!$S$30=1,BK$3='Bonding Program'!$H$30),'Bonding Program'!$AA$30,0)-IF(BK$3&lt;='Bonding Program'!$C$8,IF(AND('Bonding Program'!$K$30&lt;&gt;"",BK$3='Bonding Program'!$K$30),'Bonding Program'!$J$30,0)-IF(AND('Bonding Program'!$M$30&lt;&gt;"",BK$3='Bonding Program'!$M$30),'Bonding Program'!$L$30,0)-IF(AND('Bonding Program'!$P$30&lt;&gt;"",BK$3='Bonding Program'!$P$30),'Bonding Program'!$O$30,0)-IF(AND('Bonding Program'!$R$30&lt;&gt;"",BK$3='Bonding Program'!$R$30),'Bonding Program'!$Q$30,0),0)</f>
        <v>0</v>
      </c>
      <c r="BL171" s="19" t="n">
        <f aca="false">IF(AND('Bonding Program'!$S$30=1,BL$3='Bonding Program'!$H$30),'Bonding Program'!$AA$30,0)-IF(BL$3&lt;='Bonding Program'!$C$8,IF(AND('Bonding Program'!$K$30&lt;&gt;"",BL$3='Bonding Program'!$K$30),'Bonding Program'!$J$30,0)-IF(AND('Bonding Program'!$M$30&lt;&gt;"",BL$3='Bonding Program'!$M$30),'Bonding Program'!$L$30,0)-IF(AND('Bonding Program'!$P$30&lt;&gt;"",BL$3='Bonding Program'!$P$30),'Bonding Program'!$O$30,0)-IF(AND('Bonding Program'!$R$30&lt;&gt;"",BL$3='Bonding Program'!$R$30),'Bonding Program'!$Q$30,0),0)</f>
        <v>0</v>
      </c>
      <c r="BM171" s="19" t="n">
        <f aca="false">IF(AND('Bonding Program'!$S$30=1,BM$3='Bonding Program'!$H$30),'Bonding Program'!$AA$30,0)-IF(BM$3&lt;='Bonding Program'!$C$8,IF(AND('Bonding Program'!$K$30&lt;&gt;"",BM$3='Bonding Program'!$K$30),'Bonding Program'!$J$30,0)-IF(AND('Bonding Program'!$M$30&lt;&gt;"",BM$3='Bonding Program'!$M$30),'Bonding Program'!$L$30,0)-IF(AND('Bonding Program'!$P$30&lt;&gt;"",BM$3='Bonding Program'!$P$30),'Bonding Program'!$O$30,0)-IF(AND('Bonding Program'!$R$30&lt;&gt;"",BM$3='Bonding Program'!$R$30),'Bonding Program'!$Q$30,0),0)</f>
        <v>0</v>
      </c>
      <c r="BN171" s="19" t="n">
        <f aca="false">IF(AND('Bonding Program'!$S$30=1,BN$3='Bonding Program'!$H$30),'Bonding Program'!$AA$30,0)-IF(BN$3&lt;='Bonding Program'!$C$8,IF(AND('Bonding Program'!$K$30&lt;&gt;"",BN$3='Bonding Program'!$K$30),'Bonding Program'!$J$30,0)-IF(AND('Bonding Program'!$M$30&lt;&gt;"",BN$3='Bonding Program'!$M$30),'Bonding Program'!$L$30,0)-IF(AND('Bonding Program'!$P$30&lt;&gt;"",BN$3='Bonding Program'!$P$30),'Bonding Program'!$O$30,0)-IF(AND('Bonding Program'!$R$30&lt;&gt;"",BN$3='Bonding Program'!$R$30),'Bonding Program'!$Q$30,0),0)</f>
        <v>0</v>
      </c>
      <c r="BO171" s="19" t="n">
        <f aca="false">IF(AND('Bonding Program'!$S$30=1,BO$3='Bonding Program'!$H$30),'Bonding Program'!$AA$30,0)-IF(BO$3&lt;='Bonding Program'!$C$8,IF(AND('Bonding Program'!$K$30&lt;&gt;"",BO$3='Bonding Program'!$K$30),'Bonding Program'!$J$30,0)-IF(AND('Bonding Program'!$M$30&lt;&gt;"",BO$3='Bonding Program'!$M$30),'Bonding Program'!$L$30,0)-IF(AND('Bonding Program'!$P$30&lt;&gt;"",BO$3='Bonding Program'!$P$30),'Bonding Program'!$O$30,0)-IF(AND('Bonding Program'!$R$30&lt;&gt;"",BO$3='Bonding Program'!$R$30),'Bonding Program'!$Q$30,0),0)</f>
        <v>0</v>
      </c>
      <c r="BP171" s="19" t="n">
        <f aca="false">IF(AND('Bonding Program'!$S$30=1,BP$3='Bonding Program'!$H$30),'Bonding Program'!$AA$30,0)-IF(BP$3&lt;='Bonding Program'!$C$8,IF(AND('Bonding Program'!$K$30&lt;&gt;"",BP$3='Bonding Program'!$K$30),'Bonding Program'!$J$30,0)-IF(AND('Bonding Program'!$M$30&lt;&gt;"",BP$3='Bonding Program'!$M$30),'Bonding Program'!$L$30,0)-IF(AND('Bonding Program'!$P$30&lt;&gt;"",BP$3='Bonding Program'!$P$30),'Bonding Program'!$O$30,0)-IF(AND('Bonding Program'!$R$30&lt;&gt;"",BP$3='Bonding Program'!$R$30),'Bonding Program'!$Q$30,0),0)</f>
        <v>0</v>
      </c>
      <c r="BQ171" s="19" t="n">
        <f aca="false">IF(AND('Bonding Program'!$S$30=1,BQ$3='Bonding Program'!$H$30),'Bonding Program'!$AA$30,0)-IF(BQ$3&lt;='Bonding Program'!$C$8,IF(AND('Bonding Program'!$K$30&lt;&gt;"",BQ$3='Bonding Program'!$K$30),'Bonding Program'!$J$30,0)-IF(AND('Bonding Program'!$M$30&lt;&gt;"",BQ$3='Bonding Program'!$M$30),'Bonding Program'!$L$30,0)-IF(AND('Bonding Program'!$P$30&lt;&gt;"",BQ$3='Bonding Program'!$P$30),'Bonding Program'!$O$30,0)-IF(AND('Bonding Program'!$R$30&lt;&gt;"",BQ$3='Bonding Program'!$R$30),'Bonding Program'!$Q$30,0),0)</f>
        <v>0</v>
      </c>
      <c r="BR171" s="19" t="n">
        <f aca="false">IF(AND('Bonding Program'!$S$30=1,BR$3='Bonding Program'!$H$30),'Bonding Program'!$AA$30,0)-IF(BR$3&lt;='Bonding Program'!$C$8,IF(AND('Bonding Program'!$K$30&lt;&gt;"",BR$3='Bonding Program'!$K$30),'Bonding Program'!$J$30,0)-IF(AND('Bonding Program'!$M$30&lt;&gt;"",BR$3='Bonding Program'!$M$30),'Bonding Program'!$L$30,0)-IF(AND('Bonding Program'!$P$30&lt;&gt;"",BR$3='Bonding Program'!$P$30),'Bonding Program'!$O$30,0)-IF(AND('Bonding Program'!$R$30&lt;&gt;"",BR$3='Bonding Program'!$R$30),'Bonding Program'!$Q$30,0),0)</f>
        <v>0</v>
      </c>
      <c r="BS171" s="19" t="n">
        <f aca="false">IF(AND('Bonding Program'!$S$30=1,BS$3='Bonding Program'!$H$30),'Bonding Program'!$AA$30,0)-IF(BS$3&lt;='Bonding Program'!$C$8,IF(AND('Bonding Program'!$K$30&lt;&gt;"",BS$3='Bonding Program'!$K$30),'Bonding Program'!$J$30,0)-IF(AND('Bonding Program'!$M$30&lt;&gt;"",BS$3='Bonding Program'!$M$30),'Bonding Program'!$L$30,0)-IF(AND('Bonding Program'!$P$30&lt;&gt;"",BS$3='Bonding Program'!$P$30),'Bonding Program'!$O$30,0)-IF(AND('Bonding Program'!$R$30&lt;&gt;"",BS$3='Bonding Program'!$R$30),'Bonding Program'!$Q$30,0),0)</f>
        <v>0</v>
      </c>
      <c r="BT171" s="19" t="n">
        <f aca="false">IF(AND('Bonding Program'!$S$30=1,BT$3='Bonding Program'!$H$30),'Bonding Program'!$AA$30,0)-IF(BT$3&lt;='Bonding Program'!$C$8,IF(AND('Bonding Program'!$K$30&lt;&gt;"",BT$3='Bonding Program'!$K$30),'Bonding Program'!$J$30,0)-IF(AND('Bonding Program'!$M$30&lt;&gt;"",BT$3='Bonding Program'!$M$30),'Bonding Program'!$L$30,0)-IF(AND('Bonding Program'!$P$30&lt;&gt;"",BT$3='Bonding Program'!$P$30),'Bonding Program'!$O$30,0)-IF(AND('Bonding Program'!$R$30&lt;&gt;"",BT$3='Bonding Program'!$R$30),'Bonding Program'!$Q$30,0),0)</f>
        <v>0</v>
      </c>
      <c r="BU171" s="19" t="n">
        <f aca="false">IF(AND('Bonding Program'!$S$30=1,BU$3='Bonding Program'!$H$30),'Bonding Program'!$AA$30,0)-IF(BU$3&lt;='Bonding Program'!$C$8,IF(AND('Bonding Program'!$K$30&lt;&gt;"",BU$3='Bonding Program'!$K$30),'Bonding Program'!$J$30,0)-IF(AND('Bonding Program'!$M$30&lt;&gt;"",BU$3='Bonding Program'!$M$30),'Bonding Program'!$L$30,0)-IF(AND('Bonding Program'!$P$30&lt;&gt;"",BU$3='Bonding Program'!$P$30),'Bonding Program'!$O$30,0)-IF(AND('Bonding Program'!$R$30&lt;&gt;"",BU$3='Bonding Program'!$R$30),'Bonding Program'!$Q$30,0),0)</f>
        <v>0</v>
      </c>
      <c r="BV171" s="19" t="n">
        <f aca="false">IF(AND('Bonding Program'!$S$30=1,BV$3='Bonding Program'!$H$30),'Bonding Program'!$AA$30,0)-IF(BV$3&lt;='Bonding Program'!$C$8,IF(AND('Bonding Program'!$K$30&lt;&gt;"",BV$3='Bonding Program'!$K$30),'Bonding Program'!$J$30,0)-IF(AND('Bonding Program'!$M$30&lt;&gt;"",BV$3='Bonding Program'!$M$30),'Bonding Program'!$L$30,0)-IF(AND('Bonding Program'!$P$30&lt;&gt;"",BV$3='Bonding Program'!$P$30),'Bonding Program'!$O$30,0)-IF(AND('Bonding Program'!$R$30&lt;&gt;"",BV$3='Bonding Program'!$R$30),'Bonding Program'!$Q$30,0),0)</f>
        <v>0</v>
      </c>
      <c r="BW171" s="19" t="n">
        <f aca="false">IF(AND('Bonding Program'!$S$30=1,BW$3='Bonding Program'!$H$30),'Bonding Program'!$AA$30,0)-IF(BW$3&lt;='Bonding Program'!$C$8,IF(AND('Bonding Program'!$K$30&lt;&gt;"",BW$3='Bonding Program'!$K$30),'Bonding Program'!$J$30,0)-IF(AND('Bonding Program'!$M$30&lt;&gt;"",BW$3='Bonding Program'!$M$30),'Bonding Program'!$L$30,0)-IF(AND('Bonding Program'!$P$30&lt;&gt;"",BW$3='Bonding Program'!$P$30),'Bonding Program'!$O$30,0)-IF(AND('Bonding Program'!$R$30&lt;&gt;"",BW$3='Bonding Program'!$R$30),'Bonding Program'!$Q$30,0),0)</f>
        <v>0</v>
      </c>
      <c r="BX171" s="19" t="n">
        <f aca="false">IF(AND('Bonding Program'!$S$30=1,BX$3='Bonding Program'!$H$30),'Bonding Program'!$AA$30,0)-IF(BX$3&lt;='Bonding Program'!$C$8,IF(AND('Bonding Program'!$K$30&lt;&gt;"",BX$3='Bonding Program'!$K$30),'Bonding Program'!$J$30,0)-IF(AND('Bonding Program'!$M$30&lt;&gt;"",BX$3='Bonding Program'!$M$30),'Bonding Program'!$L$30,0)-IF(AND('Bonding Program'!$P$30&lt;&gt;"",BX$3='Bonding Program'!$P$30),'Bonding Program'!$O$30,0)-IF(AND('Bonding Program'!$R$30&lt;&gt;"",BX$3='Bonding Program'!$R$30),'Bonding Program'!$Q$30,0),0)</f>
        <v>0</v>
      </c>
      <c r="BY171" s="19" t="n">
        <f aca="false">IF(AND('Bonding Program'!$S$30=1,BY$3='Bonding Program'!$H$30),'Bonding Program'!$AA$30,0)-IF(BY$3&lt;='Bonding Program'!$C$8,IF(AND('Bonding Program'!$K$30&lt;&gt;"",BY$3='Bonding Program'!$K$30),'Bonding Program'!$J$30,0)-IF(AND('Bonding Program'!$M$30&lt;&gt;"",BY$3='Bonding Program'!$M$30),'Bonding Program'!$L$30,0)-IF(AND('Bonding Program'!$P$30&lt;&gt;"",BY$3='Bonding Program'!$P$30),'Bonding Program'!$O$30,0)-IF(AND('Bonding Program'!$R$30&lt;&gt;"",BY$3='Bonding Program'!$R$30),'Bonding Program'!$Q$30,0),0)</f>
        <v>0</v>
      </c>
      <c r="BZ171" s="19" t="n">
        <f aca="false">IF(AND('Bonding Program'!$S$30=1,BZ$3='Bonding Program'!$H$30),'Bonding Program'!$AA$30,0)-IF(BZ$3&lt;='Bonding Program'!$C$8,IF(AND('Bonding Program'!$K$30&lt;&gt;"",BZ$3='Bonding Program'!$K$30),'Bonding Program'!$J$30,0)-IF(AND('Bonding Program'!$M$30&lt;&gt;"",BZ$3='Bonding Program'!$M$30),'Bonding Program'!$L$30,0)-IF(AND('Bonding Program'!$P$30&lt;&gt;"",BZ$3='Bonding Program'!$P$30),'Bonding Program'!$O$30,0)-IF(AND('Bonding Program'!$R$30&lt;&gt;"",BZ$3='Bonding Program'!$R$30),'Bonding Program'!$Q$30,0),0)</f>
        <v>0</v>
      </c>
      <c r="CA171" s="19" t="n">
        <f aca="false">IF(AND('Bonding Program'!$S$30=1,CA$3='Bonding Program'!$H$30),'Bonding Program'!$AA$30,0)-IF(CA$3&lt;='Bonding Program'!$C$8,IF(AND('Bonding Program'!$K$30&lt;&gt;"",CA$3='Bonding Program'!$K$30),'Bonding Program'!$J$30,0)-IF(AND('Bonding Program'!$M$30&lt;&gt;"",CA$3='Bonding Program'!$M$30),'Bonding Program'!$L$30,0)-IF(AND('Bonding Program'!$P$30&lt;&gt;"",CA$3='Bonding Program'!$P$30),'Bonding Program'!$O$30,0)-IF(AND('Bonding Program'!$R$30&lt;&gt;"",CA$3='Bonding Program'!$R$30),'Bonding Program'!$Q$30,0),0)</f>
        <v>0</v>
      </c>
      <c r="CB171" s="19" t="n">
        <f aca="false">IF(AND('Bonding Program'!$S$30=1,CB$3='Bonding Program'!$H$30),'Bonding Program'!$AA$30,0)-IF(CB$3&lt;='Bonding Program'!$C$8,IF(AND('Bonding Program'!$K$30&lt;&gt;"",CB$3='Bonding Program'!$K$30),'Bonding Program'!$J$30,0)-IF(AND('Bonding Program'!$M$30&lt;&gt;"",CB$3='Bonding Program'!$M$30),'Bonding Program'!$L$30,0)-IF(AND('Bonding Program'!$P$30&lt;&gt;"",CB$3='Bonding Program'!$P$30),'Bonding Program'!$O$30,0)-IF(AND('Bonding Program'!$R$30&lt;&gt;"",CB$3='Bonding Program'!$R$30),'Bonding Program'!$Q$30,0),0)</f>
        <v>0</v>
      </c>
      <c r="CC171" s="19" t="n">
        <f aca="false">IF(AND('Bonding Program'!$S$30=1,CC$3='Bonding Program'!$H$30),'Bonding Program'!$AA$30,0)-IF(CC$3&lt;='Bonding Program'!$C$8,IF(AND('Bonding Program'!$K$30&lt;&gt;"",CC$3='Bonding Program'!$K$30),'Bonding Program'!$J$30,0)-IF(AND('Bonding Program'!$M$30&lt;&gt;"",CC$3='Bonding Program'!$M$30),'Bonding Program'!$L$30,0)-IF(AND('Bonding Program'!$P$30&lt;&gt;"",CC$3='Bonding Program'!$P$30),'Bonding Program'!$O$30,0)-IF(AND('Bonding Program'!$R$30&lt;&gt;"",CC$3='Bonding Program'!$R$30),'Bonding Program'!$Q$30,0),0)</f>
        <v>0</v>
      </c>
      <c r="CD171" s="19" t="n">
        <f aca="false">IF(AND('Bonding Program'!$S$30=1,CD$3='Bonding Program'!$H$30),'Bonding Program'!$AA$30,0)-IF(CD$3&lt;='Bonding Program'!$C$8,IF(AND('Bonding Program'!$K$30&lt;&gt;"",CD$3='Bonding Program'!$K$30),'Bonding Program'!$J$30,0)-IF(AND('Bonding Program'!$M$30&lt;&gt;"",CD$3='Bonding Program'!$M$30),'Bonding Program'!$L$30,0)-IF(AND('Bonding Program'!$P$30&lt;&gt;"",CD$3='Bonding Program'!$P$30),'Bonding Program'!$O$30,0)-IF(AND('Bonding Program'!$R$30&lt;&gt;"",CD$3='Bonding Program'!$R$30),'Bonding Program'!$Q$30,0),0)</f>
        <v>0</v>
      </c>
      <c r="CE171" s="19" t="n">
        <f aca="false">IF(AND('Bonding Program'!$S$30=1,CE$3='Bonding Program'!$H$30),'Bonding Program'!$AA$30,0)-IF(CE$3&lt;='Bonding Program'!$C$8,IF(AND('Bonding Program'!$K$30&lt;&gt;"",CE$3='Bonding Program'!$K$30),'Bonding Program'!$J$30,0)-IF(AND('Bonding Program'!$M$30&lt;&gt;"",CE$3='Bonding Program'!$M$30),'Bonding Program'!$L$30,0)-IF(AND('Bonding Program'!$P$30&lt;&gt;"",CE$3='Bonding Program'!$P$30),'Bonding Program'!$O$30,0)-IF(AND('Bonding Program'!$R$30&lt;&gt;"",CE$3='Bonding Program'!$R$30),'Bonding Program'!$Q$30,0),0)</f>
        <v>0</v>
      </c>
      <c r="CF171" s="19" t="n">
        <f aca="false">IF(AND('Bonding Program'!$S$30=1,CF$3='Bonding Program'!$H$30),'Bonding Program'!$AA$30,0)-IF(CF$3&lt;='Bonding Program'!$C$8,IF(AND('Bonding Program'!$K$30&lt;&gt;"",CF$3='Bonding Program'!$K$30),'Bonding Program'!$J$30,0)-IF(AND('Bonding Program'!$M$30&lt;&gt;"",CF$3='Bonding Program'!$M$30),'Bonding Program'!$L$30,0)-IF(AND('Bonding Program'!$P$30&lt;&gt;"",CF$3='Bonding Program'!$P$30),'Bonding Program'!$O$30,0)-IF(AND('Bonding Program'!$R$30&lt;&gt;"",CF$3='Bonding Program'!$R$30),'Bonding Program'!$Q$30,0),0)</f>
        <v>0</v>
      </c>
      <c r="CG171" s="19" t="n">
        <f aca="false">IF(AND('Bonding Program'!$S$30=1,CG$3='Bonding Program'!$H$30),'Bonding Program'!$AA$30,0)-IF(CG$3&lt;='Bonding Program'!$C$8,IF(AND('Bonding Program'!$K$30&lt;&gt;"",CG$3='Bonding Program'!$K$30),'Bonding Program'!$J$30,0)-IF(AND('Bonding Program'!$M$30&lt;&gt;"",CG$3='Bonding Program'!$M$30),'Bonding Program'!$L$30,0)-IF(AND('Bonding Program'!$P$30&lt;&gt;"",CG$3='Bonding Program'!$P$30),'Bonding Program'!$O$30,0)-IF(AND('Bonding Program'!$R$30&lt;&gt;"",CG$3='Bonding Program'!$R$30),'Bonding Program'!$Q$30,0),0)</f>
        <v>0</v>
      </c>
      <c r="CH171" s="19" t="n">
        <f aca="false">IF(AND('Bonding Program'!$S$30=1,CH$3='Bonding Program'!$H$30),'Bonding Program'!$AA$30,0)-IF(CH$3&lt;='Bonding Program'!$C$8,IF(AND('Bonding Program'!$K$30&lt;&gt;"",CH$3='Bonding Program'!$K$30),'Bonding Program'!$J$30,0)-IF(AND('Bonding Program'!$M$30&lt;&gt;"",CH$3='Bonding Program'!$M$30),'Bonding Program'!$L$30,0)-IF(AND('Bonding Program'!$P$30&lt;&gt;"",CH$3='Bonding Program'!$P$30),'Bonding Program'!$O$30,0)-IF(AND('Bonding Program'!$R$30&lt;&gt;"",CH$3='Bonding Program'!$R$30),'Bonding Program'!$Q$30,0),0)</f>
        <v>0</v>
      </c>
      <c r="CI171" s="19" t="n">
        <f aca="false">IF(AND('Bonding Program'!$S$30=1,CI$3='Bonding Program'!$H$30),'Bonding Program'!$AA$30,0)-IF(CI$3&lt;='Bonding Program'!$C$8,IF(AND('Bonding Program'!$K$30&lt;&gt;"",CI$3='Bonding Program'!$K$30),'Bonding Program'!$J$30,0)-IF(AND('Bonding Program'!$M$30&lt;&gt;"",CI$3='Bonding Program'!$M$30),'Bonding Program'!$L$30,0)-IF(AND('Bonding Program'!$P$30&lt;&gt;"",CI$3='Bonding Program'!$P$30),'Bonding Program'!$O$30,0)-IF(AND('Bonding Program'!$R$30&lt;&gt;"",CI$3='Bonding Program'!$R$30),'Bonding Program'!$Q$30,0),0)</f>
        <v>0</v>
      </c>
      <c r="CJ171" s="19" t="n">
        <f aca="false">IF(AND('Bonding Program'!$S$30=1,CJ$3='Bonding Program'!$H$30),'Bonding Program'!$AA$30,0)-IF(CJ$3&lt;='Bonding Program'!$C$8,IF(AND('Bonding Program'!$K$30&lt;&gt;"",CJ$3='Bonding Program'!$K$30),'Bonding Program'!$J$30,0)-IF(AND('Bonding Program'!$M$30&lt;&gt;"",CJ$3='Bonding Program'!$M$30),'Bonding Program'!$L$30,0)-IF(AND('Bonding Program'!$P$30&lt;&gt;"",CJ$3='Bonding Program'!$P$30),'Bonding Program'!$O$30,0)-IF(AND('Bonding Program'!$R$30&lt;&gt;"",CJ$3='Bonding Program'!$R$30),'Bonding Program'!$Q$30,0),0)</f>
        <v>0</v>
      </c>
      <c r="CK171" s="19" t="n">
        <f aca="false">IF(AND('Bonding Program'!$S$30=1,CK$3='Bonding Program'!$H$30),'Bonding Program'!$AA$30,0)-IF(CK$3&lt;='Bonding Program'!$C$8,IF(AND('Bonding Program'!$K$30&lt;&gt;"",CK$3='Bonding Program'!$K$30),'Bonding Program'!$J$30,0)-IF(AND('Bonding Program'!$M$30&lt;&gt;"",CK$3='Bonding Program'!$M$30),'Bonding Program'!$L$30,0)-IF(AND('Bonding Program'!$P$30&lt;&gt;"",CK$3='Bonding Program'!$P$30),'Bonding Program'!$O$30,0)-IF(AND('Bonding Program'!$R$30&lt;&gt;"",CK$3='Bonding Program'!$R$30),'Bonding Program'!$Q$30,0),0)</f>
        <v>0</v>
      </c>
      <c r="CL171" s="19" t="n">
        <f aca="false">IF(AND('Bonding Program'!$S$30=1,CL$3='Bonding Program'!$H$30),'Bonding Program'!$AA$30,0)-IF(CL$3&lt;='Bonding Program'!$C$8,IF(AND('Bonding Program'!$K$30&lt;&gt;"",CL$3='Bonding Program'!$K$30),'Bonding Program'!$J$30,0)-IF(AND('Bonding Program'!$M$30&lt;&gt;"",CL$3='Bonding Program'!$M$30),'Bonding Program'!$L$30,0)-IF(AND('Bonding Program'!$P$30&lt;&gt;"",CL$3='Bonding Program'!$P$30),'Bonding Program'!$O$30,0)-IF(AND('Bonding Program'!$R$30&lt;&gt;"",CL$3='Bonding Program'!$R$30),'Bonding Program'!$Q$30,0),0)</f>
        <v>0</v>
      </c>
      <c r="CM171" s="19" t="n">
        <f aca="false">IF(AND('Bonding Program'!$S$30=1,CM$3='Bonding Program'!$H$30),'Bonding Program'!$AA$30,0)-IF(CM$3&lt;='Bonding Program'!$C$8,IF(AND('Bonding Program'!$K$30&lt;&gt;"",CM$3='Bonding Program'!$K$30),'Bonding Program'!$J$30,0)-IF(AND('Bonding Program'!$M$30&lt;&gt;"",CM$3='Bonding Program'!$M$30),'Bonding Program'!$L$30,0)-IF(AND('Bonding Program'!$P$30&lt;&gt;"",CM$3='Bonding Program'!$P$30),'Bonding Program'!$O$30,0)-IF(AND('Bonding Program'!$R$30&lt;&gt;"",CM$3='Bonding Program'!$R$30),'Bonding Program'!$Q$30,0),0)</f>
        <v>0</v>
      </c>
      <c r="CN171" s="19" t="n">
        <f aca="false">IF(AND('Bonding Program'!$S$30=1,CN$3='Bonding Program'!$H$30),'Bonding Program'!$AA$30,0)-IF(CN$3&lt;='Bonding Program'!$C$8,IF(AND('Bonding Program'!$K$30&lt;&gt;"",CN$3='Bonding Program'!$K$30),'Bonding Program'!$J$30,0)-IF(AND('Bonding Program'!$M$30&lt;&gt;"",CN$3='Bonding Program'!$M$30),'Bonding Program'!$L$30,0)-IF(AND('Bonding Program'!$P$30&lt;&gt;"",CN$3='Bonding Program'!$P$30),'Bonding Program'!$O$30,0)-IF(AND('Bonding Program'!$R$30&lt;&gt;"",CN$3='Bonding Program'!$R$30),'Bonding Program'!$Q$30,0),0)</f>
        <v>0</v>
      </c>
      <c r="CO171" s="19" t="n">
        <f aca="false">IF(AND('Bonding Program'!$S$30=1,CO$3='Bonding Program'!$H$30),'Bonding Program'!$AA$30,0)-IF(CO$3&lt;='Bonding Program'!$C$8,IF(AND('Bonding Program'!$K$30&lt;&gt;"",CO$3='Bonding Program'!$K$30),'Bonding Program'!$J$30,0)-IF(AND('Bonding Program'!$M$30&lt;&gt;"",CO$3='Bonding Program'!$M$30),'Bonding Program'!$L$30,0)-IF(AND('Bonding Program'!$P$30&lt;&gt;"",CO$3='Bonding Program'!$P$30),'Bonding Program'!$O$30,0)-IF(AND('Bonding Program'!$R$30&lt;&gt;"",CO$3='Bonding Program'!$R$30),'Bonding Program'!$Q$30,0),0)</f>
        <v>0</v>
      </c>
      <c r="CP171" s="19" t="n">
        <f aca="false">IF(AND('Bonding Program'!$S$30=1,CP$3='Bonding Program'!$H$30),'Bonding Program'!$AA$30,0)-IF(CP$3&lt;='Bonding Program'!$C$8,IF(AND('Bonding Program'!$K$30&lt;&gt;"",CP$3='Bonding Program'!$K$30),'Bonding Program'!$J$30,0)-IF(AND('Bonding Program'!$M$30&lt;&gt;"",CP$3='Bonding Program'!$M$30),'Bonding Program'!$L$30,0)-IF(AND('Bonding Program'!$P$30&lt;&gt;"",CP$3='Bonding Program'!$P$30),'Bonding Program'!$O$30,0)-IF(AND('Bonding Program'!$R$30&lt;&gt;"",CP$3='Bonding Program'!$R$30),'Bonding Program'!$Q$30,0),0)</f>
        <v>0</v>
      </c>
      <c r="CQ171" s="19" t="n">
        <f aca="false">IF(AND('Bonding Program'!$S$30=1,CQ$3='Bonding Program'!$H$30),'Bonding Program'!$AA$30,0)-IF(CQ$3&lt;='Bonding Program'!$C$8,IF(AND('Bonding Program'!$K$30&lt;&gt;"",CQ$3='Bonding Program'!$K$30),'Bonding Program'!$J$30,0)-IF(AND('Bonding Program'!$M$30&lt;&gt;"",CQ$3='Bonding Program'!$M$30),'Bonding Program'!$L$30,0)-IF(AND('Bonding Program'!$P$30&lt;&gt;"",CQ$3='Bonding Program'!$P$30),'Bonding Program'!$O$30,0)-IF(AND('Bonding Program'!$R$30&lt;&gt;"",CQ$3='Bonding Program'!$R$30),'Bonding Program'!$Q$30,0),0)</f>
        <v>0</v>
      </c>
      <c r="CR171" s="19" t="n">
        <f aca="false">IF(AND('Bonding Program'!$S$30=1,CR$3='Bonding Program'!$H$30),'Bonding Program'!$AA$30,0)-IF(CR$3&lt;='Bonding Program'!$C$8,IF(AND('Bonding Program'!$K$30&lt;&gt;"",CR$3='Bonding Program'!$K$30),'Bonding Program'!$J$30,0)-IF(AND('Bonding Program'!$M$30&lt;&gt;"",CR$3='Bonding Program'!$M$30),'Bonding Program'!$L$30,0)-IF(AND('Bonding Program'!$P$30&lt;&gt;"",CR$3='Bonding Program'!$P$30),'Bonding Program'!$O$30,0)-IF(AND('Bonding Program'!$R$30&lt;&gt;"",CR$3='Bonding Program'!$R$30),'Bonding Program'!$Q$30,0),0)</f>
        <v>0</v>
      </c>
      <c r="CS171" s="19" t="n">
        <f aca="false">IF(AND('Bonding Program'!$S$30=1,CS$3='Bonding Program'!$H$30),'Bonding Program'!$AA$30,0)-IF(CS$3&lt;='Bonding Program'!$C$8,IF(AND('Bonding Program'!$K$30&lt;&gt;"",CS$3='Bonding Program'!$K$30),'Bonding Program'!$J$30,0)-IF(AND('Bonding Program'!$M$30&lt;&gt;"",CS$3='Bonding Program'!$M$30),'Bonding Program'!$L$30,0)-IF(AND('Bonding Program'!$P$30&lt;&gt;"",CS$3='Bonding Program'!$P$30),'Bonding Program'!$O$30,0)-IF(AND('Bonding Program'!$R$30&lt;&gt;"",CS$3='Bonding Program'!$R$30),'Bonding Program'!$Q$30,0),0)</f>
        <v>0</v>
      </c>
      <c r="CT171" s="19" t="n">
        <f aca="false">IF(AND('Bonding Program'!$S$30=1,CT$3='Bonding Program'!$H$30),'Bonding Program'!$AA$30,0)-IF(CT$3&lt;='Bonding Program'!$C$8,IF(AND('Bonding Program'!$K$30&lt;&gt;"",CT$3='Bonding Program'!$K$30),'Bonding Program'!$J$30,0)-IF(AND('Bonding Program'!$M$30&lt;&gt;"",CT$3='Bonding Program'!$M$30),'Bonding Program'!$L$30,0)-IF(AND('Bonding Program'!$P$30&lt;&gt;"",CT$3='Bonding Program'!$P$30),'Bonding Program'!$O$30,0)-IF(AND('Bonding Program'!$R$30&lt;&gt;"",CT$3='Bonding Program'!$R$30),'Bonding Program'!$Q$30,0),0)</f>
        <v>0</v>
      </c>
      <c r="CU171" s="19" t="n">
        <f aca="false">IF(AND('Bonding Program'!$S$30=1,CU$3='Bonding Program'!$H$30),'Bonding Program'!$AA$30,0)-IF(CU$3&lt;='Bonding Program'!$C$8,IF(AND('Bonding Program'!$K$30&lt;&gt;"",CU$3='Bonding Program'!$K$30),'Bonding Program'!$J$30,0)-IF(AND('Bonding Program'!$M$30&lt;&gt;"",CU$3='Bonding Program'!$M$30),'Bonding Program'!$L$30,0)-IF(AND('Bonding Program'!$P$30&lt;&gt;"",CU$3='Bonding Program'!$P$30),'Bonding Program'!$O$30,0)-IF(AND('Bonding Program'!$R$30&lt;&gt;"",CU$3='Bonding Program'!$R$30),'Bonding Program'!$Q$30,0),0)</f>
        <v>0</v>
      </c>
      <c r="CV171" s="19" t="n">
        <f aca="false">IF(AND('Bonding Program'!$S$30=1,CV$3='Bonding Program'!$H$30),'Bonding Program'!$AA$30,0)-IF(CV$3&lt;='Bonding Program'!$C$8,IF(AND('Bonding Program'!$K$30&lt;&gt;"",CV$3='Bonding Program'!$K$30),'Bonding Program'!$J$30,0)-IF(AND('Bonding Program'!$M$30&lt;&gt;"",CV$3='Bonding Program'!$M$30),'Bonding Program'!$L$30,0)-IF(AND('Bonding Program'!$P$30&lt;&gt;"",CV$3='Bonding Program'!$P$30),'Bonding Program'!$O$30,0)-IF(AND('Bonding Program'!$R$30&lt;&gt;"",CV$3='Bonding Program'!$R$30),'Bonding Program'!$Q$30,0),0)</f>
        <v>0</v>
      </c>
      <c r="CW171" s="19" t="n">
        <f aca="false">IF(AND('Bonding Program'!$S$30=1,CW$3='Bonding Program'!$H$30),'Bonding Program'!$AA$30,0)-IF(CW$3&lt;='Bonding Program'!$C$8,IF(AND('Bonding Program'!$K$30&lt;&gt;"",CW$3='Bonding Program'!$K$30),'Bonding Program'!$J$30,0)-IF(AND('Bonding Program'!$M$30&lt;&gt;"",CW$3='Bonding Program'!$M$30),'Bonding Program'!$L$30,0)-IF(AND('Bonding Program'!$P$30&lt;&gt;"",CW$3='Bonding Program'!$P$30),'Bonding Program'!$O$30,0)-IF(AND('Bonding Program'!$R$30&lt;&gt;"",CW$3='Bonding Program'!$R$30),'Bonding Program'!$Q$30,0),0)</f>
        <v>0</v>
      </c>
      <c r="CX171" s="19" t="n">
        <f aca="false">IF(AND('Bonding Program'!$S$30=1,CX$3='Bonding Program'!$H$30),'Bonding Program'!$AA$30,0)-IF(CX$3&lt;='Bonding Program'!$C$8,IF(AND('Bonding Program'!$K$30&lt;&gt;"",CX$3='Bonding Program'!$K$30),'Bonding Program'!$J$30,0)-IF(AND('Bonding Program'!$M$30&lt;&gt;"",CX$3='Bonding Program'!$M$30),'Bonding Program'!$L$30,0)-IF(AND('Bonding Program'!$P$30&lt;&gt;"",CX$3='Bonding Program'!$P$30),'Bonding Program'!$O$30,0)-IF(AND('Bonding Program'!$R$30&lt;&gt;"",CX$3='Bonding Program'!$R$30),'Bonding Program'!$Q$30,0),0)</f>
        <v>0</v>
      </c>
      <c r="CY171" s="19" t="n">
        <f aca="false">IF(AND('Bonding Program'!$S$30=1,CY$3='Bonding Program'!$H$30),'Bonding Program'!$AA$30,0)-IF(CY$3&lt;='Bonding Program'!$C$8,IF(AND('Bonding Program'!$K$30&lt;&gt;"",CY$3='Bonding Program'!$K$30),'Bonding Program'!$J$30,0)-IF(AND('Bonding Program'!$M$30&lt;&gt;"",CY$3='Bonding Program'!$M$30),'Bonding Program'!$L$30,0)-IF(AND('Bonding Program'!$P$30&lt;&gt;"",CY$3='Bonding Program'!$P$30),'Bonding Program'!$O$30,0)-IF(AND('Bonding Program'!$R$30&lt;&gt;"",CY$3='Bonding Program'!$R$30),'Bonding Program'!$Q$30,0),0)</f>
        <v>0</v>
      </c>
      <c r="CZ171" s="19" t="n">
        <f aca="false">IF(AND('Bonding Program'!$S$30=1,CZ$3='Bonding Program'!$H$30),'Bonding Program'!$AA$30,0)-IF(CZ$3&lt;='Bonding Program'!$C$8,IF(AND('Bonding Program'!$K$30&lt;&gt;"",CZ$3='Bonding Program'!$K$30),'Bonding Program'!$J$30,0)-IF(AND('Bonding Program'!$M$30&lt;&gt;"",CZ$3='Bonding Program'!$M$30),'Bonding Program'!$L$30,0)-IF(AND('Bonding Program'!$P$30&lt;&gt;"",CZ$3='Bonding Program'!$P$30),'Bonding Program'!$O$30,0)-IF(AND('Bonding Program'!$R$30&lt;&gt;"",CZ$3='Bonding Program'!$R$30),'Bonding Program'!$Q$30,0),0)</f>
        <v>0</v>
      </c>
      <c r="DA171" s="19" t="n">
        <f aca="false">IF(AND('Bonding Program'!$S$30=1,DA$3='Bonding Program'!$H$30),'Bonding Program'!$AA$30,0)-IF(DA$3&lt;='Bonding Program'!$C$8,IF(AND('Bonding Program'!$K$30&lt;&gt;"",DA$3='Bonding Program'!$K$30),'Bonding Program'!$J$30,0)-IF(AND('Bonding Program'!$M$30&lt;&gt;"",DA$3='Bonding Program'!$M$30),'Bonding Program'!$L$30,0)-IF(AND('Bonding Program'!$P$30&lt;&gt;"",DA$3='Bonding Program'!$P$30),'Bonding Program'!$O$30,0)-IF(AND('Bonding Program'!$R$30&lt;&gt;"",DA$3='Bonding Program'!$R$30),'Bonding Program'!$Q$30,0),0)</f>
        <v>0</v>
      </c>
      <c r="DB171" s="19" t="n">
        <f aca="false">IF(AND('Bonding Program'!$S$30=1,DB$3='Bonding Program'!$H$30),'Bonding Program'!$AA$30,0)-IF(DB$3&lt;='Bonding Program'!$C$8,IF(AND('Bonding Program'!$K$30&lt;&gt;"",DB$3='Bonding Program'!$K$30),'Bonding Program'!$J$30,0)-IF(AND('Bonding Program'!$M$30&lt;&gt;"",DB$3='Bonding Program'!$M$30),'Bonding Program'!$L$30,0)-IF(AND('Bonding Program'!$P$30&lt;&gt;"",DB$3='Bonding Program'!$P$30),'Bonding Program'!$O$30,0)-IF(AND('Bonding Program'!$R$30&lt;&gt;"",DB$3='Bonding Program'!$R$30),'Bonding Program'!$Q$30,0),0)</f>
        <v>0</v>
      </c>
      <c r="DC171" s="19" t="n">
        <f aca="false">IF(AND('Bonding Program'!$S$30=1,DC$3='Bonding Program'!$H$30),'Bonding Program'!$AA$30,0)-IF(DC$3&lt;='Bonding Program'!$C$8,IF(AND('Bonding Program'!$K$30&lt;&gt;"",DC$3='Bonding Program'!$K$30),'Bonding Program'!$J$30,0)-IF(AND('Bonding Program'!$M$30&lt;&gt;"",DC$3='Bonding Program'!$M$30),'Bonding Program'!$L$30,0)-IF(AND('Bonding Program'!$P$30&lt;&gt;"",DC$3='Bonding Program'!$P$30),'Bonding Program'!$O$30,0)-IF(AND('Bonding Program'!$R$30&lt;&gt;"",DC$3='Bonding Program'!$R$30),'Bonding Program'!$Q$30,0),0)</f>
        <v>0</v>
      </c>
      <c r="DD171" s="19" t="n">
        <f aca="false">IF(AND('Bonding Program'!$S$30=1,DD$3='Bonding Program'!$H$30),'Bonding Program'!$AA$30,0)-IF(DD$3&lt;='Bonding Program'!$C$8,IF(AND('Bonding Program'!$K$30&lt;&gt;"",DD$3='Bonding Program'!$K$30),'Bonding Program'!$J$30,0)-IF(AND('Bonding Program'!$M$30&lt;&gt;"",DD$3='Bonding Program'!$M$30),'Bonding Program'!$L$30,0)-IF(AND('Bonding Program'!$P$30&lt;&gt;"",DD$3='Bonding Program'!$P$30),'Bonding Program'!$O$30,0)-IF(AND('Bonding Program'!$R$30&lt;&gt;"",DD$3='Bonding Program'!$R$30),'Bonding Program'!$Q$30,0),0)</f>
        <v>0</v>
      </c>
      <c r="DE171" s="19" t="n">
        <f aca="false">IF(AND('Bonding Program'!$S$30=1,DE$3='Bonding Program'!$H$30),'Bonding Program'!$AA$30,0)-IF(DE$3&lt;='Bonding Program'!$C$8,IF(AND('Bonding Program'!$K$30&lt;&gt;"",DE$3='Bonding Program'!$K$30),'Bonding Program'!$J$30,0)-IF(AND('Bonding Program'!$M$30&lt;&gt;"",DE$3='Bonding Program'!$M$30),'Bonding Program'!$L$30,0)-IF(AND('Bonding Program'!$P$30&lt;&gt;"",DE$3='Bonding Program'!$P$30),'Bonding Program'!$O$30,0)-IF(AND('Bonding Program'!$R$30&lt;&gt;"",DE$3='Bonding Program'!$R$30),'Bonding Program'!$Q$30,0),0)</f>
        <v>0</v>
      </c>
    </row>
    <row r="172" customFormat="false" ht="15" hidden="false" customHeight="true" outlineLevel="1" collapsed="false">
      <c r="A172" s="28" t="s">
        <v>27</v>
      </c>
      <c r="B172" s="19" t="n">
        <f aca="false">IF(AND('Bonding Program'!$S$31=1,B$3='Bonding Program'!$H$31),'Bonding Program'!$AA$31,0)-IF(B$3&lt;='Bonding Program'!$C$8,IF(AND('Bonding Program'!$K$31&lt;&gt;"",B$3='Bonding Program'!$K$31),'Bonding Program'!$J$31,0)-IF(AND('Bonding Program'!$M$31&lt;&gt;"",B$3='Bonding Program'!$M$31),'Bonding Program'!$L$31,0)-IF(AND('Bonding Program'!$P$31&lt;&gt;"",B$3='Bonding Program'!$P$31),'Bonding Program'!$O$31,0)-IF(AND('Bonding Program'!$R$31&lt;&gt;"",B$3='Bonding Program'!$R$31),'Bonding Program'!$Q$31,0),0)</f>
        <v>0</v>
      </c>
      <c r="C172" s="19" t="n">
        <f aca="false">IF(AND('Bonding Program'!$S$31=1,C$3='Bonding Program'!$H$31),'Bonding Program'!$AA$31,0)-IF(C$3&lt;='Bonding Program'!$C$8,IF(AND('Bonding Program'!$K$31&lt;&gt;"",C$3='Bonding Program'!$K$31),'Bonding Program'!$J$31,0)-IF(AND('Bonding Program'!$M$31&lt;&gt;"",C$3='Bonding Program'!$M$31),'Bonding Program'!$L$31,0)-IF(AND('Bonding Program'!$P$31&lt;&gt;"",C$3='Bonding Program'!$P$31),'Bonding Program'!$O$31,0)-IF(AND('Bonding Program'!$R$31&lt;&gt;"",C$3='Bonding Program'!$R$31),'Bonding Program'!$Q$31,0),0)</f>
        <v>0</v>
      </c>
      <c r="D172" s="19" t="n">
        <f aca="false">IF(AND('Bonding Program'!$S$31=1,D$3='Bonding Program'!$H$31),'Bonding Program'!$AA$31,0)-IF(D$3&lt;='Bonding Program'!$C$8,IF(AND('Bonding Program'!$K$31&lt;&gt;"",D$3='Bonding Program'!$K$31),'Bonding Program'!$J$31,0)-IF(AND('Bonding Program'!$M$31&lt;&gt;"",D$3='Bonding Program'!$M$31),'Bonding Program'!$L$31,0)-IF(AND('Bonding Program'!$P$31&lt;&gt;"",D$3='Bonding Program'!$P$31),'Bonding Program'!$O$31,0)-IF(AND('Bonding Program'!$R$31&lt;&gt;"",D$3='Bonding Program'!$R$31),'Bonding Program'!$Q$31,0),0)</f>
        <v>0</v>
      </c>
      <c r="E172" s="19" t="n">
        <f aca="false">IF(AND('Bonding Program'!$S$31=1,E$3='Bonding Program'!$H$31),'Bonding Program'!$AA$31,0)-IF(E$3&lt;='Bonding Program'!$C$8,IF(AND('Bonding Program'!$K$31&lt;&gt;"",E$3='Bonding Program'!$K$31),'Bonding Program'!$J$31,0)-IF(AND('Bonding Program'!$M$31&lt;&gt;"",E$3='Bonding Program'!$M$31),'Bonding Program'!$L$31,0)-IF(AND('Bonding Program'!$P$31&lt;&gt;"",E$3='Bonding Program'!$P$31),'Bonding Program'!$O$31,0)-IF(AND('Bonding Program'!$R$31&lt;&gt;"",E$3='Bonding Program'!$R$31),'Bonding Program'!$Q$31,0),0)</f>
        <v>0</v>
      </c>
      <c r="F172" s="19" t="n">
        <f aca="false">IF(AND('Bonding Program'!$S$31=1,F$3='Bonding Program'!$H$31),'Bonding Program'!$AA$31,0)-IF(F$3&lt;='Bonding Program'!$C$8,IF(AND('Bonding Program'!$K$31&lt;&gt;"",F$3='Bonding Program'!$K$31),'Bonding Program'!$J$31,0)-IF(AND('Bonding Program'!$M$31&lt;&gt;"",F$3='Bonding Program'!$M$31),'Bonding Program'!$L$31,0)-IF(AND('Bonding Program'!$P$31&lt;&gt;"",F$3='Bonding Program'!$P$31),'Bonding Program'!$O$31,0)-IF(AND('Bonding Program'!$R$31&lt;&gt;"",F$3='Bonding Program'!$R$31),'Bonding Program'!$Q$31,0),0)</f>
        <v>0</v>
      </c>
      <c r="G172" s="19" t="n">
        <f aca="false">IF(AND('Bonding Program'!$S$31=1,G$3='Bonding Program'!$H$31),'Bonding Program'!$AA$31,0)-IF(G$3&lt;='Bonding Program'!$C$8,IF(AND('Bonding Program'!$K$31&lt;&gt;"",G$3='Bonding Program'!$K$31),'Bonding Program'!$J$31,0)-IF(AND('Bonding Program'!$M$31&lt;&gt;"",G$3='Bonding Program'!$M$31),'Bonding Program'!$L$31,0)-IF(AND('Bonding Program'!$P$31&lt;&gt;"",G$3='Bonding Program'!$P$31),'Bonding Program'!$O$31,0)-IF(AND('Bonding Program'!$R$31&lt;&gt;"",G$3='Bonding Program'!$R$31),'Bonding Program'!$Q$31,0),0)</f>
        <v>0</v>
      </c>
      <c r="H172" s="19" t="n">
        <f aca="false">IF(AND('Bonding Program'!$S$31=1,H$3='Bonding Program'!$H$31),'Bonding Program'!$AA$31,0)-IF(H$3&lt;='Bonding Program'!$C$8,IF(AND('Bonding Program'!$K$31&lt;&gt;"",H$3='Bonding Program'!$K$31),'Bonding Program'!$J$31,0)-IF(AND('Bonding Program'!$M$31&lt;&gt;"",H$3='Bonding Program'!$M$31),'Bonding Program'!$L$31,0)-IF(AND('Bonding Program'!$P$31&lt;&gt;"",H$3='Bonding Program'!$P$31),'Bonding Program'!$O$31,0)-IF(AND('Bonding Program'!$R$31&lt;&gt;"",H$3='Bonding Program'!$R$31),'Bonding Program'!$Q$31,0),0)</f>
        <v>0</v>
      </c>
      <c r="I172" s="19" t="n">
        <f aca="false">IF(AND('Bonding Program'!$S$31=1,I$3='Bonding Program'!$H$31),'Bonding Program'!$AA$31,0)-IF(I$3&lt;='Bonding Program'!$C$8,IF(AND('Bonding Program'!$K$31&lt;&gt;"",I$3='Bonding Program'!$K$31),'Bonding Program'!$J$31,0)-IF(AND('Bonding Program'!$M$31&lt;&gt;"",I$3='Bonding Program'!$M$31),'Bonding Program'!$L$31,0)-IF(AND('Bonding Program'!$P$31&lt;&gt;"",I$3='Bonding Program'!$P$31),'Bonding Program'!$O$31,0)-IF(AND('Bonding Program'!$R$31&lt;&gt;"",I$3='Bonding Program'!$R$31),'Bonding Program'!$Q$31,0),0)</f>
        <v>0</v>
      </c>
      <c r="J172" s="19" t="n">
        <f aca="false">IF(AND('Bonding Program'!$S$31=1,J$3='Bonding Program'!$H$31),'Bonding Program'!$AA$31,0)-IF(J$3&lt;='Bonding Program'!$C$8,IF(AND('Bonding Program'!$K$31&lt;&gt;"",J$3='Bonding Program'!$K$31),'Bonding Program'!$J$31,0)-IF(AND('Bonding Program'!$M$31&lt;&gt;"",J$3='Bonding Program'!$M$31),'Bonding Program'!$L$31,0)-IF(AND('Bonding Program'!$P$31&lt;&gt;"",J$3='Bonding Program'!$P$31),'Bonding Program'!$O$31,0)-IF(AND('Bonding Program'!$R$31&lt;&gt;"",J$3='Bonding Program'!$R$31),'Bonding Program'!$Q$31,0),0)</f>
        <v>0</v>
      </c>
      <c r="K172" s="19" t="n">
        <f aca="false">IF(AND('Bonding Program'!$S$31=1,K$3='Bonding Program'!$H$31),'Bonding Program'!$AA$31,0)-IF(K$3&lt;='Bonding Program'!$C$8,IF(AND('Bonding Program'!$K$31&lt;&gt;"",K$3='Bonding Program'!$K$31),'Bonding Program'!$J$31,0)-IF(AND('Bonding Program'!$M$31&lt;&gt;"",K$3='Bonding Program'!$M$31),'Bonding Program'!$L$31,0)-IF(AND('Bonding Program'!$P$31&lt;&gt;"",K$3='Bonding Program'!$P$31),'Bonding Program'!$O$31,0)-IF(AND('Bonding Program'!$R$31&lt;&gt;"",K$3='Bonding Program'!$R$31),'Bonding Program'!$Q$31,0),0)</f>
        <v>0</v>
      </c>
      <c r="L172" s="19" t="n">
        <f aca="false">IF(AND('Bonding Program'!$S$31=1,L$3='Bonding Program'!$H$31),'Bonding Program'!$AA$31,0)-IF(L$3&lt;='Bonding Program'!$C$8,IF(AND('Bonding Program'!$K$31&lt;&gt;"",L$3='Bonding Program'!$K$31),'Bonding Program'!$J$31,0)-IF(AND('Bonding Program'!$M$31&lt;&gt;"",L$3='Bonding Program'!$M$31),'Bonding Program'!$L$31,0)-IF(AND('Bonding Program'!$P$31&lt;&gt;"",L$3='Bonding Program'!$P$31),'Bonding Program'!$O$31,0)-IF(AND('Bonding Program'!$R$31&lt;&gt;"",L$3='Bonding Program'!$R$31),'Bonding Program'!$Q$31,0),0)</f>
        <v>0</v>
      </c>
      <c r="M172" s="19" t="n">
        <f aca="false">IF(AND('Bonding Program'!$S$31=1,M$3='Bonding Program'!$H$31),'Bonding Program'!$AA$31,0)-IF(M$3&lt;='Bonding Program'!$C$8,IF(AND('Bonding Program'!$K$31&lt;&gt;"",M$3='Bonding Program'!$K$31),'Bonding Program'!$J$31,0)-IF(AND('Bonding Program'!$M$31&lt;&gt;"",M$3='Bonding Program'!$M$31),'Bonding Program'!$L$31,0)-IF(AND('Bonding Program'!$P$31&lt;&gt;"",M$3='Bonding Program'!$P$31),'Bonding Program'!$O$31,0)-IF(AND('Bonding Program'!$R$31&lt;&gt;"",M$3='Bonding Program'!$R$31),'Bonding Program'!$Q$31,0),0)</f>
        <v>0</v>
      </c>
      <c r="N172" s="19" t="n">
        <f aca="false">IF(AND('Bonding Program'!$S$31=1,N$3='Bonding Program'!$H$31),'Bonding Program'!$AA$31,0)-IF(N$3&lt;='Bonding Program'!$C$8,IF(AND('Bonding Program'!$K$31&lt;&gt;"",N$3='Bonding Program'!$K$31),'Bonding Program'!$J$31,0)-IF(AND('Bonding Program'!$M$31&lt;&gt;"",N$3='Bonding Program'!$M$31),'Bonding Program'!$L$31,0)-IF(AND('Bonding Program'!$P$31&lt;&gt;"",N$3='Bonding Program'!$P$31),'Bonding Program'!$O$31,0)-IF(AND('Bonding Program'!$R$31&lt;&gt;"",N$3='Bonding Program'!$R$31),'Bonding Program'!$Q$31,0),0)</f>
        <v>0</v>
      </c>
      <c r="O172" s="19" t="n">
        <f aca="false">IF(AND('Bonding Program'!$S$31=1,O$3='Bonding Program'!$H$31),'Bonding Program'!$AA$31,0)-IF(O$3&lt;='Bonding Program'!$C$8,IF(AND('Bonding Program'!$K$31&lt;&gt;"",O$3='Bonding Program'!$K$31),'Bonding Program'!$J$31,0)-IF(AND('Bonding Program'!$M$31&lt;&gt;"",O$3='Bonding Program'!$M$31),'Bonding Program'!$L$31,0)-IF(AND('Bonding Program'!$P$31&lt;&gt;"",O$3='Bonding Program'!$P$31),'Bonding Program'!$O$31,0)-IF(AND('Bonding Program'!$R$31&lt;&gt;"",O$3='Bonding Program'!$R$31),'Bonding Program'!$Q$31,0),0)</f>
        <v>0</v>
      </c>
      <c r="P172" s="19" t="n">
        <f aca="false">IF(AND('Bonding Program'!$S$31=1,P$3='Bonding Program'!$H$31),'Bonding Program'!$AA$31,0)-IF(P$3&lt;='Bonding Program'!$C$8,IF(AND('Bonding Program'!$K$31&lt;&gt;"",P$3='Bonding Program'!$K$31),'Bonding Program'!$J$31,0)-IF(AND('Bonding Program'!$M$31&lt;&gt;"",P$3='Bonding Program'!$M$31),'Bonding Program'!$L$31,0)-IF(AND('Bonding Program'!$P$31&lt;&gt;"",P$3='Bonding Program'!$P$31),'Bonding Program'!$O$31,0)-IF(AND('Bonding Program'!$R$31&lt;&gt;"",P$3='Bonding Program'!$R$31),'Bonding Program'!$Q$31,0),0)</f>
        <v>0</v>
      </c>
      <c r="Q172" s="19" t="n">
        <f aca="false">IF(AND('Bonding Program'!$S$31=1,Q$3='Bonding Program'!$H$31),'Bonding Program'!$AA$31,0)-IF(Q$3&lt;='Bonding Program'!$C$8,IF(AND('Bonding Program'!$K$31&lt;&gt;"",Q$3='Bonding Program'!$K$31),'Bonding Program'!$J$31,0)-IF(AND('Bonding Program'!$M$31&lt;&gt;"",Q$3='Bonding Program'!$M$31),'Bonding Program'!$L$31,0)-IF(AND('Bonding Program'!$P$31&lt;&gt;"",Q$3='Bonding Program'!$P$31),'Bonding Program'!$O$31,0)-IF(AND('Bonding Program'!$R$31&lt;&gt;"",Q$3='Bonding Program'!$R$31),'Bonding Program'!$Q$31,0),0)</f>
        <v>0</v>
      </c>
      <c r="R172" s="19" t="n">
        <f aca="false">IF(AND('Bonding Program'!$S$31=1,R$3='Bonding Program'!$H$31),'Bonding Program'!$AA$31,0)-IF(R$3&lt;='Bonding Program'!$C$8,IF(AND('Bonding Program'!$K$31&lt;&gt;"",R$3='Bonding Program'!$K$31),'Bonding Program'!$J$31,0)-IF(AND('Bonding Program'!$M$31&lt;&gt;"",R$3='Bonding Program'!$M$31),'Bonding Program'!$L$31,0)-IF(AND('Bonding Program'!$P$31&lt;&gt;"",R$3='Bonding Program'!$P$31),'Bonding Program'!$O$31,0)-IF(AND('Bonding Program'!$R$31&lt;&gt;"",R$3='Bonding Program'!$R$31),'Bonding Program'!$Q$31,0),0)</f>
        <v>0</v>
      </c>
      <c r="S172" s="19" t="n">
        <f aca="false">IF(AND('Bonding Program'!$S$31=1,S$3='Bonding Program'!$H$31),'Bonding Program'!$AA$31,0)-IF(S$3&lt;='Bonding Program'!$C$8,IF(AND('Bonding Program'!$K$31&lt;&gt;"",S$3='Bonding Program'!$K$31),'Bonding Program'!$J$31,0)-IF(AND('Bonding Program'!$M$31&lt;&gt;"",S$3='Bonding Program'!$M$31),'Bonding Program'!$L$31,0)-IF(AND('Bonding Program'!$P$31&lt;&gt;"",S$3='Bonding Program'!$P$31),'Bonding Program'!$O$31,0)-IF(AND('Bonding Program'!$R$31&lt;&gt;"",S$3='Bonding Program'!$R$31),'Bonding Program'!$Q$31,0),0)</f>
        <v>0</v>
      </c>
      <c r="T172" s="19" t="n">
        <f aca="false">IF(AND('Bonding Program'!$S$31=1,T$3='Bonding Program'!$H$31),'Bonding Program'!$AA$31,0)-IF(T$3&lt;='Bonding Program'!$C$8,IF(AND('Bonding Program'!$K$31&lt;&gt;"",T$3='Bonding Program'!$K$31),'Bonding Program'!$J$31,0)-IF(AND('Bonding Program'!$M$31&lt;&gt;"",T$3='Bonding Program'!$M$31),'Bonding Program'!$L$31,0)-IF(AND('Bonding Program'!$P$31&lt;&gt;"",T$3='Bonding Program'!$P$31),'Bonding Program'!$O$31,0)-IF(AND('Bonding Program'!$R$31&lt;&gt;"",T$3='Bonding Program'!$R$31),'Bonding Program'!$Q$31,0),0)</f>
        <v>0</v>
      </c>
      <c r="U172" s="19" t="n">
        <f aca="false">IF(AND('Bonding Program'!$S$31=1,U$3='Bonding Program'!$H$31),'Bonding Program'!$AA$31,0)-IF(U$3&lt;='Bonding Program'!$C$8,IF(AND('Bonding Program'!$K$31&lt;&gt;"",U$3='Bonding Program'!$K$31),'Bonding Program'!$J$31,0)-IF(AND('Bonding Program'!$M$31&lt;&gt;"",U$3='Bonding Program'!$M$31),'Bonding Program'!$L$31,0)-IF(AND('Bonding Program'!$P$31&lt;&gt;"",U$3='Bonding Program'!$P$31),'Bonding Program'!$O$31,0)-IF(AND('Bonding Program'!$R$31&lt;&gt;"",U$3='Bonding Program'!$R$31),'Bonding Program'!$Q$31,0),0)</f>
        <v>0</v>
      </c>
      <c r="V172" s="19" t="n">
        <f aca="false">IF(AND('Bonding Program'!$S$31=1,V$3='Bonding Program'!$H$31),'Bonding Program'!$AA$31,0)-IF(V$3&lt;='Bonding Program'!$C$8,IF(AND('Bonding Program'!$K$31&lt;&gt;"",V$3='Bonding Program'!$K$31),'Bonding Program'!$J$31,0)-IF(AND('Bonding Program'!$M$31&lt;&gt;"",V$3='Bonding Program'!$M$31),'Bonding Program'!$L$31,0)-IF(AND('Bonding Program'!$P$31&lt;&gt;"",V$3='Bonding Program'!$P$31),'Bonding Program'!$O$31,0)-IF(AND('Bonding Program'!$R$31&lt;&gt;"",V$3='Bonding Program'!$R$31),'Bonding Program'!$Q$31,0),0)</f>
        <v>0</v>
      </c>
      <c r="W172" s="19" t="n">
        <f aca="false">IF(AND('Bonding Program'!$S$31=1,W$3='Bonding Program'!$H$31),'Bonding Program'!$AA$31,0)-IF(W$3&lt;='Bonding Program'!$C$8,IF(AND('Bonding Program'!$K$31&lt;&gt;"",W$3='Bonding Program'!$K$31),'Bonding Program'!$J$31,0)-IF(AND('Bonding Program'!$M$31&lt;&gt;"",W$3='Bonding Program'!$M$31),'Bonding Program'!$L$31,0)-IF(AND('Bonding Program'!$P$31&lt;&gt;"",W$3='Bonding Program'!$P$31),'Bonding Program'!$O$31,0)-IF(AND('Bonding Program'!$R$31&lt;&gt;"",W$3='Bonding Program'!$R$31),'Bonding Program'!$Q$31,0),0)</f>
        <v>0</v>
      </c>
      <c r="X172" s="19" t="n">
        <f aca="false">IF(AND('Bonding Program'!$S$31=1,X$3='Bonding Program'!$H$31),'Bonding Program'!$AA$31,0)-IF(X$3&lt;='Bonding Program'!$C$8,IF(AND('Bonding Program'!$K$31&lt;&gt;"",X$3='Bonding Program'!$K$31),'Bonding Program'!$J$31,0)-IF(AND('Bonding Program'!$M$31&lt;&gt;"",X$3='Bonding Program'!$M$31),'Bonding Program'!$L$31,0)-IF(AND('Bonding Program'!$P$31&lt;&gt;"",X$3='Bonding Program'!$P$31),'Bonding Program'!$O$31,0)-IF(AND('Bonding Program'!$R$31&lt;&gt;"",X$3='Bonding Program'!$R$31),'Bonding Program'!$Q$31,0),0)</f>
        <v>0</v>
      </c>
      <c r="Y172" s="19" t="n">
        <f aca="false">IF(AND('Bonding Program'!$S$31=1,Y$3='Bonding Program'!$H$31),'Bonding Program'!$AA$31,0)-IF(Y$3&lt;='Bonding Program'!$C$8,IF(AND('Bonding Program'!$K$31&lt;&gt;"",Y$3='Bonding Program'!$K$31),'Bonding Program'!$J$31,0)-IF(AND('Bonding Program'!$M$31&lt;&gt;"",Y$3='Bonding Program'!$M$31),'Bonding Program'!$L$31,0)-IF(AND('Bonding Program'!$P$31&lt;&gt;"",Y$3='Bonding Program'!$P$31),'Bonding Program'!$O$31,0)-IF(AND('Bonding Program'!$R$31&lt;&gt;"",Y$3='Bonding Program'!$R$31),'Bonding Program'!$Q$31,0),0)</f>
        <v>0</v>
      </c>
      <c r="Z172" s="19" t="n">
        <f aca="false">IF(AND('Bonding Program'!$S$31=1,Z$3='Bonding Program'!$H$31),'Bonding Program'!$AA$31,0)-IF(Z$3&lt;='Bonding Program'!$C$8,IF(AND('Bonding Program'!$K$31&lt;&gt;"",Z$3='Bonding Program'!$K$31),'Bonding Program'!$J$31,0)-IF(AND('Bonding Program'!$M$31&lt;&gt;"",Z$3='Bonding Program'!$M$31),'Bonding Program'!$L$31,0)-IF(AND('Bonding Program'!$P$31&lt;&gt;"",Z$3='Bonding Program'!$P$31),'Bonding Program'!$O$31,0)-IF(AND('Bonding Program'!$R$31&lt;&gt;"",Z$3='Bonding Program'!$R$31),'Bonding Program'!$Q$31,0),0)</f>
        <v>0</v>
      </c>
      <c r="AA172" s="19" t="n">
        <f aca="false">IF(AND('Bonding Program'!$S$31=1,AA$3='Bonding Program'!$H$31),'Bonding Program'!$AA$31,0)-IF(AA$3&lt;='Bonding Program'!$C$8,IF(AND('Bonding Program'!$K$31&lt;&gt;"",AA$3='Bonding Program'!$K$31),'Bonding Program'!$J$31,0)-IF(AND('Bonding Program'!$M$31&lt;&gt;"",AA$3='Bonding Program'!$M$31),'Bonding Program'!$L$31,0)-IF(AND('Bonding Program'!$P$31&lt;&gt;"",AA$3='Bonding Program'!$P$31),'Bonding Program'!$O$31,0)-IF(AND('Bonding Program'!$R$31&lt;&gt;"",AA$3='Bonding Program'!$R$31),'Bonding Program'!$Q$31,0),0)</f>
        <v>0</v>
      </c>
      <c r="AB172" s="19" t="n">
        <f aca="false">IF(AND('Bonding Program'!$S$31=1,AB$3='Bonding Program'!$H$31),'Bonding Program'!$AA$31,0)-IF(AB$3&lt;='Bonding Program'!$C$8,IF(AND('Bonding Program'!$K$31&lt;&gt;"",AB$3='Bonding Program'!$K$31),'Bonding Program'!$J$31,0)-IF(AND('Bonding Program'!$M$31&lt;&gt;"",AB$3='Bonding Program'!$M$31),'Bonding Program'!$L$31,0)-IF(AND('Bonding Program'!$P$31&lt;&gt;"",AB$3='Bonding Program'!$P$31),'Bonding Program'!$O$31,0)-IF(AND('Bonding Program'!$R$31&lt;&gt;"",AB$3='Bonding Program'!$R$31),'Bonding Program'!$Q$31,0),0)</f>
        <v>0</v>
      </c>
      <c r="AC172" s="19" t="n">
        <f aca="false">IF(AND('Bonding Program'!$S$31=1,AC$3='Bonding Program'!$H$31),'Bonding Program'!$AA$31,0)-IF(AC$3&lt;='Bonding Program'!$C$8,IF(AND('Bonding Program'!$K$31&lt;&gt;"",AC$3='Bonding Program'!$K$31),'Bonding Program'!$J$31,0)-IF(AND('Bonding Program'!$M$31&lt;&gt;"",AC$3='Bonding Program'!$M$31),'Bonding Program'!$L$31,0)-IF(AND('Bonding Program'!$P$31&lt;&gt;"",AC$3='Bonding Program'!$P$31),'Bonding Program'!$O$31,0)-IF(AND('Bonding Program'!$R$31&lt;&gt;"",AC$3='Bonding Program'!$R$31),'Bonding Program'!$Q$31,0),0)</f>
        <v>0</v>
      </c>
      <c r="AD172" s="19" t="n">
        <f aca="false">IF(AND('Bonding Program'!$S$31=1,AD$3='Bonding Program'!$H$31),'Bonding Program'!$AA$31,0)-IF(AD$3&lt;='Bonding Program'!$C$8,IF(AND('Bonding Program'!$K$31&lt;&gt;"",AD$3='Bonding Program'!$K$31),'Bonding Program'!$J$31,0)-IF(AND('Bonding Program'!$M$31&lt;&gt;"",AD$3='Bonding Program'!$M$31),'Bonding Program'!$L$31,0)-IF(AND('Bonding Program'!$P$31&lt;&gt;"",AD$3='Bonding Program'!$P$31),'Bonding Program'!$O$31,0)-IF(AND('Bonding Program'!$R$31&lt;&gt;"",AD$3='Bonding Program'!$R$31),'Bonding Program'!$Q$31,0),0)</f>
        <v>0</v>
      </c>
      <c r="AE172" s="19" t="n">
        <f aca="false">IF(AND('Bonding Program'!$S$31=1,AE$3='Bonding Program'!$H$31),'Bonding Program'!$AA$31,0)-IF(AE$3&lt;='Bonding Program'!$C$8,IF(AND('Bonding Program'!$K$31&lt;&gt;"",AE$3='Bonding Program'!$K$31),'Bonding Program'!$J$31,0)-IF(AND('Bonding Program'!$M$31&lt;&gt;"",AE$3='Bonding Program'!$M$31),'Bonding Program'!$L$31,0)-IF(AND('Bonding Program'!$P$31&lt;&gt;"",AE$3='Bonding Program'!$P$31),'Bonding Program'!$O$31,0)-IF(AND('Bonding Program'!$R$31&lt;&gt;"",AE$3='Bonding Program'!$R$31),'Bonding Program'!$Q$31,0),0)</f>
        <v>0</v>
      </c>
      <c r="AF172" s="19" t="n">
        <f aca="false">IF(AND('Bonding Program'!$S$31=1,AF$3='Bonding Program'!$H$31),'Bonding Program'!$AA$31,0)-IF(AF$3&lt;='Bonding Program'!$C$8,IF(AND('Bonding Program'!$K$31&lt;&gt;"",AF$3='Bonding Program'!$K$31),'Bonding Program'!$J$31,0)-IF(AND('Bonding Program'!$M$31&lt;&gt;"",AF$3='Bonding Program'!$M$31),'Bonding Program'!$L$31,0)-IF(AND('Bonding Program'!$P$31&lt;&gt;"",AF$3='Bonding Program'!$P$31),'Bonding Program'!$O$31,0)-IF(AND('Bonding Program'!$R$31&lt;&gt;"",AF$3='Bonding Program'!$R$31),'Bonding Program'!$Q$31,0),0)</f>
        <v>0</v>
      </c>
      <c r="AG172" s="19" t="n">
        <f aca="false">IF(AND('Bonding Program'!$S$31=1,AG$3='Bonding Program'!$H$31),'Bonding Program'!$AA$31,0)-IF(AG$3&lt;='Bonding Program'!$C$8,IF(AND('Bonding Program'!$K$31&lt;&gt;"",AG$3='Bonding Program'!$K$31),'Bonding Program'!$J$31,0)-IF(AND('Bonding Program'!$M$31&lt;&gt;"",AG$3='Bonding Program'!$M$31),'Bonding Program'!$L$31,0)-IF(AND('Bonding Program'!$P$31&lt;&gt;"",AG$3='Bonding Program'!$P$31),'Bonding Program'!$O$31,0)-IF(AND('Bonding Program'!$R$31&lt;&gt;"",AG$3='Bonding Program'!$R$31),'Bonding Program'!$Q$31,0),0)</f>
        <v>0</v>
      </c>
      <c r="AH172" s="19" t="n">
        <f aca="false">IF(AND('Bonding Program'!$S$31=1,AH$3='Bonding Program'!$H$31),'Bonding Program'!$AA$31,0)-IF(AH$3&lt;='Bonding Program'!$C$8,IF(AND('Bonding Program'!$K$31&lt;&gt;"",AH$3='Bonding Program'!$K$31),'Bonding Program'!$J$31,0)-IF(AND('Bonding Program'!$M$31&lt;&gt;"",AH$3='Bonding Program'!$M$31),'Bonding Program'!$L$31,0)-IF(AND('Bonding Program'!$P$31&lt;&gt;"",AH$3='Bonding Program'!$P$31),'Bonding Program'!$O$31,0)-IF(AND('Bonding Program'!$R$31&lt;&gt;"",AH$3='Bonding Program'!$R$31),'Bonding Program'!$Q$31,0),0)</f>
        <v>0</v>
      </c>
      <c r="AI172" s="19" t="n">
        <f aca="false">IF(AND('Bonding Program'!$S$31=1,AI$3='Bonding Program'!$H$31),'Bonding Program'!$AA$31,0)-IF(AI$3&lt;='Bonding Program'!$C$8,IF(AND('Bonding Program'!$K$31&lt;&gt;"",AI$3='Bonding Program'!$K$31),'Bonding Program'!$J$31,0)-IF(AND('Bonding Program'!$M$31&lt;&gt;"",AI$3='Bonding Program'!$M$31),'Bonding Program'!$L$31,0)-IF(AND('Bonding Program'!$P$31&lt;&gt;"",AI$3='Bonding Program'!$P$31),'Bonding Program'!$O$31,0)-IF(AND('Bonding Program'!$R$31&lt;&gt;"",AI$3='Bonding Program'!$R$31),'Bonding Program'!$Q$31,0),0)</f>
        <v>0</v>
      </c>
      <c r="AJ172" s="19" t="n">
        <f aca="false">IF(AND('Bonding Program'!$S$31=1,AJ$3='Bonding Program'!$H$31),'Bonding Program'!$AA$31,0)-IF(AJ$3&lt;='Bonding Program'!$C$8,IF(AND('Bonding Program'!$K$31&lt;&gt;"",AJ$3='Bonding Program'!$K$31),'Bonding Program'!$J$31,0)-IF(AND('Bonding Program'!$M$31&lt;&gt;"",AJ$3='Bonding Program'!$M$31),'Bonding Program'!$L$31,0)-IF(AND('Bonding Program'!$P$31&lt;&gt;"",AJ$3='Bonding Program'!$P$31),'Bonding Program'!$O$31,0)-IF(AND('Bonding Program'!$R$31&lt;&gt;"",AJ$3='Bonding Program'!$R$31),'Bonding Program'!$Q$31,0),0)</f>
        <v>0</v>
      </c>
      <c r="AK172" s="19" t="n">
        <f aca="false">IF(AND('Bonding Program'!$S$31=1,AK$3='Bonding Program'!$H$31),'Bonding Program'!$AA$31,0)-IF(AK$3&lt;='Bonding Program'!$C$8,IF(AND('Bonding Program'!$K$31&lt;&gt;"",AK$3='Bonding Program'!$K$31),'Bonding Program'!$J$31,0)-IF(AND('Bonding Program'!$M$31&lt;&gt;"",AK$3='Bonding Program'!$M$31),'Bonding Program'!$L$31,0)-IF(AND('Bonding Program'!$P$31&lt;&gt;"",AK$3='Bonding Program'!$P$31),'Bonding Program'!$O$31,0)-IF(AND('Bonding Program'!$R$31&lt;&gt;"",AK$3='Bonding Program'!$R$31),'Bonding Program'!$Q$31,0),0)</f>
        <v>0</v>
      </c>
      <c r="AL172" s="19" t="n">
        <f aca="false">IF(AND('Bonding Program'!$S$31=1,AL$3='Bonding Program'!$H$31),'Bonding Program'!$AA$31,0)-IF(AL$3&lt;='Bonding Program'!$C$8,IF(AND('Bonding Program'!$K$31&lt;&gt;"",AL$3='Bonding Program'!$K$31),'Bonding Program'!$J$31,0)-IF(AND('Bonding Program'!$M$31&lt;&gt;"",AL$3='Bonding Program'!$M$31),'Bonding Program'!$L$31,0)-IF(AND('Bonding Program'!$P$31&lt;&gt;"",AL$3='Bonding Program'!$P$31),'Bonding Program'!$O$31,0)-IF(AND('Bonding Program'!$R$31&lt;&gt;"",AL$3='Bonding Program'!$R$31),'Bonding Program'!$Q$31,0),0)</f>
        <v>0</v>
      </c>
      <c r="AM172" s="19" t="n">
        <f aca="false">IF(AND('Bonding Program'!$S$31=1,AM$3='Bonding Program'!$H$31),'Bonding Program'!$AA$31,0)-IF(AM$3&lt;='Bonding Program'!$C$8,IF(AND('Bonding Program'!$K$31&lt;&gt;"",AM$3='Bonding Program'!$K$31),'Bonding Program'!$J$31,0)-IF(AND('Bonding Program'!$M$31&lt;&gt;"",AM$3='Bonding Program'!$M$31),'Bonding Program'!$L$31,0)-IF(AND('Bonding Program'!$P$31&lt;&gt;"",AM$3='Bonding Program'!$P$31),'Bonding Program'!$O$31,0)-IF(AND('Bonding Program'!$R$31&lt;&gt;"",AM$3='Bonding Program'!$R$31),'Bonding Program'!$Q$31,0),0)</f>
        <v>0</v>
      </c>
      <c r="AN172" s="19" t="n">
        <f aca="false">IF(AND('Bonding Program'!$S$31=1,AN$3='Bonding Program'!$H$31),'Bonding Program'!$AA$31,0)-IF(AN$3&lt;='Bonding Program'!$C$8,IF(AND('Bonding Program'!$K$31&lt;&gt;"",AN$3='Bonding Program'!$K$31),'Bonding Program'!$J$31,0)-IF(AND('Bonding Program'!$M$31&lt;&gt;"",AN$3='Bonding Program'!$M$31),'Bonding Program'!$L$31,0)-IF(AND('Bonding Program'!$P$31&lt;&gt;"",AN$3='Bonding Program'!$P$31),'Bonding Program'!$O$31,0)-IF(AND('Bonding Program'!$R$31&lt;&gt;"",AN$3='Bonding Program'!$R$31),'Bonding Program'!$Q$31,0),0)</f>
        <v>0</v>
      </c>
      <c r="AO172" s="19" t="n">
        <f aca="false">IF(AND('Bonding Program'!$S$31=1,AO$3='Bonding Program'!$H$31),'Bonding Program'!$AA$31,0)-IF(AO$3&lt;='Bonding Program'!$C$8,IF(AND('Bonding Program'!$K$31&lt;&gt;"",AO$3='Bonding Program'!$K$31),'Bonding Program'!$J$31,0)-IF(AND('Bonding Program'!$M$31&lt;&gt;"",AO$3='Bonding Program'!$M$31),'Bonding Program'!$L$31,0)-IF(AND('Bonding Program'!$P$31&lt;&gt;"",AO$3='Bonding Program'!$P$31),'Bonding Program'!$O$31,0)-IF(AND('Bonding Program'!$R$31&lt;&gt;"",AO$3='Bonding Program'!$R$31),'Bonding Program'!$Q$31,0),0)</f>
        <v>0</v>
      </c>
      <c r="AP172" s="19" t="n">
        <f aca="false">IF(AND('Bonding Program'!$S$31=1,AP$3='Bonding Program'!$H$31),'Bonding Program'!$AA$31,0)-IF(AP$3&lt;='Bonding Program'!$C$8,IF(AND('Bonding Program'!$K$31&lt;&gt;"",AP$3='Bonding Program'!$K$31),'Bonding Program'!$J$31,0)-IF(AND('Bonding Program'!$M$31&lt;&gt;"",AP$3='Bonding Program'!$M$31),'Bonding Program'!$L$31,0)-IF(AND('Bonding Program'!$P$31&lt;&gt;"",AP$3='Bonding Program'!$P$31),'Bonding Program'!$O$31,0)-IF(AND('Bonding Program'!$R$31&lt;&gt;"",AP$3='Bonding Program'!$R$31),'Bonding Program'!$Q$31,0),0)</f>
        <v>0</v>
      </c>
      <c r="AQ172" s="19" t="n">
        <f aca="false">IF(AND('Bonding Program'!$S$31=1,AQ$3='Bonding Program'!$H$31),'Bonding Program'!$AA$31,0)-IF(AQ$3&lt;='Bonding Program'!$C$8,IF(AND('Bonding Program'!$K$31&lt;&gt;"",AQ$3='Bonding Program'!$K$31),'Bonding Program'!$J$31,0)-IF(AND('Bonding Program'!$M$31&lt;&gt;"",AQ$3='Bonding Program'!$M$31),'Bonding Program'!$L$31,0)-IF(AND('Bonding Program'!$P$31&lt;&gt;"",AQ$3='Bonding Program'!$P$31),'Bonding Program'!$O$31,0)-IF(AND('Bonding Program'!$R$31&lt;&gt;"",AQ$3='Bonding Program'!$R$31),'Bonding Program'!$Q$31,0),0)</f>
        <v>0</v>
      </c>
      <c r="AR172" s="19" t="n">
        <f aca="false">IF(AND('Bonding Program'!$S$31=1,AR$3='Bonding Program'!$H$31),'Bonding Program'!$AA$31,0)-IF(AR$3&lt;='Bonding Program'!$C$8,IF(AND('Bonding Program'!$K$31&lt;&gt;"",AR$3='Bonding Program'!$K$31),'Bonding Program'!$J$31,0)-IF(AND('Bonding Program'!$M$31&lt;&gt;"",AR$3='Bonding Program'!$M$31),'Bonding Program'!$L$31,0)-IF(AND('Bonding Program'!$P$31&lt;&gt;"",AR$3='Bonding Program'!$P$31),'Bonding Program'!$O$31,0)-IF(AND('Bonding Program'!$R$31&lt;&gt;"",AR$3='Bonding Program'!$R$31),'Bonding Program'!$Q$31,0),0)</f>
        <v>0</v>
      </c>
      <c r="AS172" s="19" t="n">
        <f aca="false">IF(AND('Bonding Program'!$S$31=1,AS$3='Bonding Program'!$H$31),'Bonding Program'!$AA$31,0)-IF(AS$3&lt;='Bonding Program'!$C$8,IF(AND('Bonding Program'!$K$31&lt;&gt;"",AS$3='Bonding Program'!$K$31),'Bonding Program'!$J$31,0)-IF(AND('Bonding Program'!$M$31&lt;&gt;"",AS$3='Bonding Program'!$M$31),'Bonding Program'!$L$31,0)-IF(AND('Bonding Program'!$P$31&lt;&gt;"",AS$3='Bonding Program'!$P$31),'Bonding Program'!$O$31,0)-IF(AND('Bonding Program'!$R$31&lt;&gt;"",AS$3='Bonding Program'!$R$31),'Bonding Program'!$Q$31,0),0)</f>
        <v>0</v>
      </c>
      <c r="AT172" s="19" t="n">
        <f aca="false">IF(AND('Bonding Program'!$S$31=1,AT$3='Bonding Program'!$H$31),'Bonding Program'!$AA$31,0)-IF(AT$3&lt;='Bonding Program'!$C$8,IF(AND('Bonding Program'!$K$31&lt;&gt;"",AT$3='Bonding Program'!$K$31),'Bonding Program'!$J$31,0)-IF(AND('Bonding Program'!$M$31&lt;&gt;"",AT$3='Bonding Program'!$M$31),'Bonding Program'!$L$31,0)-IF(AND('Bonding Program'!$P$31&lt;&gt;"",AT$3='Bonding Program'!$P$31),'Bonding Program'!$O$31,0)-IF(AND('Bonding Program'!$R$31&lt;&gt;"",AT$3='Bonding Program'!$R$31),'Bonding Program'!$Q$31,0),0)</f>
        <v>0</v>
      </c>
      <c r="AU172" s="19" t="n">
        <f aca="false">IF(AND('Bonding Program'!$S$31=1,AU$3='Bonding Program'!$H$31),'Bonding Program'!$AA$31,0)-IF(AU$3&lt;='Bonding Program'!$C$8,IF(AND('Bonding Program'!$K$31&lt;&gt;"",AU$3='Bonding Program'!$K$31),'Bonding Program'!$J$31,0)-IF(AND('Bonding Program'!$M$31&lt;&gt;"",AU$3='Bonding Program'!$M$31),'Bonding Program'!$L$31,0)-IF(AND('Bonding Program'!$P$31&lt;&gt;"",AU$3='Bonding Program'!$P$31),'Bonding Program'!$O$31,0)-IF(AND('Bonding Program'!$R$31&lt;&gt;"",AU$3='Bonding Program'!$R$31),'Bonding Program'!$Q$31,0),0)</f>
        <v>0</v>
      </c>
      <c r="AV172" s="19" t="n">
        <f aca="false">IF(AND('Bonding Program'!$S$31=1,AV$3='Bonding Program'!$H$31),'Bonding Program'!$AA$31,0)-IF(AV$3&lt;='Bonding Program'!$C$8,IF(AND('Bonding Program'!$K$31&lt;&gt;"",AV$3='Bonding Program'!$K$31),'Bonding Program'!$J$31,0)-IF(AND('Bonding Program'!$M$31&lt;&gt;"",AV$3='Bonding Program'!$M$31),'Bonding Program'!$L$31,0)-IF(AND('Bonding Program'!$P$31&lt;&gt;"",AV$3='Bonding Program'!$P$31),'Bonding Program'!$O$31,0)-IF(AND('Bonding Program'!$R$31&lt;&gt;"",AV$3='Bonding Program'!$R$31),'Bonding Program'!$Q$31,0),0)</f>
        <v>0</v>
      </c>
      <c r="AW172" s="19" t="n">
        <f aca="false">IF(AND('Bonding Program'!$S$31=1,AW$3='Bonding Program'!$H$31),'Bonding Program'!$AA$31,0)-IF(AW$3&lt;='Bonding Program'!$C$8,IF(AND('Bonding Program'!$K$31&lt;&gt;"",AW$3='Bonding Program'!$K$31),'Bonding Program'!$J$31,0)-IF(AND('Bonding Program'!$M$31&lt;&gt;"",AW$3='Bonding Program'!$M$31),'Bonding Program'!$L$31,0)-IF(AND('Bonding Program'!$P$31&lt;&gt;"",AW$3='Bonding Program'!$P$31),'Bonding Program'!$O$31,0)-IF(AND('Bonding Program'!$R$31&lt;&gt;"",AW$3='Bonding Program'!$R$31),'Bonding Program'!$Q$31,0),0)</f>
        <v>0</v>
      </c>
      <c r="AX172" s="19" t="n">
        <f aca="false">IF(AND('Bonding Program'!$S$31=1,AX$3='Bonding Program'!$H$31),'Bonding Program'!$AA$31,0)-IF(AX$3&lt;='Bonding Program'!$C$8,IF(AND('Bonding Program'!$K$31&lt;&gt;"",AX$3='Bonding Program'!$K$31),'Bonding Program'!$J$31,0)-IF(AND('Bonding Program'!$M$31&lt;&gt;"",AX$3='Bonding Program'!$M$31),'Bonding Program'!$L$31,0)-IF(AND('Bonding Program'!$P$31&lt;&gt;"",AX$3='Bonding Program'!$P$31),'Bonding Program'!$O$31,0)-IF(AND('Bonding Program'!$R$31&lt;&gt;"",AX$3='Bonding Program'!$R$31),'Bonding Program'!$Q$31,0),0)</f>
        <v>0</v>
      </c>
      <c r="AY172" s="19" t="n">
        <f aca="false">IF(AND('Bonding Program'!$S$31=1,AY$3='Bonding Program'!$H$31),'Bonding Program'!$AA$31,0)-IF(AY$3&lt;='Bonding Program'!$C$8,IF(AND('Bonding Program'!$K$31&lt;&gt;"",AY$3='Bonding Program'!$K$31),'Bonding Program'!$J$31,0)-IF(AND('Bonding Program'!$M$31&lt;&gt;"",AY$3='Bonding Program'!$M$31),'Bonding Program'!$L$31,0)-IF(AND('Bonding Program'!$P$31&lt;&gt;"",AY$3='Bonding Program'!$P$31),'Bonding Program'!$O$31,0)-IF(AND('Bonding Program'!$R$31&lt;&gt;"",AY$3='Bonding Program'!$R$31),'Bonding Program'!$Q$31,0),0)</f>
        <v>0</v>
      </c>
      <c r="AZ172" s="19" t="n">
        <f aca="false">IF(AND('Bonding Program'!$S$31=1,AZ$3='Bonding Program'!$H$31),'Bonding Program'!$AA$31,0)-IF(AZ$3&lt;='Bonding Program'!$C$8,IF(AND('Bonding Program'!$K$31&lt;&gt;"",AZ$3='Bonding Program'!$K$31),'Bonding Program'!$J$31,0)-IF(AND('Bonding Program'!$M$31&lt;&gt;"",AZ$3='Bonding Program'!$M$31),'Bonding Program'!$L$31,0)-IF(AND('Bonding Program'!$P$31&lt;&gt;"",AZ$3='Bonding Program'!$P$31),'Bonding Program'!$O$31,0)-IF(AND('Bonding Program'!$R$31&lt;&gt;"",AZ$3='Bonding Program'!$R$31),'Bonding Program'!$Q$31,0),0)</f>
        <v>0</v>
      </c>
      <c r="BA172" s="19" t="n">
        <f aca="false">IF(AND('Bonding Program'!$S$31=1,BA$3='Bonding Program'!$H$31),'Bonding Program'!$AA$31,0)-IF(BA$3&lt;='Bonding Program'!$C$8,IF(AND('Bonding Program'!$K$31&lt;&gt;"",BA$3='Bonding Program'!$K$31),'Bonding Program'!$J$31,0)-IF(AND('Bonding Program'!$M$31&lt;&gt;"",BA$3='Bonding Program'!$M$31),'Bonding Program'!$L$31,0)-IF(AND('Bonding Program'!$P$31&lt;&gt;"",BA$3='Bonding Program'!$P$31),'Bonding Program'!$O$31,0)-IF(AND('Bonding Program'!$R$31&lt;&gt;"",BA$3='Bonding Program'!$R$31),'Bonding Program'!$Q$31,0),0)</f>
        <v>0</v>
      </c>
      <c r="BB172" s="19" t="n">
        <f aca="false">IF(AND('Bonding Program'!$S$31=1,BB$3='Bonding Program'!$H$31),'Bonding Program'!$AA$31,0)-IF(BB$3&lt;='Bonding Program'!$C$8,IF(AND('Bonding Program'!$K$31&lt;&gt;"",BB$3='Bonding Program'!$K$31),'Bonding Program'!$J$31,0)-IF(AND('Bonding Program'!$M$31&lt;&gt;"",BB$3='Bonding Program'!$M$31),'Bonding Program'!$L$31,0)-IF(AND('Bonding Program'!$P$31&lt;&gt;"",BB$3='Bonding Program'!$P$31),'Bonding Program'!$O$31,0)-IF(AND('Bonding Program'!$R$31&lt;&gt;"",BB$3='Bonding Program'!$R$31),'Bonding Program'!$Q$31,0),0)</f>
        <v>0</v>
      </c>
      <c r="BC172" s="19" t="n">
        <f aca="false">IF(AND('Bonding Program'!$S$31=1,BC$3='Bonding Program'!$H$31),'Bonding Program'!$AA$31,0)-IF(BC$3&lt;='Bonding Program'!$C$8,IF(AND('Bonding Program'!$K$31&lt;&gt;"",BC$3='Bonding Program'!$K$31),'Bonding Program'!$J$31,0)-IF(AND('Bonding Program'!$M$31&lt;&gt;"",BC$3='Bonding Program'!$M$31),'Bonding Program'!$L$31,0)-IF(AND('Bonding Program'!$P$31&lt;&gt;"",BC$3='Bonding Program'!$P$31),'Bonding Program'!$O$31,0)-IF(AND('Bonding Program'!$R$31&lt;&gt;"",BC$3='Bonding Program'!$R$31),'Bonding Program'!$Q$31,0),0)</f>
        <v>0</v>
      </c>
      <c r="BD172" s="19" t="n">
        <f aca="false">IF(AND('Bonding Program'!$S$31=1,BD$3='Bonding Program'!$H$31),'Bonding Program'!$AA$31,0)-IF(BD$3&lt;='Bonding Program'!$C$8,IF(AND('Bonding Program'!$K$31&lt;&gt;"",BD$3='Bonding Program'!$K$31),'Bonding Program'!$J$31,0)-IF(AND('Bonding Program'!$M$31&lt;&gt;"",BD$3='Bonding Program'!$M$31),'Bonding Program'!$L$31,0)-IF(AND('Bonding Program'!$P$31&lt;&gt;"",BD$3='Bonding Program'!$P$31),'Bonding Program'!$O$31,0)-IF(AND('Bonding Program'!$R$31&lt;&gt;"",BD$3='Bonding Program'!$R$31),'Bonding Program'!$Q$31,0),0)</f>
        <v>0</v>
      </c>
      <c r="BE172" s="19" t="n">
        <f aca="false">IF(AND('Bonding Program'!$S$31=1,BE$3='Bonding Program'!$H$31),'Bonding Program'!$AA$31,0)-IF(BE$3&lt;='Bonding Program'!$C$8,IF(AND('Bonding Program'!$K$31&lt;&gt;"",BE$3='Bonding Program'!$K$31),'Bonding Program'!$J$31,0)-IF(AND('Bonding Program'!$M$31&lt;&gt;"",BE$3='Bonding Program'!$M$31),'Bonding Program'!$L$31,0)-IF(AND('Bonding Program'!$P$31&lt;&gt;"",BE$3='Bonding Program'!$P$31),'Bonding Program'!$O$31,0)-IF(AND('Bonding Program'!$R$31&lt;&gt;"",BE$3='Bonding Program'!$R$31),'Bonding Program'!$Q$31,0),0)</f>
        <v>0</v>
      </c>
      <c r="BF172" s="19" t="n">
        <f aca="false">IF(AND('Bonding Program'!$S$31=1,BF$3='Bonding Program'!$H$31),'Bonding Program'!$AA$31,0)-IF(BF$3&lt;='Bonding Program'!$C$8,IF(AND('Bonding Program'!$K$31&lt;&gt;"",BF$3='Bonding Program'!$K$31),'Bonding Program'!$J$31,0)-IF(AND('Bonding Program'!$M$31&lt;&gt;"",BF$3='Bonding Program'!$M$31),'Bonding Program'!$L$31,0)-IF(AND('Bonding Program'!$P$31&lt;&gt;"",BF$3='Bonding Program'!$P$31),'Bonding Program'!$O$31,0)-IF(AND('Bonding Program'!$R$31&lt;&gt;"",BF$3='Bonding Program'!$R$31),'Bonding Program'!$Q$31,0),0)</f>
        <v>0</v>
      </c>
      <c r="BG172" s="19" t="n">
        <f aca="false">IF(AND('Bonding Program'!$S$31=1,BG$3='Bonding Program'!$H$31),'Bonding Program'!$AA$31,0)-IF(BG$3&lt;='Bonding Program'!$C$8,IF(AND('Bonding Program'!$K$31&lt;&gt;"",BG$3='Bonding Program'!$K$31),'Bonding Program'!$J$31,0)-IF(AND('Bonding Program'!$M$31&lt;&gt;"",BG$3='Bonding Program'!$M$31),'Bonding Program'!$L$31,0)-IF(AND('Bonding Program'!$P$31&lt;&gt;"",BG$3='Bonding Program'!$P$31),'Bonding Program'!$O$31,0)-IF(AND('Bonding Program'!$R$31&lt;&gt;"",BG$3='Bonding Program'!$R$31),'Bonding Program'!$Q$31,0),0)</f>
        <v>0</v>
      </c>
      <c r="BH172" s="19" t="n">
        <f aca="false">IF(AND('Bonding Program'!$S$31=1,BH$3='Bonding Program'!$H$31),'Bonding Program'!$AA$31,0)-IF(BH$3&lt;='Bonding Program'!$C$8,IF(AND('Bonding Program'!$K$31&lt;&gt;"",BH$3='Bonding Program'!$K$31),'Bonding Program'!$J$31,0)-IF(AND('Bonding Program'!$M$31&lt;&gt;"",BH$3='Bonding Program'!$M$31),'Bonding Program'!$L$31,0)-IF(AND('Bonding Program'!$P$31&lt;&gt;"",BH$3='Bonding Program'!$P$31),'Bonding Program'!$O$31,0)-IF(AND('Bonding Program'!$R$31&lt;&gt;"",BH$3='Bonding Program'!$R$31),'Bonding Program'!$Q$31,0),0)</f>
        <v>0</v>
      </c>
      <c r="BI172" s="19" t="n">
        <f aca="false">IF(AND('Bonding Program'!$S$31=1,BI$3='Bonding Program'!$H$31),'Bonding Program'!$AA$31,0)-IF(BI$3&lt;='Bonding Program'!$C$8,IF(AND('Bonding Program'!$K$31&lt;&gt;"",BI$3='Bonding Program'!$K$31),'Bonding Program'!$J$31,0)-IF(AND('Bonding Program'!$M$31&lt;&gt;"",BI$3='Bonding Program'!$M$31),'Bonding Program'!$L$31,0)-IF(AND('Bonding Program'!$P$31&lt;&gt;"",BI$3='Bonding Program'!$P$31),'Bonding Program'!$O$31,0)-IF(AND('Bonding Program'!$R$31&lt;&gt;"",BI$3='Bonding Program'!$R$31),'Bonding Program'!$Q$31,0),0)</f>
        <v>0</v>
      </c>
      <c r="BJ172" s="19" t="n">
        <f aca="false">IF(AND('Bonding Program'!$S$31=1,BJ$3='Bonding Program'!$H$31),'Bonding Program'!$AA$31,0)-IF(BJ$3&lt;='Bonding Program'!$C$8,IF(AND('Bonding Program'!$K$31&lt;&gt;"",BJ$3='Bonding Program'!$K$31),'Bonding Program'!$J$31,0)-IF(AND('Bonding Program'!$M$31&lt;&gt;"",BJ$3='Bonding Program'!$M$31),'Bonding Program'!$L$31,0)-IF(AND('Bonding Program'!$P$31&lt;&gt;"",BJ$3='Bonding Program'!$P$31),'Bonding Program'!$O$31,0)-IF(AND('Bonding Program'!$R$31&lt;&gt;"",BJ$3='Bonding Program'!$R$31),'Bonding Program'!$Q$31,0),0)</f>
        <v>0</v>
      </c>
      <c r="BK172" s="19" t="n">
        <f aca="false">IF(AND('Bonding Program'!$S$31=1,BK$3='Bonding Program'!$H$31),'Bonding Program'!$AA$31,0)-IF(BK$3&lt;='Bonding Program'!$C$8,IF(AND('Bonding Program'!$K$31&lt;&gt;"",BK$3='Bonding Program'!$K$31),'Bonding Program'!$J$31,0)-IF(AND('Bonding Program'!$M$31&lt;&gt;"",BK$3='Bonding Program'!$M$31),'Bonding Program'!$L$31,0)-IF(AND('Bonding Program'!$P$31&lt;&gt;"",BK$3='Bonding Program'!$P$31),'Bonding Program'!$O$31,0)-IF(AND('Bonding Program'!$R$31&lt;&gt;"",BK$3='Bonding Program'!$R$31),'Bonding Program'!$Q$31,0),0)</f>
        <v>0</v>
      </c>
      <c r="BL172" s="19" t="n">
        <f aca="false">IF(AND('Bonding Program'!$S$31=1,BL$3='Bonding Program'!$H$31),'Bonding Program'!$AA$31,0)-IF(BL$3&lt;='Bonding Program'!$C$8,IF(AND('Bonding Program'!$K$31&lt;&gt;"",BL$3='Bonding Program'!$K$31),'Bonding Program'!$J$31,0)-IF(AND('Bonding Program'!$M$31&lt;&gt;"",BL$3='Bonding Program'!$M$31),'Bonding Program'!$L$31,0)-IF(AND('Bonding Program'!$P$31&lt;&gt;"",BL$3='Bonding Program'!$P$31),'Bonding Program'!$O$31,0)-IF(AND('Bonding Program'!$R$31&lt;&gt;"",BL$3='Bonding Program'!$R$31),'Bonding Program'!$Q$31,0),0)</f>
        <v>0</v>
      </c>
      <c r="BM172" s="19" t="n">
        <f aca="false">IF(AND('Bonding Program'!$S$31=1,BM$3='Bonding Program'!$H$31),'Bonding Program'!$AA$31,0)-IF(BM$3&lt;='Bonding Program'!$C$8,IF(AND('Bonding Program'!$K$31&lt;&gt;"",BM$3='Bonding Program'!$K$31),'Bonding Program'!$J$31,0)-IF(AND('Bonding Program'!$M$31&lt;&gt;"",BM$3='Bonding Program'!$M$31),'Bonding Program'!$L$31,0)-IF(AND('Bonding Program'!$P$31&lt;&gt;"",BM$3='Bonding Program'!$P$31),'Bonding Program'!$O$31,0)-IF(AND('Bonding Program'!$R$31&lt;&gt;"",BM$3='Bonding Program'!$R$31),'Bonding Program'!$Q$31,0),0)</f>
        <v>0</v>
      </c>
      <c r="BN172" s="19" t="n">
        <f aca="false">IF(AND('Bonding Program'!$S$31=1,BN$3='Bonding Program'!$H$31),'Bonding Program'!$AA$31,0)-IF(BN$3&lt;='Bonding Program'!$C$8,IF(AND('Bonding Program'!$K$31&lt;&gt;"",BN$3='Bonding Program'!$K$31),'Bonding Program'!$J$31,0)-IF(AND('Bonding Program'!$M$31&lt;&gt;"",BN$3='Bonding Program'!$M$31),'Bonding Program'!$L$31,0)-IF(AND('Bonding Program'!$P$31&lt;&gt;"",BN$3='Bonding Program'!$P$31),'Bonding Program'!$O$31,0)-IF(AND('Bonding Program'!$R$31&lt;&gt;"",BN$3='Bonding Program'!$R$31),'Bonding Program'!$Q$31,0),0)</f>
        <v>0</v>
      </c>
      <c r="BO172" s="19" t="n">
        <f aca="false">IF(AND('Bonding Program'!$S$31=1,BO$3='Bonding Program'!$H$31),'Bonding Program'!$AA$31,0)-IF(BO$3&lt;='Bonding Program'!$C$8,IF(AND('Bonding Program'!$K$31&lt;&gt;"",BO$3='Bonding Program'!$K$31),'Bonding Program'!$J$31,0)-IF(AND('Bonding Program'!$M$31&lt;&gt;"",BO$3='Bonding Program'!$M$31),'Bonding Program'!$L$31,0)-IF(AND('Bonding Program'!$P$31&lt;&gt;"",BO$3='Bonding Program'!$P$31),'Bonding Program'!$O$31,0)-IF(AND('Bonding Program'!$R$31&lt;&gt;"",BO$3='Bonding Program'!$R$31),'Bonding Program'!$Q$31,0),0)</f>
        <v>0</v>
      </c>
      <c r="BP172" s="19" t="n">
        <f aca="false">IF(AND('Bonding Program'!$S$31=1,BP$3='Bonding Program'!$H$31),'Bonding Program'!$AA$31,0)-IF(BP$3&lt;='Bonding Program'!$C$8,IF(AND('Bonding Program'!$K$31&lt;&gt;"",BP$3='Bonding Program'!$K$31),'Bonding Program'!$J$31,0)-IF(AND('Bonding Program'!$M$31&lt;&gt;"",BP$3='Bonding Program'!$M$31),'Bonding Program'!$L$31,0)-IF(AND('Bonding Program'!$P$31&lt;&gt;"",BP$3='Bonding Program'!$P$31),'Bonding Program'!$O$31,0)-IF(AND('Bonding Program'!$R$31&lt;&gt;"",BP$3='Bonding Program'!$R$31),'Bonding Program'!$Q$31,0),0)</f>
        <v>0</v>
      </c>
      <c r="BQ172" s="19" t="n">
        <f aca="false">IF(AND('Bonding Program'!$S$31=1,BQ$3='Bonding Program'!$H$31),'Bonding Program'!$AA$31,0)-IF(BQ$3&lt;='Bonding Program'!$C$8,IF(AND('Bonding Program'!$K$31&lt;&gt;"",BQ$3='Bonding Program'!$K$31),'Bonding Program'!$J$31,0)-IF(AND('Bonding Program'!$M$31&lt;&gt;"",BQ$3='Bonding Program'!$M$31),'Bonding Program'!$L$31,0)-IF(AND('Bonding Program'!$P$31&lt;&gt;"",BQ$3='Bonding Program'!$P$31),'Bonding Program'!$O$31,0)-IF(AND('Bonding Program'!$R$31&lt;&gt;"",BQ$3='Bonding Program'!$R$31),'Bonding Program'!$Q$31,0),0)</f>
        <v>0</v>
      </c>
      <c r="BR172" s="19" t="n">
        <f aca="false">IF(AND('Bonding Program'!$S$31=1,BR$3='Bonding Program'!$H$31),'Bonding Program'!$AA$31,0)-IF(BR$3&lt;='Bonding Program'!$C$8,IF(AND('Bonding Program'!$K$31&lt;&gt;"",BR$3='Bonding Program'!$K$31),'Bonding Program'!$J$31,0)-IF(AND('Bonding Program'!$M$31&lt;&gt;"",BR$3='Bonding Program'!$M$31),'Bonding Program'!$L$31,0)-IF(AND('Bonding Program'!$P$31&lt;&gt;"",BR$3='Bonding Program'!$P$31),'Bonding Program'!$O$31,0)-IF(AND('Bonding Program'!$R$31&lt;&gt;"",BR$3='Bonding Program'!$R$31),'Bonding Program'!$Q$31,0),0)</f>
        <v>0</v>
      </c>
      <c r="BS172" s="19" t="n">
        <f aca="false">IF(AND('Bonding Program'!$S$31=1,BS$3='Bonding Program'!$H$31),'Bonding Program'!$AA$31,0)-IF(BS$3&lt;='Bonding Program'!$C$8,IF(AND('Bonding Program'!$K$31&lt;&gt;"",BS$3='Bonding Program'!$K$31),'Bonding Program'!$J$31,0)-IF(AND('Bonding Program'!$M$31&lt;&gt;"",BS$3='Bonding Program'!$M$31),'Bonding Program'!$L$31,0)-IF(AND('Bonding Program'!$P$31&lt;&gt;"",BS$3='Bonding Program'!$P$31),'Bonding Program'!$O$31,0)-IF(AND('Bonding Program'!$R$31&lt;&gt;"",BS$3='Bonding Program'!$R$31),'Bonding Program'!$Q$31,0),0)</f>
        <v>0</v>
      </c>
      <c r="BT172" s="19" t="n">
        <f aca="false">IF(AND('Bonding Program'!$S$31=1,BT$3='Bonding Program'!$H$31),'Bonding Program'!$AA$31,0)-IF(BT$3&lt;='Bonding Program'!$C$8,IF(AND('Bonding Program'!$K$31&lt;&gt;"",BT$3='Bonding Program'!$K$31),'Bonding Program'!$J$31,0)-IF(AND('Bonding Program'!$M$31&lt;&gt;"",BT$3='Bonding Program'!$M$31),'Bonding Program'!$L$31,0)-IF(AND('Bonding Program'!$P$31&lt;&gt;"",BT$3='Bonding Program'!$P$31),'Bonding Program'!$O$31,0)-IF(AND('Bonding Program'!$R$31&lt;&gt;"",BT$3='Bonding Program'!$R$31),'Bonding Program'!$Q$31,0),0)</f>
        <v>0</v>
      </c>
      <c r="BU172" s="19" t="n">
        <f aca="false">IF(AND('Bonding Program'!$S$31=1,BU$3='Bonding Program'!$H$31),'Bonding Program'!$AA$31,0)-IF(BU$3&lt;='Bonding Program'!$C$8,IF(AND('Bonding Program'!$K$31&lt;&gt;"",BU$3='Bonding Program'!$K$31),'Bonding Program'!$J$31,0)-IF(AND('Bonding Program'!$M$31&lt;&gt;"",BU$3='Bonding Program'!$M$31),'Bonding Program'!$L$31,0)-IF(AND('Bonding Program'!$P$31&lt;&gt;"",BU$3='Bonding Program'!$P$31),'Bonding Program'!$O$31,0)-IF(AND('Bonding Program'!$R$31&lt;&gt;"",BU$3='Bonding Program'!$R$31),'Bonding Program'!$Q$31,0),0)</f>
        <v>0</v>
      </c>
      <c r="BV172" s="19" t="n">
        <f aca="false">IF(AND('Bonding Program'!$S$31=1,BV$3='Bonding Program'!$H$31),'Bonding Program'!$AA$31,0)-IF(BV$3&lt;='Bonding Program'!$C$8,IF(AND('Bonding Program'!$K$31&lt;&gt;"",BV$3='Bonding Program'!$K$31),'Bonding Program'!$J$31,0)-IF(AND('Bonding Program'!$M$31&lt;&gt;"",BV$3='Bonding Program'!$M$31),'Bonding Program'!$L$31,0)-IF(AND('Bonding Program'!$P$31&lt;&gt;"",BV$3='Bonding Program'!$P$31),'Bonding Program'!$O$31,0)-IF(AND('Bonding Program'!$R$31&lt;&gt;"",BV$3='Bonding Program'!$R$31),'Bonding Program'!$Q$31,0),0)</f>
        <v>0</v>
      </c>
      <c r="BW172" s="19" t="n">
        <f aca="false">IF(AND('Bonding Program'!$S$31=1,BW$3='Bonding Program'!$H$31),'Bonding Program'!$AA$31,0)-IF(BW$3&lt;='Bonding Program'!$C$8,IF(AND('Bonding Program'!$K$31&lt;&gt;"",BW$3='Bonding Program'!$K$31),'Bonding Program'!$J$31,0)-IF(AND('Bonding Program'!$M$31&lt;&gt;"",BW$3='Bonding Program'!$M$31),'Bonding Program'!$L$31,0)-IF(AND('Bonding Program'!$P$31&lt;&gt;"",BW$3='Bonding Program'!$P$31),'Bonding Program'!$O$31,0)-IF(AND('Bonding Program'!$R$31&lt;&gt;"",BW$3='Bonding Program'!$R$31),'Bonding Program'!$Q$31,0),0)</f>
        <v>0</v>
      </c>
      <c r="BX172" s="19" t="n">
        <f aca="false">IF(AND('Bonding Program'!$S$31=1,BX$3='Bonding Program'!$H$31),'Bonding Program'!$AA$31,0)-IF(BX$3&lt;='Bonding Program'!$C$8,IF(AND('Bonding Program'!$K$31&lt;&gt;"",BX$3='Bonding Program'!$K$31),'Bonding Program'!$J$31,0)-IF(AND('Bonding Program'!$M$31&lt;&gt;"",BX$3='Bonding Program'!$M$31),'Bonding Program'!$L$31,0)-IF(AND('Bonding Program'!$P$31&lt;&gt;"",BX$3='Bonding Program'!$P$31),'Bonding Program'!$O$31,0)-IF(AND('Bonding Program'!$R$31&lt;&gt;"",BX$3='Bonding Program'!$R$31),'Bonding Program'!$Q$31,0),0)</f>
        <v>0</v>
      </c>
      <c r="BY172" s="19" t="n">
        <f aca="false">IF(AND('Bonding Program'!$S$31=1,BY$3='Bonding Program'!$H$31),'Bonding Program'!$AA$31,0)-IF(BY$3&lt;='Bonding Program'!$C$8,IF(AND('Bonding Program'!$K$31&lt;&gt;"",BY$3='Bonding Program'!$K$31),'Bonding Program'!$J$31,0)-IF(AND('Bonding Program'!$M$31&lt;&gt;"",BY$3='Bonding Program'!$M$31),'Bonding Program'!$L$31,0)-IF(AND('Bonding Program'!$P$31&lt;&gt;"",BY$3='Bonding Program'!$P$31),'Bonding Program'!$O$31,0)-IF(AND('Bonding Program'!$R$31&lt;&gt;"",BY$3='Bonding Program'!$R$31),'Bonding Program'!$Q$31,0),0)</f>
        <v>0</v>
      </c>
      <c r="BZ172" s="19" t="n">
        <f aca="false">IF(AND('Bonding Program'!$S$31=1,BZ$3='Bonding Program'!$H$31),'Bonding Program'!$AA$31,0)-IF(BZ$3&lt;='Bonding Program'!$C$8,IF(AND('Bonding Program'!$K$31&lt;&gt;"",BZ$3='Bonding Program'!$K$31),'Bonding Program'!$J$31,0)-IF(AND('Bonding Program'!$M$31&lt;&gt;"",BZ$3='Bonding Program'!$M$31),'Bonding Program'!$L$31,0)-IF(AND('Bonding Program'!$P$31&lt;&gt;"",BZ$3='Bonding Program'!$P$31),'Bonding Program'!$O$31,0)-IF(AND('Bonding Program'!$R$31&lt;&gt;"",BZ$3='Bonding Program'!$R$31),'Bonding Program'!$Q$31,0),0)</f>
        <v>0</v>
      </c>
      <c r="CA172" s="19" t="n">
        <f aca="false">IF(AND('Bonding Program'!$S$31=1,CA$3='Bonding Program'!$H$31),'Bonding Program'!$AA$31,0)-IF(CA$3&lt;='Bonding Program'!$C$8,IF(AND('Bonding Program'!$K$31&lt;&gt;"",CA$3='Bonding Program'!$K$31),'Bonding Program'!$J$31,0)-IF(AND('Bonding Program'!$M$31&lt;&gt;"",CA$3='Bonding Program'!$M$31),'Bonding Program'!$L$31,0)-IF(AND('Bonding Program'!$P$31&lt;&gt;"",CA$3='Bonding Program'!$P$31),'Bonding Program'!$O$31,0)-IF(AND('Bonding Program'!$R$31&lt;&gt;"",CA$3='Bonding Program'!$R$31),'Bonding Program'!$Q$31,0),0)</f>
        <v>0</v>
      </c>
      <c r="CB172" s="19" t="n">
        <f aca="false">IF(AND('Bonding Program'!$S$31=1,CB$3='Bonding Program'!$H$31),'Bonding Program'!$AA$31,0)-IF(CB$3&lt;='Bonding Program'!$C$8,IF(AND('Bonding Program'!$K$31&lt;&gt;"",CB$3='Bonding Program'!$K$31),'Bonding Program'!$J$31,0)-IF(AND('Bonding Program'!$M$31&lt;&gt;"",CB$3='Bonding Program'!$M$31),'Bonding Program'!$L$31,0)-IF(AND('Bonding Program'!$P$31&lt;&gt;"",CB$3='Bonding Program'!$P$31),'Bonding Program'!$O$31,0)-IF(AND('Bonding Program'!$R$31&lt;&gt;"",CB$3='Bonding Program'!$R$31),'Bonding Program'!$Q$31,0),0)</f>
        <v>0</v>
      </c>
      <c r="CC172" s="19" t="n">
        <f aca="false">IF(AND('Bonding Program'!$S$31=1,CC$3='Bonding Program'!$H$31),'Bonding Program'!$AA$31,0)-IF(CC$3&lt;='Bonding Program'!$C$8,IF(AND('Bonding Program'!$K$31&lt;&gt;"",CC$3='Bonding Program'!$K$31),'Bonding Program'!$J$31,0)-IF(AND('Bonding Program'!$M$31&lt;&gt;"",CC$3='Bonding Program'!$M$31),'Bonding Program'!$L$31,0)-IF(AND('Bonding Program'!$P$31&lt;&gt;"",CC$3='Bonding Program'!$P$31),'Bonding Program'!$O$31,0)-IF(AND('Bonding Program'!$R$31&lt;&gt;"",CC$3='Bonding Program'!$R$31),'Bonding Program'!$Q$31,0),0)</f>
        <v>0</v>
      </c>
      <c r="CD172" s="19" t="n">
        <f aca="false">IF(AND('Bonding Program'!$S$31=1,CD$3='Bonding Program'!$H$31),'Bonding Program'!$AA$31,0)-IF(CD$3&lt;='Bonding Program'!$C$8,IF(AND('Bonding Program'!$K$31&lt;&gt;"",CD$3='Bonding Program'!$K$31),'Bonding Program'!$J$31,0)-IF(AND('Bonding Program'!$M$31&lt;&gt;"",CD$3='Bonding Program'!$M$31),'Bonding Program'!$L$31,0)-IF(AND('Bonding Program'!$P$31&lt;&gt;"",CD$3='Bonding Program'!$P$31),'Bonding Program'!$O$31,0)-IF(AND('Bonding Program'!$R$31&lt;&gt;"",CD$3='Bonding Program'!$R$31),'Bonding Program'!$Q$31,0),0)</f>
        <v>0</v>
      </c>
      <c r="CE172" s="19" t="n">
        <f aca="false">IF(AND('Bonding Program'!$S$31=1,CE$3='Bonding Program'!$H$31),'Bonding Program'!$AA$31,0)-IF(CE$3&lt;='Bonding Program'!$C$8,IF(AND('Bonding Program'!$K$31&lt;&gt;"",CE$3='Bonding Program'!$K$31),'Bonding Program'!$J$31,0)-IF(AND('Bonding Program'!$M$31&lt;&gt;"",CE$3='Bonding Program'!$M$31),'Bonding Program'!$L$31,0)-IF(AND('Bonding Program'!$P$31&lt;&gt;"",CE$3='Bonding Program'!$P$31),'Bonding Program'!$O$31,0)-IF(AND('Bonding Program'!$R$31&lt;&gt;"",CE$3='Bonding Program'!$R$31),'Bonding Program'!$Q$31,0),0)</f>
        <v>0</v>
      </c>
      <c r="CF172" s="19" t="n">
        <f aca="false">IF(AND('Bonding Program'!$S$31=1,CF$3='Bonding Program'!$H$31),'Bonding Program'!$AA$31,0)-IF(CF$3&lt;='Bonding Program'!$C$8,IF(AND('Bonding Program'!$K$31&lt;&gt;"",CF$3='Bonding Program'!$K$31),'Bonding Program'!$J$31,0)-IF(AND('Bonding Program'!$M$31&lt;&gt;"",CF$3='Bonding Program'!$M$31),'Bonding Program'!$L$31,0)-IF(AND('Bonding Program'!$P$31&lt;&gt;"",CF$3='Bonding Program'!$P$31),'Bonding Program'!$O$31,0)-IF(AND('Bonding Program'!$R$31&lt;&gt;"",CF$3='Bonding Program'!$R$31),'Bonding Program'!$Q$31,0),0)</f>
        <v>0</v>
      </c>
      <c r="CG172" s="19" t="n">
        <f aca="false">IF(AND('Bonding Program'!$S$31=1,CG$3='Bonding Program'!$H$31),'Bonding Program'!$AA$31,0)-IF(CG$3&lt;='Bonding Program'!$C$8,IF(AND('Bonding Program'!$K$31&lt;&gt;"",CG$3='Bonding Program'!$K$31),'Bonding Program'!$J$31,0)-IF(AND('Bonding Program'!$M$31&lt;&gt;"",CG$3='Bonding Program'!$M$31),'Bonding Program'!$L$31,0)-IF(AND('Bonding Program'!$P$31&lt;&gt;"",CG$3='Bonding Program'!$P$31),'Bonding Program'!$O$31,0)-IF(AND('Bonding Program'!$R$31&lt;&gt;"",CG$3='Bonding Program'!$R$31),'Bonding Program'!$Q$31,0),0)</f>
        <v>0</v>
      </c>
      <c r="CH172" s="19" t="n">
        <f aca="false">IF(AND('Bonding Program'!$S$31=1,CH$3='Bonding Program'!$H$31),'Bonding Program'!$AA$31,0)-IF(CH$3&lt;='Bonding Program'!$C$8,IF(AND('Bonding Program'!$K$31&lt;&gt;"",CH$3='Bonding Program'!$K$31),'Bonding Program'!$J$31,0)-IF(AND('Bonding Program'!$M$31&lt;&gt;"",CH$3='Bonding Program'!$M$31),'Bonding Program'!$L$31,0)-IF(AND('Bonding Program'!$P$31&lt;&gt;"",CH$3='Bonding Program'!$P$31),'Bonding Program'!$O$31,0)-IF(AND('Bonding Program'!$R$31&lt;&gt;"",CH$3='Bonding Program'!$R$31),'Bonding Program'!$Q$31,0),0)</f>
        <v>0</v>
      </c>
      <c r="CI172" s="19" t="n">
        <f aca="false">IF(AND('Bonding Program'!$S$31=1,CI$3='Bonding Program'!$H$31),'Bonding Program'!$AA$31,0)-IF(CI$3&lt;='Bonding Program'!$C$8,IF(AND('Bonding Program'!$K$31&lt;&gt;"",CI$3='Bonding Program'!$K$31),'Bonding Program'!$J$31,0)-IF(AND('Bonding Program'!$M$31&lt;&gt;"",CI$3='Bonding Program'!$M$31),'Bonding Program'!$L$31,0)-IF(AND('Bonding Program'!$P$31&lt;&gt;"",CI$3='Bonding Program'!$P$31),'Bonding Program'!$O$31,0)-IF(AND('Bonding Program'!$R$31&lt;&gt;"",CI$3='Bonding Program'!$R$31),'Bonding Program'!$Q$31,0),0)</f>
        <v>0</v>
      </c>
      <c r="CJ172" s="19" t="n">
        <f aca="false">IF(AND('Bonding Program'!$S$31=1,CJ$3='Bonding Program'!$H$31),'Bonding Program'!$AA$31,0)-IF(CJ$3&lt;='Bonding Program'!$C$8,IF(AND('Bonding Program'!$K$31&lt;&gt;"",CJ$3='Bonding Program'!$K$31),'Bonding Program'!$J$31,0)-IF(AND('Bonding Program'!$M$31&lt;&gt;"",CJ$3='Bonding Program'!$M$31),'Bonding Program'!$L$31,0)-IF(AND('Bonding Program'!$P$31&lt;&gt;"",CJ$3='Bonding Program'!$P$31),'Bonding Program'!$O$31,0)-IF(AND('Bonding Program'!$R$31&lt;&gt;"",CJ$3='Bonding Program'!$R$31),'Bonding Program'!$Q$31,0),0)</f>
        <v>0</v>
      </c>
      <c r="CK172" s="19" t="n">
        <f aca="false">IF(AND('Bonding Program'!$S$31=1,CK$3='Bonding Program'!$H$31),'Bonding Program'!$AA$31,0)-IF(CK$3&lt;='Bonding Program'!$C$8,IF(AND('Bonding Program'!$K$31&lt;&gt;"",CK$3='Bonding Program'!$K$31),'Bonding Program'!$J$31,0)-IF(AND('Bonding Program'!$M$31&lt;&gt;"",CK$3='Bonding Program'!$M$31),'Bonding Program'!$L$31,0)-IF(AND('Bonding Program'!$P$31&lt;&gt;"",CK$3='Bonding Program'!$P$31),'Bonding Program'!$O$31,0)-IF(AND('Bonding Program'!$R$31&lt;&gt;"",CK$3='Bonding Program'!$R$31),'Bonding Program'!$Q$31,0),0)</f>
        <v>0</v>
      </c>
      <c r="CL172" s="19" t="n">
        <f aca="false">IF(AND('Bonding Program'!$S$31=1,CL$3='Bonding Program'!$H$31),'Bonding Program'!$AA$31,0)-IF(CL$3&lt;='Bonding Program'!$C$8,IF(AND('Bonding Program'!$K$31&lt;&gt;"",CL$3='Bonding Program'!$K$31),'Bonding Program'!$J$31,0)-IF(AND('Bonding Program'!$M$31&lt;&gt;"",CL$3='Bonding Program'!$M$31),'Bonding Program'!$L$31,0)-IF(AND('Bonding Program'!$P$31&lt;&gt;"",CL$3='Bonding Program'!$P$31),'Bonding Program'!$O$31,0)-IF(AND('Bonding Program'!$R$31&lt;&gt;"",CL$3='Bonding Program'!$R$31),'Bonding Program'!$Q$31,0),0)</f>
        <v>0</v>
      </c>
      <c r="CM172" s="19" t="n">
        <f aca="false">IF(AND('Bonding Program'!$S$31=1,CM$3='Bonding Program'!$H$31),'Bonding Program'!$AA$31,0)-IF(CM$3&lt;='Bonding Program'!$C$8,IF(AND('Bonding Program'!$K$31&lt;&gt;"",CM$3='Bonding Program'!$K$31),'Bonding Program'!$J$31,0)-IF(AND('Bonding Program'!$M$31&lt;&gt;"",CM$3='Bonding Program'!$M$31),'Bonding Program'!$L$31,0)-IF(AND('Bonding Program'!$P$31&lt;&gt;"",CM$3='Bonding Program'!$P$31),'Bonding Program'!$O$31,0)-IF(AND('Bonding Program'!$R$31&lt;&gt;"",CM$3='Bonding Program'!$R$31),'Bonding Program'!$Q$31,0),0)</f>
        <v>0</v>
      </c>
      <c r="CN172" s="19" t="n">
        <f aca="false">IF(AND('Bonding Program'!$S$31=1,CN$3='Bonding Program'!$H$31),'Bonding Program'!$AA$31,0)-IF(CN$3&lt;='Bonding Program'!$C$8,IF(AND('Bonding Program'!$K$31&lt;&gt;"",CN$3='Bonding Program'!$K$31),'Bonding Program'!$J$31,0)-IF(AND('Bonding Program'!$M$31&lt;&gt;"",CN$3='Bonding Program'!$M$31),'Bonding Program'!$L$31,0)-IF(AND('Bonding Program'!$P$31&lt;&gt;"",CN$3='Bonding Program'!$P$31),'Bonding Program'!$O$31,0)-IF(AND('Bonding Program'!$R$31&lt;&gt;"",CN$3='Bonding Program'!$R$31),'Bonding Program'!$Q$31,0),0)</f>
        <v>0</v>
      </c>
      <c r="CO172" s="19" t="n">
        <f aca="false">IF(AND('Bonding Program'!$S$31=1,CO$3='Bonding Program'!$H$31),'Bonding Program'!$AA$31,0)-IF(CO$3&lt;='Bonding Program'!$C$8,IF(AND('Bonding Program'!$K$31&lt;&gt;"",CO$3='Bonding Program'!$K$31),'Bonding Program'!$J$31,0)-IF(AND('Bonding Program'!$M$31&lt;&gt;"",CO$3='Bonding Program'!$M$31),'Bonding Program'!$L$31,0)-IF(AND('Bonding Program'!$P$31&lt;&gt;"",CO$3='Bonding Program'!$P$31),'Bonding Program'!$O$31,0)-IF(AND('Bonding Program'!$R$31&lt;&gt;"",CO$3='Bonding Program'!$R$31),'Bonding Program'!$Q$31,0),0)</f>
        <v>0</v>
      </c>
      <c r="CP172" s="19" t="n">
        <f aca="false">IF(AND('Bonding Program'!$S$31=1,CP$3='Bonding Program'!$H$31),'Bonding Program'!$AA$31,0)-IF(CP$3&lt;='Bonding Program'!$C$8,IF(AND('Bonding Program'!$K$31&lt;&gt;"",CP$3='Bonding Program'!$K$31),'Bonding Program'!$J$31,0)-IF(AND('Bonding Program'!$M$31&lt;&gt;"",CP$3='Bonding Program'!$M$31),'Bonding Program'!$L$31,0)-IF(AND('Bonding Program'!$P$31&lt;&gt;"",CP$3='Bonding Program'!$P$31),'Bonding Program'!$O$31,0)-IF(AND('Bonding Program'!$R$31&lt;&gt;"",CP$3='Bonding Program'!$R$31),'Bonding Program'!$Q$31,0),0)</f>
        <v>0</v>
      </c>
      <c r="CQ172" s="19" t="n">
        <f aca="false">IF(AND('Bonding Program'!$S$31=1,CQ$3='Bonding Program'!$H$31),'Bonding Program'!$AA$31,0)-IF(CQ$3&lt;='Bonding Program'!$C$8,IF(AND('Bonding Program'!$K$31&lt;&gt;"",CQ$3='Bonding Program'!$K$31),'Bonding Program'!$J$31,0)-IF(AND('Bonding Program'!$M$31&lt;&gt;"",CQ$3='Bonding Program'!$M$31),'Bonding Program'!$L$31,0)-IF(AND('Bonding Program'!$P$31&lt;&gt;"",CQ$3='Bonding Program'!$P$31),'Bonding Program'!$O$31,0)-IF(AND('Bonding Program'!$R$31&lt;&gt;"",CQ$3='Bonding Program'!$R$31),'Bonding Program'!$Q$31,0),0)</f>
        <v>0</v>
      </c>
      <c r="CR172" s="19" t="n">
        <f aca="false">IF(AND('Bonding Program'!$S$31=1,CR$3='Bonding Program'!$H$31),'Bonding Program'!$AA$31,0)-IF(CR$3&lt;='Bonding Program'!$C$8,IF(AND('Bonding Program'!$K$31&lt;&gt;"",CR$3='Bonding Program'!$K$31),'Bonding Program'!$J$31,0)-IF(AND('Bonding Program'!$M$31&lt;&gt;"",CR$3='Bonding Program'!$M$31),'Bonding Program'!$L$31,0)-IF(AND('Bonding Program'!$P$31&lt;&gt;"",CR$3='Bonding Program'!$P$31),'Bonding Program'!$O$31,0)-IF(AND('Bonding Program'!$R$31&lt;&gt;"",CR$3='Bonding Program'!$R$31),'Bonding Program'!$Q$31,0),0)</f>
        <v>0</v>
      </c>
      <c r="CS172" s="19" t="n">
        <f aca="false">IF(AND('Bonding Program'!$S$31=1,CS$3='Bonding Program'!$H$31),'Bonding Program'!$AA$31,0)-IF(CS$3&lt;='Bonding Program'!$C$8,IF(AND('Bonding Program'!$K$31&lt;&gt;"",CS$3='Bonding Program'!$K$31),'Bonding Program'!$J$31,0)-IF(AND('Bonding Program'!$M$31&lt;&gt;"",CS$3='Bonding Program'!$M$31),'Bonding Program'!$L$31,0)-IF(AND('Bonding Program'!$P$31&lt;&gt;"",CS$3='Bonding Program'!$P$31),'Bonding Program'!$O$31,0)-IF(AND('Bonding Program'!$R$31&lt;&gt;"",CS$3='Bonding Program'!$R$31),'Bonding Program'!$Q$31,0),0)</f>
        <v>0</v>
      </c>
      <c r="CT172" s="19" t="n">
        <f aca="false">IF(AND('Bonding Program'!$S$31=1,CT$3='Bonding Program'!$H$31),'Bonding Program'!$AA$31,0)-IF(CT$3&lt;='Bonding Program'!$C$8,IF(AND('Bonding Program'!$K$31&lt;&gt;"",CT$3='Bonding Program'!$K$31),'Bonding Program'!$J$31,0)-IF(AND('Bonding Program'!$M$31&lt;&gt;"",CT$3='Bonding Program'!$M$31),'Bonding Program'!$L$31,0)-IF(AND('Bonding Program'!$P$31&lt;&gt;"",CT$3='Bonding Program'!$P$31),'Bonding Program'!$O$31,0)-IF(AND('Bonding Program'!$R$31&lt;&gt;"",CT$3='Bonding Program'!$R$31),'Bonding Program'!$Q$31,0),0)</f>
        <v>0</v>
      </c>
      <c r="CU172" s="19" t="n">
        <f aca="false">IF(AND('Bonding Program'!$S$31=1,CU$3='Bonding Program'!$H$31),'Bonding Program'!$AA$31,0)-IF(CU$3&lt;='Bonding Program'!$C$8,IF(AND('Bonding Program'!$K$31&lt;&gt;"",CU$3='Bonding Program'!$K$31),'Bonding Program'!$J$31,0)-IF(AND('Bonding Program'!$M$31&lt;&gt;"",CU$3='Bonding Program'!$M$31),'Bonding Program'!$L$31,0)-IF(AND('Bonding Program'!$P$31&lt;&gt;"",CU$3='Bonding Program'!$P$31),'Bonding Program'!$O$31,0)-IF(AND('Bonding Program'!$R$31&lt;&gt;"",CU$3='Bonding Program'!$R$31),'Bonding Program'!$Q$31,0),0)</f>
        <v>0</v>
      </c>
      <c r="CV172" s="19" t="n">
        <f aca="false">IF(AND('Bonding Program'!$S$31=1,CV$3='Bonding Program'!$H$31),'Bonding Program'!$AA$31,0)-IF(CV$3&lt;='Bonding Program'!$C$8,IF(AND('Bonding Program'!$K$31&lt;&gt;"",CV$3='Bonding Program'!$K$31),'Bonding Program'!$J$31,0)-IF(AND('Bonding Program'!$M$31&lt;&gt;"",CV$3='Bonding Program'!$M$31),'Bonding Program'!$L$31,0)-IF(AND('Bonding Program'!$P$31&lt;&gt;"",CV$3='Bonding Program'!$P$31),'Bonding Program'!$O$31,0)-IF(AND('Bonding Program'!$R$31&lt;&gt;"",CV$3='Bonding Program'!$R$31),'Bonding Program'!$Q$31,0),0)</f>
        <v>0</v>
      </c>
      <c r="CW172" s="19" t="n">
        <f aca="false">IF(AND('Bonding Program'!$S$31=1,CW$3='Bonding Program'!$H$31),'Bonding Program'!$AA$31,0)-IF(CW$3&lt;='Bonding Program'!$C$8,IF(AND('Bonding Program'!$K$31&lt;&gt;"",CW$3='Bonding Program'!$K$31),'Bonding Program'!$J$31,0)-IF(AND('Bonding Program'!$M$31&lt;&gt;"",CW$3='Bonding Program'!$M$31),'Bonding Program'!$L$31,0)-IF(AND('Bonding Program'!$P$31&lt;&gt;"",CW$3='Bonding Program'!$P$31),'Bonding Program'!$O$31,0)-IF(AND('Bonding Program'!$R$31&lt;&gt;"",CW$3='Bonding Program'!$R$31),'Bonding Program'!$Q$31,0),0)</f>
        <v>0</v>
      </c>
      <c r="CX172" s="19" t="n">
        <f aca="false">IF(AND('Bonding Program'!$S$31=1,CX$3='Bonding Program'!$H$31),'Bonding Program'!$AA$31,0)-IF(CX$3&lt;='Bonding Program'!$C$8,IF(AND('Bonding Program'!$K$31&lt;&gt;"",CX$3='Bonding Program'!$K$31),'Bonding Program'!$J$31,0)-IF(AND('Bonding Program'!$M$31&lt;&gt;"",CX$3='Bonding Program'!$M$31),'Bonding Program'!$L$31,0)-IF(AND('Bonding Program'!$P$31&lt;&gt;"",CX$3='Bonding Program'!$P$31),'Bonding Program'!$O$31,0)-IF(AND('Bonding Program'!$R$31&lt;&gt;"",CX$3='Bonding Program'!$R$31),'Bonding Program'!$Q$31,0),0)</f>
        <v>0</v>
      </c>
      <c r="CY172" s="19" t="n">
        <f aca="false">IF(AND('Bonding Program'!$S$31=1,CY$3='Bonding Program'!$H$31),'Bonding Program'!$AA$31,0)-IF(CY$3&lt;='Bonding Program'!$C$8,IF(AND('Bonding Program'!$K$31&lt;&gt;"",CY$3='Bonding Program'!$K$31),'Bonding Program'!$J$31,0)-IF(AND('Bonding Program'!$M$31&lt;&gt;"",CY$3='Bonding Program'!$M$31),'Bonding Program'!$L$31,0)-IF(AND('Bonding Program'!$P$31&lt;&gt;"",CY$3='Bonding Program'!$P$31),'Bonding Program'!$O$31,0)-IF(AND('Bonding Program'!$R$31&lt;&gt;"",CY$3='Bonding Program'!$R$31),'Bonding Program'!$Q$31,0),0)</f>
        <v>0</v>
      </c>
      <c r="CZ172" s="19" t="n">
        <f aca="false">IF(AND('Bonding Program'!$S$31=1,CZ$3='Bonding Program'!$H$31),'Bonding Program'!$AA$31,0)-IF(CZ$3&lt;='Bonding Program'!$C$8,IF(AND('Bonding Program'!$K$31&lt;&gt;"",CZ$3='Bonding Program'!$K$31),'Bonding Program'!$J$31,0)-IF(AND('Bonding Program'!$M$31&lt;&gt;"",CZ$3='Bonding Program'!$M$31),'Bonding Program'!$L$31,0)-IF(AND('Bonding Program'!$P$31&lt;&gt;"",CZ$3='Bonding Program'!$P$31),'Bonding Program'!$O$31,0)-IF(AND('Bonding Program'!$R$31&lt;&gt;"",CZ$3='Bonding Program'!$R$31),'Bonding Program'!$Q$31,0),0)</f>
        <v>0</v>
      </c>
      <c r="DA172" s="19" t="n">
        <f aca="false">IF(AND('Bonding Program'!$S$31=1,DA$3='Bonding Program'!$H$31),'Bonding Program'!$AA$31,0)-IF(DA$3&lt;='Bonding Program'!$C$8,IF(AND('Bonding Program'!$K$31&lt;&gt;"",DA$3='Bonding Program'!$K$31),'Bonding Program'!$J$31,0)-IF(AND('Bonding Program'!$M$31&lt;&gt;"",DA$3='Bonding Program'!$M$31),'Bonding Program'!$L$31,0)-IF(AND('Bonding Program'!$P$31&lt;&gt;"",DA$3='Bonding Program'!$P$31),'Bonding Program'!$O$31,0)-IF(AND('Bonding Program'!$R$31&lt;&gt;"",DA$3='Bonding Program'!$R$31),'Bonding Program'!$Q$31,0),0)</f>
        <v>0</v>
      </c>
      <c r="DB172" s="19" t="n">
        <f aca="false">IF(AND('Bonding Program'!$S$31=1,DB$3='Bonding Program'!$H$31),'Bonding Program'!$AA$31,0)-IF(DB$3&lt;='Bonding Program'!$C$8,IF(AND('Bonding Program'!$K$31&lt;&gt;"",DB$3='Bonding Program'!$K$31),'Bonding Program'!$J$31,0)-IF(AND('Bonding Program'!$M$31&lt;&gt;"",DB$3='Bonding Program'!$M$31),'Bonding Program'!$L$31,0)-IF(AND('Bonding Program'!$P$31&lt;&gt;"",DB$3='Bonding Program'!$P$31),'Bonding Program'!$O$31,0)-IF(AND('Bonding Program'!$R$31&lt;&gt;"",DB$3='Bonding Program'!$R$31),'Bonding Program'!$Q$31,0),0)</f>
        <v>0</v>
      </c>
      <c r="DC172" s="19" t="n">
        <f aca="false">IF(AND('Bonding Program'!$S$31=1,DC$3='Bonding Program'!$H$31),'Bonding Program'!$AA$31,0)-IF(DC$3&lt;='Bonding Program'!$C$8,IF(AND('Bonding Program'!$K$31&lt;&gt;"",DC$3='Bonding Program'!$K$31),'Bonding Program'!$J$31,0)-IF(AND('Bonding Program'!$M$31&lt;&gt;"",DC$3='Bonding Program'!$M$31),'Bonding Program'!$L$31,0)-IF(AND('Bonding Program'!$P$31&lt;&gt;"",DC$3='Bonding Program'!$P$31),'Bonding Program'!$O$31,0)-IF(AND('Bonding Program'!$R$31&lt;&gt;"",DC$3='Bonding Program'!$R$31),'Bonding Program'!$Q$31,0),0)</f>
        <v>0</v>
      </c>
      <c r="DD172" s="19" t="n">
        <f aca="false">IF(AND('Bonding Program'!$S$31=1,DD$3='Bonding Program'!$H$31),'Bonding Program'!$AA$31,0)-IF(DD$3&lt;='Bonding Program'!$C$8,IF(AND('Bonding Program'!$K$31&lt;&gt;"",DD$3='Bonding Program'!$K$31),'Bonding Program'!$J$31,0)-IF(AND('Bonding Program'!$M$31&lt;&gt;"",DD$3='Bonding Program'!$M$31),'Bonding Program'!$L$31,0)-IF(AND('Bonding Program'!$P$31&lt;&gt;"",DD$3='Bonding Program'!$P$31),'Bonding Program'!$O$31,0)-IF(AND('Bonding Program'!$R$31&lt;&gt;"",DD$3='Bonding Program'!$R$31),'Bonding Program'!$Q$31,0),0)</f>
        <v>0</v>
      </c>
      <c r="DE172" s="19" t="n">
        <f aca="false">IF(AND('Bonding Program'!$S$31=1,DE$3='Bonding Program'!$H$31),'Bonding Program'!$AA$31,0)-IF(DE$3&lt;='Bonding Program'!$C$8,IF(AND('Bonding Program'!$K$31&lt;&gt;"",DE$3='Bonding Program'!$K$31),'Bonding Program'!$J$31,0)-IF(AND('Bonding Program'!$M$31&lt;&gt;"",DE$3='Bonding Program'!$M$31),'Bonding Program'!$L$31,0)-IF(AND('Bonding Program'!$P$31&lt;&gt;"",DE$3='Bonding Program'!$P$31),'Bonding Program'!$O$31,0)-IF(AND('Bonding Program'!$R$31&lt;&gt;"",DE$3='Bonding Program'!$R$31),'Bonding Program'!$Q$31,0),0)</f>
        <v>0</v>
      </c>
    </row>
    <row r="173" customFormat="false" ht="15" hidden="false" customHeight="true" outlineLevel="1" collapsed="false">
      <c r="A173" s="28" t="s">
        <v>28</v>
      </c>
      <c r="B173" s="19" t="n">
        <f aca="false">IF(AND('Bonding Program'!$S$32=1,B$3='Bonding Program'!$H$32),'Bonding Program'!$AA$32,0)-IF(B$3&lt;='Bonding Program'!$C$8,IF(AND('Bonding Program'!$K$32&lt;&gt;"",B$3='Bonding Program'!$K$32),'Bonding Program'!$J$32,0)-IF(AND('Bonding Program'!$M$32&lt;&gt;"",B$3='Bonding Program'!$M$32),'Bonding Program'!$L$32,0)-IF(AND('Bonding Program'!$P$32&lt;&gt;"",B$3='Bonding Program'!$P$32),'Bonding Program'!$O$32,0)-IF(AND('Bonding Program'!$R$32&lt;&gt;"",B$3='Bonding Program'!$R$32),'Bonding Program'!$Q$32,0),0)</f>
        <v>0</v>
      </c>
      <c r="C173" s="19" t="n">
        <f aca="false">IF(AND('Bonding Program'!$S$32=1,C$3='Bonding Program'!$H$32),'Bonding Program'!$AA$32,0)-IF(C$3&lt;='Bonding Program'!$C$8,IF(AND('Bonding Program'!$K$32&lt;&gt;"",C$3='Bonding Program'!$K$32),'Bonding Program'!$J$32,0)-IF(AND('Bonding Program'!$M$32&lt;&gt;"",C$3='Bonding Program'!$M$32),'Bonding Program'!$L$32,0)-IF(AND('Bonding Program'!$P$32&lt;&gt;"",C$3='Bonding Program'!$P$32),'Bonding Program'!$O$32,0)-IF(AND('Bonding Program'!$R$32&lt;&gt;"",C$3='Bonding Program'!$R$32),'Bonding Program'!$Q$32,0),0)</f>
        <v>0</v>
      </c>
      <c r="D173" s="19" t="n">
        <f aca="false">IF(AND('Bonding Program'!$S$32=1,D$3='Bonding Program'!$H$32),'Bonding Program'!$AA$32,0)-IF(D$3&lt;='Bonding Program'!$C$8,IF(AND('Bonding Program'!$K$32&lt;&gt;"",D$3='Bonding Program'!$K$32),'Bonding Program'!$J$32,0)-IF(AND('Bonding Program'!$M$32&lt;&gt;"",D$3='Bonding Program'!$M$32),'Bonding Program'!$L$32,0)-IF(AND('Bonding Program'!$P$32&lt;&gt;"",D$3='Bonding Program'!$P$32),'Bonding Program'!$O$32,0)-IF(AND('Bonding Program'!$R$32&lt;&gt;"",D$3='Bonding Program'!$R$32),'Bonding Program'!$Q$32,0),0)</f>
        <v>0</v>
      </c>
      <c r="E173" s="19" t="n">
        <f aca="false">IF(AND('Bonding Program'!$S$32=1,E$3='Bonding Program'!$H$32),'Bonding Program'!$AA$32,0)-IF(E$3&lt;='Bonding Program'!$C$8,IF(AND('Bonding Program'!$K$32&lt;&gt;"",E$3='Bonding Program'!$K$32),'Bonding Program'!$J$32,0)-IF(AND('Bonding Program'!$M$32&lt;&gt;"",E$3='Bonding Program'!$M$32),'Bonding Program'!$L$32,0)-IF(AND('Bonding Program'!$P$32&lt;&gt;"",E$3='Bonding Program'!$P$32),'Bonding Program'!$O$32,0)-IF(AND('Bonding Program'!$R$32&lt;&gt;"",E$3='Bonding Program'!$R$32),'Bonding Program'!$Q$32,0),0)</f>
        <v>0</v>
      </c>
      <c r="F173" s="19" t="n">
        <f aca="false">IF(AND('Bonding Program'!$S$32=1,F$3='Bonding Program'!$H$32),'Bonding Program'!$AA$32,0)-IF(F$3&lt;='Bonding Program'!$C$8,IF(AND('Bonding Program'!$K$32&lt;&gt;"",F$3='Bonding Program'!$K$32),'Bonding Program'!$J$32,0)-IF(AND('Bonding Program'!$M$32&lt;&gt;"",F$3='Bonding Program'!$M$32),'Bonding Program'!$L$32,0)-IF(AND('Bonding Program'!$P$32&lt;&gt;"",F$3='Bonding Program'!$P$32),'Bonding Program'!$O$32,0)-IF(AND('Bonding Program'!$R$32&lt;&gt;"",F$3='Bonding Program'!$R$32),'Bonding Program'!$Q$32,0),0)</f>
        <v>0</v>
      </c>
      <c r="G173" s="19" t="n">
        <f aca="false">IF(AND('Bonding Program'!$S$32=1,G$3='Bonding Program'!$H$32),'Bonding Program'!$AA$32,0)-IF(G$3&lt;='Bonding Program'!$C$8,IF(AND('Bonding Program'!$K$32&lt;&gt;"",G$3='Bonding Program'!$K$32),'Bonding Program'!$J$32,0)-IF(AND('Bonding Program'!$M$32&lt;&gt;"",G$3='Bonding Program'!$M$32),'Bonding Program'!$L$32,0)-IF(AND('Bonding Program'!$P$32&lt;&gt;"",G$3='Bonding Program'!$P$32),'Bonding Program'!$O$32,0)-IF(AND('Bonding Program'!$R$32&lt;&gt;"",G$3='Bonding Program'!$R$32),'Bonding Program'!$Q$32,0),0)</f>
        <v>0</v>
      </c>
      <c r="H173" s="19" t="n">
        <f aca="false">IF(AND('Bonding Program'!$S$32=1,H$3='Bonding Program'!$H$32),'Bonding Program'!$AA$32,0)-IF(H$3&lt;='Bonding Program'!$C$8,IF(AND('Bonding Program'!$K$32&lt;&gt;"",H$3='Bonding Program'!$K$32),'Bonding Program'!$J$32,0)-IF(AND('Bonding Program'!$M$32&lt;&gt;"",H$3='Bonding Program'!$M$32),'Bonding Program'!$L$32,0)-IF(AND('Bonding Program'!$P$32&lt;&gt;"",H$3='Bonding Program'!$P$32),'Bonding Program'!$O$32,0)-IF(AND('Bonding Program'!$R$32&lt;&gt;"",H$3='Bonding Program'!$R$32),'Bonding Program'!$Q$32,0),0)</f>
        <v>0</v>
      </c>
      <c r="I173" s="19" t="n">
        <f aca="false">IF(AND('Bonding Program'!$S$32=1,I$3='Bonding Program'!$H$32),'Bonding Program'!$AA$32,0)-IF(I$3&lt;='Bonding Program'!$C$8,IF(AND('Bonding Program'!$K$32&lt;&gt;"",I$3='Bonding Program'!$K$32),'Bonding Program'!$J$32,0)-IF(AND('Bonding Program'!$M$32&lt;&gt;"",I$3='Bonding Program'!$M$32),'Bonding Program'!$L$32,0)-IF(AND('Bonding Program'!$P$32&lt;&gt;"",I$3='Bonding Program'!$P$32),'Bonding Program'!$O$32,0)-IF(AND('Bonding Program'!$R$32&lt;&gt;"",I$3='Bonding Program'!$R$32),'Bonding Program'!$Q$32,0),0)</f>
        <v>0</v>
      </c>
      <c r="J173" s="19" t="n">
        <f aca="false">IF(AND('Bonding Program'!$S$32=1,J$3='Bonding Program'!$H$32),'Bonding Program'!$AA$32,0)-IF(J$3&lt;='Bonding Program'!$C$8,IF(AND('Bonding Program'!$K$32&lt;&gt;"",J$3='Bonding Program'!$K$32),'Bonding Program'!$J$32,0)-IF(AND('Bonding Program'!$M$32&lt;&gt;"",J$3='Bonding Program'!$M$32),'Bonding Program'!$L$32,0)-IF(AND('Bonding Program'!$P$32&lt;&gt;"",J$3='Bonding Program'!$P$32),'Bonding Program'!$O$32,0)-IF(AND('Bonding Program'!$R$32&lt;&gt;"",J$3='Bonding Program'!$R$32),'Bonding Program'!$Q$32,0),0)</f>
        <v>0</v>
      </c>
      <c r="K173" s="19" t="n">
        <f aca="false">IF(AND('Bonding Program'!$S$32=1,K$3='Bonding Program'!$H$32),'Bonding Program'!$AA$32,0)-IF(K$3&lt;='Bonding Program'!$C$8,IF(AND('Bonding Program'!$K$32&lt;&gt;"",K$3='Bonding Program'!$K$32),'Bonding Program'!$J$32,0)-IF(AND('Bonding Program'!$M$32&lt;&gt;"",K$3='Bonding Program'!$M$32),'Bonding Program'!$L$32,0)-IF(AND('Bonding Program'!$P$32&lt;&gt;"",K$3='Bonding Program'!$P$32),'Bonding Program'!$O$32,0)-IF(AND('Bonding Program'!$R$32&lt;&gt;"",K$3='Bonding Program'!$R$32),'Bonding Program'!$Q$32,0),0)</f>
        <v>0</v>
      </c>
      <c r="L173" s="19" t="n">
        <f aca="false">IF(AND('Bonding Program'!$S$32=1,L$3='Bonding Program'!$H$32),'Bonding Program'!$AA$32,0)-IF(L$3&lt;='Bonding Program'!$C$8,IF(AND('Bonding Program'!$K$32&lt;&gt;"",L$3='Bonding Program'!$K$32),'Bonding Program'!$J$32,0)-IF(AND('Bonding Program'!$M$32&lt;&gt;"",L$3='Bonding Program'!$M$32),'Bonding Program'!$L$32,0)-IF(AND('Bonding Program'!$P$32&lt;&gt;"",L$3='Bonding Program'!$P$32),'Bonding Program'!$O$32,0)-IF(AND('Bonding Program'!$R$32&lt;&gt;"",L$3='Bonding Program'!$R$32),'Bonding Program'!$Q$32,0),0)</f>
        <v>0</v>
      </c>
      <c r="M173" s="19" t="n">
        <f aca="false">IF(AND('Bonding Program'!$S$32=1,M$3='Bonding Program'!$H$32),'Bonding Program'!$AA$32,0)-IF(M$3&lt;='Bonding Program'!$C$8,IF(AND('Bonding Program'!$K$32&lt;&gt;"",M$3='Bonding Program'!$K$32),'Bonding Program'!$J$32,0)-IF(AND('Bonding Program'!$M$32&lt;&gt;"",M$3='Bonding Program'!$M$32),'Bonding Program'!$L$32,0)-IF(AND('Bonding Program'!$P$32&lt;&gt;"",M$3='Bonding Program'!$P$32),'Bonding Program'!$O$32,0)-IF(AND('Bonding Program'!$R$32&lt;&gt;"",M$3='Bonding Program'!$R$32),'Bonding Program'!$Q$32,0),0)</f>
        <v>0</v>
      </c>
      <c r="N173" s="19" t="n">
        <f aca="false">IF(AND('Bonding Program'!$S$32=1,N$3='Bonding Program'!$H$32),'Bonding Program'!$AA$32,0)-IF(N$3&lt;='Bonding Program'!$C$8,IF(AND('Bonding Program'!$K$32&lt;&gt;"",N$3='Bonding Program'!$K$32),'Bonding Program'!$J$32,0)-IF(AND('Bonding Program'!$M$32&lt;&gt;"",N$3='Bonding Program'!$M$32),'Bonding Program'!$L$32,0)-IF(AND('Bonding Program'!$P$32&lt;&gt;"",N$3='Bonding Program'!$P$32),'Bonding Program'!$O$32,0)-IF(AND('Bonding Program'!$R$32&lt;&gt;"",N$3='Bonding Program'!$R$32),'Bonding Program'!$Q$32,0),0)</f>
        <v>0</v>
      </c>
      <c r="O173" s="19" t="n">
        <f aca="false">IF(AND('Bonding Program'!$S$32=1,O$3='Bonding Program'!$H$32),'Bonding Program'!$AA$32,0)-IF(O$3&lt;='Bonding Program'!$C$8,IF(AND('Bonding Program'!$K$32&lt;&gt;"",O$3='Bonding Program'!$K$32),'Bonding Program'!$J$32,0)-IF(AND('Bonding Program'!$M$32&lt;&gt;"",O$3='Bonding Program'!$M$32),'Bonding Program'!$L$32,0)-IF(AND('Bonding Program'!$P$32&lt;&gt;"",O$3='Bonding Program'!$P$32),'Bonding Program'!$O$32,0)-IF(AND('Bonding Program'!$R$32&lt;&gt;"",O$3='Bonding Program'!$R$32),'Bonding Program'!$Q$32,0),0)</f>
        <v>0</v>
      </c>
      <c r="P173" s="19" t="n">
        <f aca="false">IF(AND('Bonding Program'!$S$32=1,P$3='Bonding Program'!$H$32),'Bonding Program'!$AA$32,0)-IF(P$3&lt;='Bonding Program'!$C$8,IF(AND('Bonding Program'!$K$32&lt;&gt;"",P$3='Bonding Program'!$K$32),'Bonding Program'!$J$32,0)-IF(AND('Bonding Program'!$M$32&lt;&gt;"",P$3='Bonding Program'!$M$32),'Bonding Program'!$L$32,0)-IF(AND('Bonding Program'!$P$32&lt;&gt;"",P$3='Bonding Program'!$P$32),'Bonding Program'!$O$32,0)-IF(AND('Bonding Program'!$R$32&lt;&gt;"",P$3='Bonding Program'!$R$32),'Bonding Program'!$Q$32,0),0)</f>
        <v>0</v>
      </c>
      <c r="Q173" s="19" t="n">
        <f aca="false">IF(AND('Bonding Program'!$S$32=1,Q$3='Bonding Program'!$H$32),'Bonding Program'!$AA$32,0)-IF(Q$3&lt;='Bonding Program'!$C$8,IF(AND('Bonding Program'!$K$32&lt;&gt;"",Q$3='Bonding Program'!$K$32),'Bonding Program'!$J$32,0)-IF(AND('Bonding Program'!$M$32&lt;&gt;"",Q$3='Bonding Program'!$M$32),'Bonding Program'!$L$32,0)-IF(AND('Bonding Program'!$P$32&lt;&gt;"",Q$3='Bonding Program'!$P$32),'Bonding Program'!$O$32,0)-IF(AND('Bonding Program'!$R$32&lt;&gt;"",Q$3='Bonding Program'!$R$32),'Bonding Program'!$Q$32,0),0)</f>
        <v>0</v>
      </c>
      <c r="R173" s="19" t="n">
        <f aca="false">IF(AND('Bonding Program'!$S$32=1,R$3='Bonding Program'!$H$32),'Bonding Program'!$AA$32,0)-IF(R$3&lt;='Bonding Program'!$C$8,IF(AND('Bonding Program'!$K$32&lt;&gt;"",R$3='Bonding Program'!$K$32),'Bonding Program'!$J$32,0)-IF(AND('Bonding Program'!$M$32&lt;&gt;"",R$3='Bonding Program'!$M$32),'Bonding Program'!$L$32,0)-IF(AND('Bonding Program'!$P$32&lt;&gt;"",R$3='Bonding Program'!$P$32),'Bonding Program'!$O$32,0)-IF(AND('Bonding Program'!$R$32&lt;&gt;"",R$3='Bonding Program'!$R$32),'Bonding Program'!$Q$32,0),0)</f>
        <v>0</v>
      </c>
      <c r="S173" s="19" t="n">
        <f aca="false">IF(AND('Bonding Program'!$S$32=1,S$3='Bonding Program'!$H$32),'Bonding Program'!$AA$32,0)-IF(S$3&lt;='Bonding Program'!$C$8,IF(AND('Bonding Program'!$K$32&lt;&gt;"",S$3='Bonding Program'!$K$32),'Bonding Program'!$J$32,0)-IF(AND('Bonding Program'!$M$32&lt;&gt;"",S$3='Bonding Program'!$M$32),'Bonding Program'!$L$32,0)-IF(AND('Bonding Program'!$P$32&lt;&gt;"",S$3='Bonding Program'!$P$32),'Bonding Program'!$O$32,0)-IF(AND('Bonding Program'!$R$32&lt;&gt;"",S$3='Bonding Program'!$R$32),'Bonding Program'!$Q$32,0),0)</f>
        <v>0</v>
      </c>
      <c r="T173" s="19" t="n">
        <f aca="false">IF(AND('Bonding Program'!$S$32=1,T$3='Bonding Program'!$H$32),'Bonding Program'!$AA$32,0)-IF(T$3&lt;='Bonding Program'!$C$8,IF(AND('Bonding Program'!$K$32&lt;&gt;"",T$3='Bonding Program'!$K$32),'Bonding Program'!$J$32,0)-IF(AND('Bonding Program'!$M$32&lt;&gt;"",T$3='Bonding Program'!$M$32),'Bonding Program'!$L$32,0)-IF(AND('Bonding Program'!$P$32&lt;&gt;"",T$3='Bonding Program'!$P$32),'Bonding Program'!$O$32,0)-IF(AND('Bonding Program'!$R$32&lt;&gt;"",T$3='Bonding Program'!$R$32),'Bonding Program'!$Q$32,0),0)</f>
        <v>0</v>
      </c>
      <c r="U173" s="19" t="n">
        <f aca="false">IF(AND('Bonding Program'!$S$32=1,U$3='Bonding Program'!$H$32),'Bonding Program'!$AA$32,0)-IF(U$3&lt;='Bonding Program'!$C$8,IF(AND('Bonding Program'!$K$32&lt;&gt;"",U$3='Bonding Program'!$K$32),'Bonding Program'!$J$32,0)-IF(AND('Bonding Program'!$M$32&lt;&gt;"",U$3='Bonding Program'!$M$32),'Bonding Program'!$L$32,0)-IF(AND('Bonding Program'!$P$32&lt;&gt;"",U$3='Bonding Program'!$P$32),'Bonding Program'!$O$32,0)-IF(AND('Bonding Program'!$R$32&lt;&gt;"",U$3='Bonding Program'!$R$32),'Bonding Program'!$Q$32,0),0)</f>
        <v>0</v>
      </c>
      <c r="V173" s="19" t="n">
        <f aca="false">IF(AND('Bonding Program'!$S$32=1,V$3='Bonding Program'!$H$32),'Bonding Program'!$AA$32,0)-IF(V$3&lt;='Bonding Program'!$C$8,IF(AND('Bonding Program'!$K$32&lt;&gt;"",V$3='Bonding Program'!$K$32),'Bonding Program'!$J$32,0)-IF(AND('Bonding Program'!$M$32&lt;&gt;"",V$3='Bonding Program'!$M$32),'Bonding Program'!$L$32,0)-IF(AND('Bonding Program'!$P$32&lt;&gt;"",V$3='Bonding Program'!$P$32),'Bonding Program'!$O$32,0)-IF(AND('Bonding Program'!$R$32&lt;&gt;"",V$3='Bonding Program'!$R$32),'Bonding Program'!$Q$32,0),0)</f>
        <v>0</v>
      </c>
      <c r="W173" s="19" t="n">
        <f aca="false">IF(AND('Bonding Program'!$S$32=1,W$3='Bonding Program'!$H$32),'Bonding Program'!$AA$32,0)-IF(W$3&lt;='Bonding Program'!$C$8,IF(AND('Bonding Program'!$K$32&lt;&gt;"",W$3='Bonding Program'!$K$32),'Bonding Program'!$J$32,0)-IF(AND('Bonding Program'!$M$32&lt;&gt;"",W$3='Bonding Program'!$M$32),'Bonding Program'!$L$32,0)-IF(AND('Bonding Program'!$P$32&lt;&gt;"",W$3='Bonding Program'!$P$32),'Bonding Program'!$O$32,0)-IF(AND('Bonding Program'!$R$32&lt;&gt;"",W$3='Bonding Program'!$R$32),'Bonding Program'!$Q$32,0),0)</f>
        <v>0</v>
      </c>
      <c r="X173" s="19" t="n">
        <f aca="false">IF(AND('Bonding Program'!$S$32=1,X$3='Bonding Program'!$H$32),'Bonding Program'!$AA$32,0)-IF(X$3&lt;='Bonding Program'!$C$8,IF(AND('Bonding Program'!$K$32&lt;&gt;"",X$3='Bonding Program'!$K$32),'Bonding Program'!$J$32,0)-IF(AND('Bonding Program'!$M$32&lt;&gt;"",X$3='Bonding Program'!$M$32),'Bonding Program'!$L$32,0)-IF(AND('Bonding Program'!$P$32&lt;&gt;"",X$3='Bonding Program'!$P$32),'Bonding Program'!$O$32,0)-IF(AND('Bonding Program'!$R$32&lt;&gt;"",X$3='Bonding Program'!$R$32),'Bonding Program'!$Q$32,0),0)</f>
        <v>0</v>
      </c>
      <c r="Y173" s="19" t="n">
        <f aca="false">IF(AND('Bonding Program'!$S$32=1,Y$3='Bonding Program'!$H$32),'Bonding Program'!$AA$32,0)-IF(Y$3&lt;='Bonding Program'!$C$8,IF(AND('Bonding Program'!$K$32&lt;&gt;"",Y$3='Bonding Program'!$K$32),'Bonding Program'!$J$32,0)-IF(AND('Bonding Program'!$M$32&lt;&gt;"",Y$3='Bonding Program'!$M$32),'Bonding Program'!$L$32,0)-IF(AND('Bonding Program'!$P$32&lt;&gt;"",Y$3='Bonding Program'!$P$32),'Bonding Program'!$O$32,0)-IF(AND('Bonding Program'!$R$32&lt;&gt;"",Y$3='Bonding Program'!$R$32),'Bonding Program'!$Q$32,0),0)</f>
        <v>0</v>
      </c>
      <c r="Z173" s="19" t="n">
        <f aca="false">IF(AND('Bonding Program'!$S$32=1,Z$3='Bonding Program'!$H$32),'Bonding Program'!$AA$32,0)-IF(Z$3&lt;='Bonding Program'!$C$8,IF(AND('Bonding Program'!$K$32&lt;&gt;"",Z$3='Bonding Program'!$K$32),'Bonding Program'!$J$32,0)-IF(AND('Bonding Program'!$M$32&lt;&gt;"",Z$3='Bonding Program'!$M$32),'Bonding Program'!$L$32,0)-IF(AND('Bonding Program'!$P$32&lt;&gt;"",Z$3='Bonding Program'!$P$32),'Bonding Program'!$O$32,0)-IF(AND('Bonding Program'!$R$32&lt;&gt;"",Z$3='Bonding Program'!$R$32),'Bonding Program'!$Q$32,0),0)</f>
        <v>0</v>
      </c>
      <c r="AA173" s="19" t="n">
        <f aca="false">IF(AND('Bonding Program'!$S$32=1,AA$3='Bonding Program'!$H$32),'Bonding Program'!$AA$32,0)-IF(AA$3&lt;='Bonding Program'!$C$8,IF(AND('Bonding Program'!$K$32&lt;&gt;"",AA$3='Bonding Program'!$K$32),'Bonding Program'!$J$32,0)-IF(AND('Bonding Program'!$M$32&lt;&gt;"",AA$3='Bonding Program'!$M$32),'Bonding Program'!$L$32,0)-IF(AND('Bonding Program'!$P$32&lt;&gt;"",AA$3='Bonding Program'!$P$32),'Bonding Program'!$O$32,0)-IF(AND('Bonding Program'!$R$32&lt;&gt;"",AA$3='Bonding Program'!$R$32),'Bonding Program'!$Q$32,0),0)</f>
        <v>0</v>
      </c>
      <c r="AB173" s="19" t="n">
        <f aca="false">IF(AND('Bonding Program'!$S$32=1,AB$3='Bonding Program'!$H$32),'Bonding Program'!$AA$32,0)-IF(AB$3&lt;='Bonding Program'!$C$8,IF(AND('Bonding Program'!$K$32&lt;&gt;"",AB$3='Bonding Program'!$K$32),'Bonding Program'!$J$32,0)-IF(AND('Bonding Program'!$M$32&lt;&gt;"",AB$3='Bonding Program'!$M$32),'Bonding Program'!$L$32,0)-IF(AND('Bonding Program'!$P$32&lt;&gt;"",AB$3='Bonding Program'!$P$32),'Bonding Program'!$O$32,0)-IF(AND('Bonding Program'!$R$32&lt;&gt;"",AB$3='Bonding Program'!$R$32),'Bonding Program'!$Q$32,0),0)</f>
        <v>0</v>
      </c>
      <c r="AC173" s="19" t="n">
        <f aca="false">IF(AND('Bonding Program'!$S$32=1,AC$3='Bonding Program'!$H$32),'Bonding Program'!$AA$32,0)-IF(AC$3&lt;='Bonding Program'!$C$8,IF(AND('Bonding Program'!$K$32&lt;&gt;"",AC$3='Bonding Program'!$K$32),'Bonding Program'!$J$32,0)-IF(AND('Bonding Program'!$M$32&lt;&gt;"",AC$3='Bonding Program'!$M$32),'Bonding Program'!$L$32,0)-IF(AND('Bonding Program'!$P$32&lt;&gt;"",AC$3='Bonding Program'!$P$32),'Bonding Program'!$O$32,0)-IF(AND('Bonding Program'!$R$32&lt;&gt;"",AC$3='Bonding Program'!$R$32),'Bonding Program'!$Q$32,0),0)</f>
        <v>0</v>
      </c>
      <c r="AD173" s="19" t="n">
        <f aca="false">IF(AND('Bonding Program'!$S$32=1,AD$3='Bonding Program'!$H$32),'Bonding Program'!$AA$32,0)-IF(AD$3&lt;='Bonding Program'!$C$8,IF(AND('Bonding Program'!$K$32&lt;&gt;"",AD$3='Bonding Program'!$K$32),'Bonding Program'!$J$32,0)-IF(AND('Bonding Program'!$M$32&lt;&gt;"",AD$3='Bonding Program'!$M$32),'Bonding Program'!$L$32,0)-IF(AND('Bonding Program'!$P$32&lt;&gt;"",AD$3='Bonding Program'!$P$32),'Bonding Program'!$O$32,0)-IF(AND('Bonding Program'!$R$32&lt;&gt;"",AD$3='Bonding Program'!$R$32),'Bonding Program'!$Q$32,0),0)</f>
        <v>0</v>
      </c>
      <c r="AE173" s="19" t="n">
        <f aca="false">IF(AND('Bonding Program'!$S$32=1,AE$3='Bonding Program'!$H$32),'Bonding Program'!$AA$32,0)-IF(AE$3&lt;='Bonding Program'!$C$8,IF(AND('Bonding Program'!$K$32&lt;&gt;"",AE$3='Bonding Program'!$K$32),'Bonding Program'!$J$32,0)-IF(AND('Bonding Program'!$M$32&lt;&gt;"",AE$3='Bonding Program'!$M$32),'Bonding Program'!$L$32,0)-IF(AND('Bonding Program'!$P$32&lt;&gt;"",AE$3='Bonding Program'!$P$32),'Bonding Program'!$O$32,0)-IF(AND('Bonding Program'!$R$32&lt;&gt;"",AE$3='Bonding Program'!$R$32),'Bonding Program'!$Q$32,0),0)</f>
        <v>0</v>
      </c>
      <c r="AF173" s="19" t="n">
        <f aca="false">IF(AND('Bonding Program'!$S$32=1,AF$3='Bonding Program'!$H$32),'Bonding Program'!$AA$32,0)-IF(AF$3&lt;='Bonding Program'!$C$8,IF(AND('Bonding Program'!$K$32&lt;&gt;"",AF$3='Bonding Program'!$K$32),'Bonding Program'!$J$32,0)-IF(AND('Bonding Program'!$M$32&lt;&gt;"",AF$3='Bonding Program'!$M$32),'Bonding Program'!$L$32,0)-IF(AND('Bonding Program'!$P$32&lt;&gt;"",AF$3='Bonding Program'!$P$32),'Bonding Program'!$O$32,0)-IF(AND('Bonding Program'!$R$32&lt;&gt;"",AF$3='Bonding Program'!$R$32),'Bonding Program'!$Q$32,0),0)</f>
        <v>0</v>
      </c>
      <c r="AG173" s="19" t="n">
        <f aca="false">IF(AND('Bonding Program'!$S$32=1,AG$3='Bonding Program'!$H$32),'Bonding Program'!$AA$32,0)-IF(AG$3&lt;='Bonding Program'!$C$8,IF(AND('Bonding Program'!$K$32&lt;&gt;"",AG$3='Bonding Program'!$K$32),'Bonding Program'!$J$32,0)-IF(AND('Bonding Program'!$M$32&lt;&gt;"",AG$3='Bonding Program'!$M$32),'Bonding Program'!$L$32,0)-IF(AND('Bonding Program'!$P$32&lt;&gt;"",AG$3='Bonding Program'!$P$32),'Bonding Program'!$O$32,0)-IF(AND('Bonding Program'!$R$32&lt;&gt;"",AG$3='Bonding Program'!$R$32),'Bonding Program'!$Q$32,0),0)</f>
        <v>0</v>
      </c>
      <c r="AH173" s="19" t="n">
        <f aca="false">IF(AND('Bonding Program'!$S$32=1,AH$3='Bonding Program'!$H$32),'Bonding Program'!$AA$32,0)-IF(AH$3&lt;='Bonding Program'!$C$8,IF(AND('Bonding Program'!$K$32&lt;&gt;"",AH$3='Bonding Program'!$K$32),'Bonding Program'!$J$32,0)-IF(AND('Bonding Program'!$M$32&lt;&gt;"",AH$3='Bonding Program'!$M$32),'Bonding Program'!$L$32,0)-IF(AND('Bonding Program'!$P$32&lt;&gt;"",AH$3='Bonding Program'!$P$32),'Bonding Program'!$O$32,0)-IF(AND('Bonding Program'!$R$32&lt;&gt;"",AH$3='Bonding Program'!$R$32),'Bonding Program'!$Q$32,0),0)</f>
        <v>0</v>
      </c>
      <c r="AI173" s="19" t="n">
        <f aca="false">IF(AND('Bonding Program'!$S$32=1,AI$3='Bonding Program'!$H$32),'Bonding Program'!$AA$32,0)-IF(AI$3&lt;='Bonding Program'!$C$8,IF(AND('Bonding Program'!$K$32&lt;&gt;"",AI$3='Bonding Program'!$K$32),'Bonding Program'!$J$32,0)-IF(AND('Bonding Program'!$M$32&lt;&gt;"",AI$3='Bonding Program'!$M$32),'Bonding Program'!$L$32,0)-IF(AND('Bonding Program'!$P$32&lt;&gt;"",AI$3='Bonding Program'!$P$32),'Bonding Program'!$O$32,0)-IF(AND('Bonding Program'!$R$32&lt;&gt;"",AI$3='Bonding Program'!$R$32),'Bonding Program'!$Q$32,0),0)</f>
        <v>0</v>
      </c>
      <c r="AJ173" s="19" t="n">
        <f aca="false">IF(AND('Bonding Program'!$S$32=1,AJ$3='Bonding Program'!$H$32),'Bonding Program'!$AA$32,0)-IF(AJ$3&lt;='Bonding Program'!$C$8,IF(AND('Bonding Program'!$K$32&lt;&gt;"",AJ$3='Bonding Program'!$K$32),'Bonding Program'!$J$32,0)-IF(AND('Bonding Program'!$M$32&lt;&gt;"",AJ$3='Bonding Program'!$M$32),'Bonding Program'!$L$32,0)-IF(AND('Bonding Program'!$P$32&lt;&gt;"",AJ$3='Bonding Program'!$P$32),'Bonding Program'!$O$32,0)-IF(AND('Bonding Program'!$R$32&lt;&gt;"",AJ$3='Bonding Program'!$R$32),'Bonding Program'!$Q$32,0),0)</f>
        <v>0</v>
      </c>
      <c r="AK173" s="19" t="n">
        <f aca="false">IF(AND('Bonding Program'!$S$32=1,AK$3='Bonding Program'!$H$32),'Bonding Program'!$AA$32,0)-IF(AK$3&lt;='Bonding Program'!$C$8,IF(AND('Bonding Program'!$K$32&lt;&gt;"",AK$3='Bonding Program'!$K$32),'Bonding Program'!$J$32,0)-IF(AND('Bonding Program'!$M$32&lt;&gt;"",AK$3='Bonding Program'!$M$32),'Bonding Program'!$L$32,0)-IF(AND('Bonding Program'!$P$32&lt;&gt;"",AK$3='Bonding Program'!$P$32),'Bonding Program'!$O$32,0)-IF(AND('Bonding Program'!$R$32&lt;&gt;"",AK$3='Bonding Program'!$R$32),'Bonding Program'!$Q$32,0),0)</f>
        <v>0</v>
      </c>
      <c r="AL173" s="19" t="n">
        <f aca="false">IF(AND('Bonding Program'!$S$32=1,AL$3='Bonding Program'!$H$32),'Bonding Program'!$AA$32,0)-IF(AL$3&lt;='Bonding Program'!$C$8,IF(AND('Bonding Program'!$K$32&lt;&gt;"",AL$3='Bonding Program'!$K$32),'Bonding Program'!$J$32,0)-IF(AND('Bonding Program'!$M$32&lt;&gt;"",AL$3='Bonding Program'!$M$32),'Bonding Program'!$L$32,0)-IF(AND('Bonding Program'!$P$32&lt;&gt;"",AL$3='Bonding Program'!$P$32),'Bonding Program'!$O$32,0)-IF(AND('Bonding Program'!$R$32&lt;&gt;"",AL$3='Bonding Program'!$R$32),'Bonding Program'!$Q$32,0),0)</f>
        <v>0</v>
      </c>
      <c r="AM173" s="19" t="n">
        <f aca="false">IF(AND('Bonding Program'!$S$32=1,AM$3='Bonding Program'!$H$32),'Bonding Program'!$AA$32,0)-IF(AM$3&lt;='Bonding Program'!$C$8,IF(AND('Bonding Program'!$K$32&lt;&gt;"",AM$3='Bonding Program'!$K$32),'Bonding Program'!$J$32,0)-IF(AND('Bonding Program'!$M$32&lt;&gt;"",AM$3='Bonding Program'!$M$32),'Bonding Program'!$L$32,0)-IF(AND('Bonding Program'!$P$32&lt;&gt;"",AM$3='Bonding Program'!$P$32),'Bonding Program'!$O$32,0)-IF(AND('Bonding Program'!$R$32&lt;&gt;"",AM$3='Bonding Program'!$R$32),'Bonding Program'!$Q$32,0),0)</f>
        <v>0</v>
      </c>
      <c r="AN173" s="19" t="n">
        <f aca="false">IF(AND('Bonding Program'!$S$32=1,AN$3='Bonding Program'!$H$32),'Bonding Program'!$AA$32,0)-IF(AN$3&lt;='Bonding Program'!$C$8,IF(AND('Bonding Program'!$K$32&lt;&gt;"",AN$3='Bonding Program'!$K$32),'Bonding Program'!$J$32,0)-IF(AND('Bonding Program'!$M$32&lt;&gt;"",AN$3='Bonding Program'!$M$32),'Bonding Program'!$L$32,0)-IF(AND('Bonding Program'!$P$32&lt;&gt;"",AN$3='Bonding Program'!$P$32),'Bonding Program'!$O$32,0)-IF(AND('Bonding Program'!$R$32&lt;&gt;"",AN$3='Bonding Program'!$R$32),'Bonding Program'!$Q$32,0),0)</f>
        <v>0</v>
      </c>
      <c r="AO173" s="19" t="n">
        <f aca="false">IF(AND('Bonding Program'!$S$32=1,AO$3='Bonding Program'!$H$32),'Bonding Program'!$AA$32,0)-IF(AO$3&lt;='Bonding Program'!$C$8,IF(AND('Bonding Program'!$K$32&lt;&gt;"",AO$3='Bonding Program'!$K$32),'Bonding Program'!$J$32,0)-IF(AND('Bonding Program'!$M$32&lt;&gt;"",AO$3='Bonding Program'!$M$32),'Bonding Program'!$L$32,0)-IF(AND('Bonding Program'!$P$32&lt;&gt;"",AO$3='Bonding Program'!$P$32),'Bonding Program'!$O$32,0)-IF(AND('Bonding Program'!$R$32&lt;&gt;"",AO$3='Bonding Program'!$R$32),'Bonding Program'!$Q$32,0),0)</f>
        <v>0</v>
      </c>
      <c r="AP173" s="19" t="n">
        <f aca="false">IF(AND('Bonding Program'!$S$32=1,AP$3='Bonding Program'!$H$32),'Bonding Program'!$AA$32,0)-IF(AP$3&lt;='Bonding Program'!$C$8,IF(AND('Bonding Program'!$K$32&lt;&gt;"",AP$3='Bonding Program'!$K$32),'Bonding Program'!$J$32,0)-IF(AND('Bonding Program'!$M$32&lt;&gt;"",AP$3='Bonding Program'!$M$32),'Bonding Program'!$L$32,0)-IF(AND('Bonding Program'!$P$32&lt;&gt;"",AP$3='Bonding Program'!$P$32),'Bonding Program'!$O$32,0)-IF(AND('Bonding Program'!$R$32&lt;&gt;"",AP$3='Bonding Program'!$R$32),'Bonding Program'!$Q$32,0),0)</f>
        <v>0</v>
      </c>
      <c r="AQ173" s="19" t="n">
        <f aca="false">IF(AND('Bonding Program'!$S$32=1,AQ$3='Bonding Program'!$H$32),'Bonding Program'!$AA$32,0)-IF(AQ$3&lt;='Bonding Program'!$C$8,IF(AND('Bonding Program'!$K$32&lt;&gt;"",AQ$3='Bonding Program'!$K$32),'Bonding Program'!$J$32,0)-IF(AND('Bonding Program'!$M$32&lt;&gt;"",AQ$3='Bonding Program'!$M$32),'Bonding Program'!$L$32,0)-IF(AND('Bonding Program'!$P$32&lt;&gt;"",AQ$3='Bonding Program'!$P$32),'Bonding Program'!$O$32,0)-IF(AND('Bonding Program'!$R$32&lt;&gt;"",AQ$3='Bonding Program'!$R$32),'Bonding Program'!$Q$32,0),0)</f>
        <v>0</v>
      </c>
      <c r="AR173" s="19" t="n">
        <f aca="false">IF(AND('Bonding Program'!$S$32=1,AR$3='Bonding Program'!$H$32),'Bonding Program'!$AA$32,0)-IF(AR$3&lt;='Bonding Program'!$C$8,IF(AND('Bonding Program'!$K$32&lt;&gt;"",AR$3='Bonding Program'!$K$32),'Bonding Program'!$J$32,0)-IF(AND('Bonding Program'!$M$32&lt;&gt;"",AR$3='Bonding Program'!$M$32),'Bonding Program'!$L$32,0)-IF(AND('Bonding Program'!$P$32&lt;&gt;"",AR$3='Bonding Program'!$P$32),'Bonding Program'!$O$32,0)-IF(AND('Bonding Program'!$R$32&lt;&gt;"",AR$3='Bonding Program'!$R$32),'Bonding Program'!$Q$32,0),0)</f>
        <v>0</v>
      </c>
      <c r="AS173" s="19" t="n">
        <f aca="false">IF(AND('Bonding Program'!$S$32=1,AS$3='Bonding Program'!$H$32),'Bonding Program'!$AA$32,0)-IF(AS$3&lt;='Bonding Program'!$C$8,IF(AND('Bonding Program'!$K$32&lt;&gt;"",AS$3='Bonding Program'!$K$32),'Bonding Program'!$J$32,0)-IF(AND('Bonding Program'!$M$32&lt;&gt;"",AS$3='Bonding Program'!$M$32),'Bonding Program'!$L$32,0)-IF(AND('Bonding Program'!$P$32&lt;&gt;"",AS$3='Bonding Program'!$P$32),'Bonding Program'!$O$32,0)-IF(AND('Bonding Program'!$R$32&lt;&gt;"",AS$3='Bonding Program'!$R$32),'Bonding Program'!$Q$32,0),0)</f>
        <v>0</v>
      </c>
      <c r="AT173" s="19" t="n">
        <f aca="false">IF(AND('Bonding Program'!$S$32=1,AT$3='Bonding Program'!$H$32),'Bonding Program'!$AA$32,0)-IF(AT$3&lt;='Bonding Program'!$C$8,IF(AND('Bonding Program'!$K$32&lt;&gt;"",AT$3='Bonding Program'!$K$32),'Bonding Program'!$J$32,0)-IF(AND('Bonding Program'!$M$32&lt;&gt;"",AT$3='Bonding Program'!$M$32),'Bonding Program'!$L$32,0)-IF(AND('Bonding Program'!$P$32&lt;&gt;"",AT$3='Bonding Program'!$P$32),'Bonding Program'!$O$32,0)-IF(AND('Bonding Program'!$R$32&lt;&gt;"",AT$3='Bonding Program'!$R$32),'Bonding Program'!$Q$32,0),0)</f>
        <v>0</v>
      </c>
      <c r="AU173" s="19" t="n">
        <f aca="false">IF(AND('Bonding Program'!$S$32=1,AU$3='Bonding Program'!$H$32),'Bonding Program'!$AA$32,0)-IF(AU$3&lt;='Bonding Program'!$C$8,IF(AND('Bonding Program'!$K$32&lt;&gt;"",AU$3='Bonding Program'!$K$32),'Bonding Program'!$J$32,0)-IF(AND('Bonding Program'!$M$32&lt;&gt;"",AU$3='Bonding Program'!$M$32),'Bonding Program'!$L$32,0)-IF(AND('Bonding Program'!$P$32&lt;&gt;"",AU$3='Bonding Program'!$P$32),'Bonding Program'!$O$32,0)-IF(AND('Bonding Program'!$R$32&lt;&gt;"",AU$3='Bonding Program'!$R$32),'Bonding Program'!$Q$32,0),0)</f>
        <v>0</v>
      </c>
      <c r="AV173" s="19" t="n">
        <f aca="false">IF(AND('Bonding Program'!$S$32=1,AV$3='Bonding Program'!$H$32),'Bonding Program'!$AA$32,0)-IF(AV$3&lt;='Bonding Program'!$C$8,IF(AND('Bonding Program'!$K$32&lt;&gt;"",AV$3='Bonding Program'!$K$32),'Bonding Program'!$J$32,0)-IF(AND('Bonding Program'!$M$32&lt;&gt;"",AV$3='Bonding Program'!$M$32),'Bonding Program'!$L$32,0)-IF(AND('Bonding Program'!$P$32&lt;&gt;"",AV$3='Bonding Program'!$P$32),'Bonding Program'!$O$32,0)-IF(AND('Bonding Program'!$R$32&lt;&gt;"",AV$3='Bonding Program'!$R$32),'Bonding Program'!$Q$32,0),0)</f>
        <v>0</v>
      </c>
      <c r="AW173" s="19" t="n">
        <f aca="false">IF(AND('Bonding Program'!$S$32=1,AW$3='Bonding Program'!$H$32),'Bonding Program'!$AA$32,0)-IF(AW$3&lt;='Bonding Program'!$C$8,IF(AND('Bonding Program'!$K$32&lt;&gt;"",AW$3='Bonding Program'!$K$32),'Bonding Program'!$J$32,0)-IF(AND('Bonding Program'!$M$32&lt;&gt;"",AW$3='Bonding Program'!$M$32),'Bonding Program'!$L$32,0)-IF(AND('Bonding Program'!$P$32&lt;&gt;"",AW$3='Bonding Program'!$P$32),'Bonding Program'!$O$32,0)-IF(AND('Bonding Program'!$R$32&lt;&gt;"",AW$3='Bonding Program'!$R$32),'Bonding Program'!$Q$32,0),0)</f>
        <v>0</v>
      </c>
      <c r="AX173" s="19" t="n">
        <f aca="false">IF(AND('Bonding Program'!$S$32=1,AX$3='Bonding Program'!$H$32),'Bonding Program'!$AA$32,0)-IF(AX$3&lt;='Bonding Program'!$C$8,IF(AND('Bonding Program'!$K$32&lt;&gt;"",AX$3='Bonding Program'!$K$32),'Bonding Program'!$J$32,0)-IF(AND('Bonding Program'!$M$32&lt;&gt;"",AX$3='Bonding Program'!$M$32),'Bonding Program'!$L$32,0)-IF(AND('Bonding Program'!$P$32&lt;&gt;"",AX$3='Bonding Program'!$P$32),'Bonding Program'!$O$32,0)-IF(AND('Bonding Program'!$R$32&lt;&gt;"",AX$3='Bonding Program'!$R$32),'Bonding Program'!$Q$32,0),0)</f>
        <v>0</v>
      </c>
      <c r="AY173" s="19" t="n">
        <f aca="false">IF(AND('Bonding Program'!$S$32=1,AY$3='Bonding Program'!$H$32),'Bonding Program'!$AA$32,0)-IF(AY$3&lt;='Bonding Program'!$C$8,IF(AND('Bonding Program'!$K$32&lt;&gt;"",AY$3='Bonding Program'!$K$32),'Bonding Program'!$J$32,0)-IF(AND('Bonding Program'!$M$32&lt;&gt;"",AY$3='Bonding Program'!$M$32),'Bonding Program'!$L$32,0)-IF(AND('Bonding Program'!$P$32&lt;&gt;"",AY$3='Bonding Program'!$P$32),'Bonding Program'!$O$32,0)-IF(AND('Bonding Program'!$R$32&lt;&gt;"",AY$3='Bonding Program'!$R$32),'Bonding Program'!$Q$32,0),0)</f>
        <v>0</v>
      </c>
      <c r="AZ173" s="19" t="n">
        <f aca="false">IF(AND('Bonding Program'!$S$32=1,AZ$3='Bonding Program'!$H$32),'Bonding Program'!$AA$32,0)-IF(AZ$3&lt;='Bonding Program'!$C$8,IF(AND('Bonding Program'!$K$32&lt;&gt;"",AZ$3='Bonding Program'!$K$32),'Bonding Program'!$J$32,0)-IF(AND('Bonding Program'!$M$32&lt;&gt;"",AZ$3='Bonding Program'!$M$32),'Bonding Program'!$L$32,0)-IF(AND('Bonding Program'!$P$32&lt;&gt;"",AZ$3='Bonding Program'!$P$32),'Bonding Program'!$O$32,0)-IF(AND('Bonding Program'!$R$32&lt;&gt;"",AZ$3='Bonding Program'!$R$32),'Bonding Program'!$Q$32,0),0)</f>
        <v>0</v>
      </c>
      <c r="BA173" s="19" t="n">
        <f aca="false">IF(AND('Bonding Program'!$S$32=1,BA$3='Bonding Program'!$H$32),'Bonding Program'!$AA$32,0)-IF(BA$3&lt;='Bonding Program'!$C$8,IF(AND('Bonding Program'!$K$32&lt;&gt;"",BA$3='Bonding Program'!$K$32),'Bonding Program'!$J$32,0)-IF(AND('Bonding Program'!$M$32&lt;&gt;"",BA$3='Bonding Program'!$M$32),'Bonding Program'!$L$32,0)-IF(AND('Bonding Program'!$P$32&lt;&gt;"",BA$3='Bonding Program'!$P$32),'Bonding Program'!$O$32,0)-IF(AND('Bonding Program'!$R$32&lt;&gt;"",BA$3='Bonding Program'!$R$32),'Bonding Program'!$Q$32,0),0)</f>
        <v>0</v>
      </c>
      <c r="BB173" s="19" t="n">
        <f aca="false">IF(AND('Bonding Program'!$S$32=1,BB$3='Bonding Program'!$H$32),'Bonding Program'!$AA$32,0)-IF(BB$3&lt;='Bonding Program'!$C$8,IF(AND('Bonding Program'!$K$32&lt;&gt;"",BB$3='Bonding Program'!$K$32),'Bonding Program'!$J$32,0)-IF(AND('Bonding Program'!$M$32&lt;&gt;"",BB$3='Bonding Program'!$M$32),'Bonding Program'!$L$32,0)-IF(AND('Bonding Program'!$P$32&lt;&gt;"",BB$3='Bonding Program'!$P$32),'Bonding Program'!$O$32,0)-IF(AND('Bonding Program'!$R$32&lt;&gt;"",BB$3='Bonding Program'!$R$32),'Bonding Program'!$Q$32,0),0)</f>
        <v>0</v>
      </c>
      <c r="BC173" s="19" t="n">
        <f aca="false">IF(AND('Bonding Program'!$S$32=1,BC$3='Bonding Program'!$H$32),'Bonding Program'!$AA$32,0)-IF(BC$3&lt;='Bonding Program'!$C$8,IF(AND('Bonding Program'!$K$32&lt;&gt;"",BC$3='Bonding Program'!$K$32),'Bonding Program'!$J$32,0)-IF(AND('Bonding Program'!$M$32&lt;&gt;"",BC$3='Bonding Program'!$M$32),'Bonding Program'!$L$32,0)-IF(AND('Bonding Program'!$P$32&lt;&gt;"",BC$3='Bonding Program'!$P$32),'Bonding Program'!$O$32,0)-IF(AND('Bonding Program'!$R$32&lt;&gt;"",BC$3='Bonding Program'!$R$32),'Bonding Program'!$Q$32,0),0)</f>
        <v>0</v>
      </c>
      <c r="BD173" s="19" t="n">
        <f aca="false">IF(AND('Bonding Program'!$S$32=1,BD$3='Bonding Program'!$H$32),'Bonding Program'!$AA$32,0)-IF(BD$3&lt;='Bonding Program'!$C$8,IF(AND('Bonding Program'!$K$32&lt;&gt;"",BD$3='Bonding Program'!$K$32),'Bonding Program'!$J$32,0)-IF(AND('Bonding Program'!$M$32&lt;&gt;"",BD$3='Bonding Program'!$M$32),'Bonding Program'!$L$32,0)-IF(AND('Bonding Program'!$P$32&lt;&gt;"",BD$3='Bonding Program'!$P$32),'Bonding Program'!$O$32,0)-IF(AND('Bonding Program'!$R$32&lt;&gt;"",BD$3='Bonding Program'!$R$32),'Bonding Program'!$Q$32,0),0)</f>
        <v>0</v>
      </c>
      <c r="BE173" s="19" t="n">
        <f aca="false">IF(AND('Bonding Program'!$S$32=1,BE$3='Bonding Program'!$H$32),'Bonding Program'!$AA$32,0)-IF(BE$3&lt;='Bonding Program'!$C$8,IF(AND('Bonding Program'!$K$32&lt;&gt;"",BE$3='Bonding Program'!$K$32),'Bonding Program'!$J$32,0)-IF(AND('Bonding Program'!$M$32&lt;&gt;"",BE$3='Bonding Program'!$M$32),'Bonding Program'!$L$32,0)-IF(AND('Bonding Program'!$P$32&lt;&gt;"",BE$3='Bonding Program'!$P$32),'Bonding Program'!$O$32,0)-IF(AND('Bonding Program'!$R$32&lt;&gt;"",BE$3='Bonding Program'!$R$32),'Bonding Program'!$Q$32,0),0)</f>
        <v>0</v>
      </c>
      <c r="BF173" s="19" t="n">
        <f aca="false">IF(AND('Bonding Program'!$S$32=1,BF$3='Bonding Program'!$H$32),'Bonding Program'!$AA$32,0)-IF(BF$3&lt;='Bonding Program'!$C$8,IF(AND('Bonding Program'!$K$32&lt;&gt;"",BF$3='Bonding Program'!$K$32),'Bonding Program'!$J$32,0)-IF(AND('Bonding Program'!$M$32&lt;&gt;"",BF$3='Bonding Program'!$M$32),'Bonding Program'!$L$32,0)-IF(AND('Bonding Program'!$P$32&lt;&gt;"",BF$3='Bonding Program'!$P$32),'Bonding Program'!$O$32,0)-IF(AND('Bonding Program'!$R$32&lt;&gt;"",BF$3='Bonding Program'!$R$32),'Bonding Program'!$Q$32,0),0)</f>
        <v>0</v>
      </c>
      <c r="BG173" s="19" t="n">
        <f aca="false">IF(AND('Bonding Program'!$S$32=1,BG$3='Bonding Program'!$H$32),'Bonding Program'!$AA$32,0)-IF(BG$3&lt;='Bonding Program'!$C$8,IF(AND('Bonding Program'!$K$32&lt;&gt;"",BG$3='Bonding Program'!$K$32),'Bonding Program'!$J$32,0)-IF(AND('Bonding Program'!$M$32&lt;&gt;"",BG$3='Bonding Program'!$M$32),'Bonding Program'!$L$32,0)-IF(AND('Bonding Program'!$P$32&lt;&gt;"",BG$3='Bonding Program'!$P$32),'Bonding Program'!$O$32,0)-IF(AND('Bonding Program'!$R$32&lt;&gt;"",BG$3='Bonding Program'!$R$32),'Bonding Program'!$Q$32,0),0)</f>
        <v>0</v>
      </c>
      <c r="BH173" s="19" t="n">
        <f aca="false">IF(AND('Bonding Program'!$S$32=1,BH$3='Bonding Program'!$H$32),'Bonding Program'!$AA$32,0)-IF(BH$3&lt;='Bonding Program'!$C$8,IF(AND('Bonding Program'!$K$32&lt;&gt;"",BH$3='Bonding Program'!$K$32),'Bonding Program'!$J$32,0)-IF(AND('Bonding Program'!$M$32&lt;&gt;"",BH$3='Bonding Program'!$M$32),'Bonding Program'!$L$32,0)-IF(AND('Bonding Program'!$P$32&lt;&gt;"",BH$3='Bonding Program'!$P$32),'Bonding Program'!$O$32,0)-IF(AND('Bonding Program'!$R$32&lt;&gt;"",BH$3='Bonding Program'!$R$32),'Bonding Program'!$Q$32,0),0)</f>
        <v>0</v>
      </c>
      <c r="BI173" s="19" t="n">
        <f aca="false">IF(AND('Bonding Program'!$S$32=1,BI$3='Bonding Program'!$H$32),'Bonding Program'!$AA$32,0)-IF(BI$3&lt;='Bonding Program'!$C$8,IF(AND('Bonding Program'!$K$32&lt;&gt;"",BI$3='Bonding Program'!$K$32),'Bonding Program'!$J$32,0)-IF(AND('Bonding Program'!$M$32&lt;&gt;"",BI$3='Bonding Program'!$M$32),'Bonding Program'!$L$32,0)-IF(AND('Bonding Program'!$P$32&lt;&gt;"",BI$3='Bonding Program'!$P$32),'Bonding Program'!$O$32,0)-IF(AND('Bonding Program'!$R$32&lt;&gt;"",BI$3='Bonding Program'!$R$32),'Bonding Program'!$Q$32,0),0)</f>
        <v>0</v>
      </c>
      <c r="BJ173" s="19" t="n">
        <f aca="false">IF(AND('Bonding Program'!$S$32=1,BJ$3='Bonding Program'!$H$32),'Bonding Program'!$AA$32,0)-IF(BJ$3&lt;='Bonding Program'!$C$8,IF(AND('Bonding Program'!$K$32&lt;&gt;"",BJ$3='Bonding Program'!$K$32),'Bonding Program'!$J$32,0)-IF(AND('Bonding Program'!$M$32&lt;&gt;"",BJ$3='Bonding Program'!$M$32),'Bonding Program'!$L$32,0)-IF(AND('Bonding Program'!$P$32&lt;&gt;"",BJ$3='Bonding Program'!$P$32),'Bonding Program'!$O$32,0)-IF(AND('Bonding Program'!$R$32&lt;&gt;"",BJ$3='Bonding Program'!$R$32),'Bonding Program'!$Q$32,0),0)</f>
        <v>0</v>
      </c>
      <c r="BK173" s="19" t="n">
        <f aca="false">IF(AND('Bonding Program'!$S$32=1,BK$3='Bonding Program'!$H$32),'Bonding Program'!$AA$32,0)-IF(BK$3&lt;='Bonding Program'!$C$8,IF(AND('Bonding Program'!$K$32&lt;&gt;"",BK$3='Bonding Program'!$K$32),'Bonding Program'!$J$32,0)-IF(AND('Bonding Program'!$M$32&lt;&gt;"",BK$3='Bonding Program'!$M$32),'Bonding Program'!$L$32,0)-IF(AND('Bonding Program'!$P$32&lt;&gt;"",BK$3='Bonding Program'!$P$32),'Bonding Program'!$O$32,0)-IF(AND('Bonding Program'!$R$32&lt;&gt;"",BK$3='Bonding Program'!$R$32),'Bonding Program'!$Q$32,0),0)</f>
        <v>0</v>
      </c>
      <c r="BL173" s="19" t="n">
        <f aca="false">IF(AND('Bonding Program'!$S$32=1,BL$3='Bonding Program'!$H$32),'Bonding Program'!$AA$32,0)-IF(BL$3&lt;='Bonding Program'!$C$8,IF(AND('Bonding Program'!$K$32&lt;&gt;"",BL$3='Bonding Program'!$K$32),'Bonding Program'!$J$32,0)-IF(AND('Bonding Program'!$M$32&lt;&gt;"",BL$3='Bonding Program'!$M$32),'Bonding Program'!$L$32,0)-IF(AND('Bonding Program'!$P$32&lt;&gt;"",BL$3='Bonding Program'!$P$32),'Bonding Program'!$O$32,0)-IF(AND('Bonding Program'!$R$32&lt;&gt;"",BL$3='Bonding Program'!$R$32),'Bonding Program'!$Q$32,0),0)</f>
        <v>0</v>
      </c>
      <c r="BM173" s="19" t="n">
        <f aca="false">IF(AND('Bonding Program'!$S$32=1,BM$3='Bonding Program'!$H$32),'Bonding Program'!$AA$32,0)-IF(BM$3&lt;='Bonding Program'!$C$8,IF(AND('Bonding Program'!$K$32&lt;&gt;"",BM$3='Bonding Program'!$K$32),'Bonding Program'!$J$32,0)-IF(AND('Bonding Program'!$M$32&lt;&gt;"",BM$3='Bonding Program'!$M$32),'Bonding Program'!$L$32,0)-IF(AND('Bonding Program'!$P$32&lt;&gt;"",BM$3='Bonding Program'!$P$32),'Bonding Program'!$O$32,0)-IF(AND('Bonding Program'!$R$32&lt;&gt;"",BM$3='Bonding Program'!$R$32),'Bonding Program'!$Q$32,0),0)</f>
        <v>0</v>
      </c>
      <c r="BN173" s="19" t="n">
        <f aca="false">IF(AND('Bonding Program'!$S$32=1,BN$3='Bonding Program'!$H$32),'Bonding Program'!$AA$32,0)-IF(BN$3&lt;='Bonding Program'!$C$8,IF(AND('Bonding Program'!$K$32&lt;&gt;"",BN$3='Bonding Program'!$K$32),'Bonding Program'!$J$32,0)-IF(AND('Bonding Program'!$M$32&lt;&gt;"",BN$3='Bonding Program'!$M$32),'Bonding Program'!$L$32,0)-IF(AND('Bonding Program'!$P$32&lt;&gt;"",BN$3='Bonding Program'!$P$32),'Bonding Program'!$O$32,0)-IF(AND('Bonding Program'!$R$32&lt;&gt;"",BN$3='Bonding Program'!$R$32),'Bonding Program'!$Q$32,0),0)</f>
        <v>0</v>
      </c>
      <c r="BO173" s="19" t="n">
        <f aca="false">IF(AND('Bonding Program'!$S$32=1,BO$3='Bonding Program'!$H$32),'Bonding Program'!$AA$32,0)-IF(BO$3&lt;='Bonding Program'!$C$8,IF(AND('Bonding Program'!$K$32&lt;&gt;"",BO$3='Bonding Program'!$K$32),'Bonding Program'!$J$32,0)-IF(AND('Bonding Program'!$M$32&lt;&gt;"",BO$3='Bonding Program'!$M$32),'Bonding Program'!$L$32,0)-IF(AND('Bonding Program'!$P$32&lt;&gt;"",BO$3='Bonding Program'!$P$32),'Bonding Program'!$O$32,0)-IF(AND('Bonding Program'!$R$32&lt;&gt;"",BO$3='Bonding Program'!$R$32),'Bonding Program'!$Q$32,0),0)</f>
        <v>0</v>
      </c>
      <c r="BP173" s="19" t="n">
        <f aca="false">IF(AND('Bonding Program'!$S$32=1,BP$3='Bonding Program'!$H$32),'Bonding Program'!$AA$32,0)-IF(BP$3&lt;='Bonding Program'!$C$8,IF(AND('Bonding Program'!$K$32&lt;&gt;"",BP$3='Bonding Program'!$K$32),'Bonding Program'!$J$32,0)-IF(AND('Bonding Program'!$M$32&lt;&gt;"",BP$3='Bonding Program'!$M$32),'Bonding Program'!$L$32,0)-IF(AND('Bonding Program'!$P$32&lt;&gt;"",BP$3='Bonding Program'!$P$32),'Bonding Program'!$O$32,0)-IF(AND('Bonding Program'!$R$32&lt;&gt;"",BP$3='Bonding Program'!$R$32),'Bonding Program'!$Q$32,0),0)</f>
        <v>0</v>
      </c>
      <c r="BQ173" s="19" t="n">
        <f aca="false">IF(AND('Bonding Program'!$S$32=1,BQ$3='Bonding Program'!$H$32),'Bonding Program'!$AA$32,0)-IF(BQ$3&lt;='Bonding Program'!$C$8,IF(AND('Bonding Program'!$K$32&lt;&gt;"",BQ$3='Bonding Program'!$K$32),'Bonding Program'!$J$32,0)-IF(AND('Bonding Program'!$M$32&lt;&gt;"",BQ$3='Bonding Program'!$M$32),'Bonding Program'!$L$32,0)-IF(AND('Bonding Program'!$P$32&lt;&gt;"",BQ$3='Bonding Program'!$P$32),'Bonding Program'!$O$32,0)-IF(AND('Bonding Program'!$R$32&lt;&gt;"",BQ$3='Bonding Program'!$R$32),'Bonding Program'!$Q$32,0),0)</f>
        <v>0</v>
      </c>
      <c r="BR173" s="19" t="n">
        <f aca="false">IF(AND('Bonding Program'!$S$32=1,BR$3='Bonding Program'!$H$32),'Bonding Program'!$AA$32,0)-IF(BR$3&lt;='Bonding Program'!$C$8,IF(AND('Bonding Program'!$K$32&lt;&gt;"",BR$3='Bonding Program'!$K$32),'Bonding Program'!$J$32,0)-IF(AND('Bonding Program'!$M$32&lt;&gt;"",BR$3='Bonding Program'!$M$32),'Bonding Program'!$L$32,0)-IF(AND('Bonding Program'!$P$32&lt;&gt;"",BR$3='Bonding Program'!$P$32),'Bonding Program'!$O$32,0)-IF(AND('Bonding Program'!$R$32&lt;&gt;"",BR$3='Bonding Program'!$R$32),'Bonding Program'!$Q$32,0),0)</f>
        <v>0</v>
      </c>
      <c r="BS173" s="19" t="n">
        <f aca="false">IF(AND('Bonding Program'!$S$32=1,BS$3='Bonding Program'!$H$32),'Bonding Program'!$AA$32,0)-IF(BS$3&lt;='Bonding Program'!$C$8,IF(AND('Bonding Program'!$K$32&lt;&gt;"",BS$3='Bonding Program'!$K$32),'Bonding Program'!$J$32,0)-IF(AND('Bonding Program'!$M$32&lt;&gt;"",BS$3='Bonding Program'!$M$32),'Bonding Program'!$L$32,0)-IF(AND('Bonding Program'!$P$32&lt;&gt;"",BS$3='Bonding Program'!$P$32),'Bonding Program'!$O$32,0)-IF(AND('Bonding Program'!$R$32&lt;&gt;"",BS$3='Bonding Program'!$R$32),'Bonding Program'!$Q$32,0),0)</f>
        <v>0</v>
      </c>
      <c r="BT173" s="19" t="n">
        <f aca="false">IF(AND('Bonding Program'!$S$32=1,BT$3='Bonding Program'!$H$32),'Bonding Program'!$AA$32,0)-IF(BT$3&lt;='Bonding Program'!$C$8,IF(AND('Bonding Program'!$K$32&lt;&gt;"",BT$3='Bonding Program'!$K$32),'Bonding Program'!$J$32,0)-IF(AND('Bonding Program'!$M$32&lt;&gt;"",BT$3='Bonding Program'!$M$32),'Bonding Program'!$L$32,0)-IF(AND('Bonding Program'!$P$32&lt;&gt;"",BT$3='Bonding Program'!$P$32),'Bonding Program'!$O$32,0)-IF(AND('Bonding Program'!$R$32&lt;&gt;"",BT$3='Bonding Program'!$R$32),'Bonding Program'!$Q$32,0),0)</f>
        <v>0</v>
      </c>
      <c r="BU173" s="19" t="n">
        <f aca="false">IF(AND('Bonding Program'!$S$32=1,BU$3='Bonding Program'!$H$32),'Bonding Program'!$AA$32,0)-IF(BU$3&lt;='Bonding Program'!$C$8,IF(AND('Bonding Program'!$K$32&lt;&gt;"",BU$3='Bonding Program'!$K$32),'Bonding Program'!$J$32,0)-IF(AND('Bonding Program'!$M$32&lt;&gt;"",BU$3='Bonding Program'!$M$32),'Bonding Program'!$L$32,0)-IF(AND('Bonding Program'!$P$32&lt;&gt;"",BU$3='Bonding Program'!$P$32),'Bonding Program'!$O$32,0)-IF(AND('Bonding Program'!$R$32&lt;&gt;"",BU$3='Bonding Program'!$R$32),'Bonding Program'!$Q$32,0),0)</f>
        <v>0</v>
      </c>
      <c r="BV173" s="19" t="n">
        <f aca="false">IF(AND('Bonding Program'!$S$32=1,BV$3='Bonding Program'!$H$32),'Bonding Program'!$AA$32,0)-IF(BV$3&lt;='Bonding Program'!$C$8,IF(AND('Bonding Program'!$K$32&lt;&gt;"",BV$3='Bonding Program'!$K$32),'Bonding Program'!$J$32,0)-IF(AND('Bonding Program'!$M$32&lt;&gt;"",BV$3='Bonding Program'!$M$32),'Bonding Program'!$L$32,0)-IF(AND('Bonding Program'!$P$32&lt;&gt;"",BV$3='Bonding Program'!$P$32),'Bonding Program'!$O$32,0)-IF(AND('Bonding Program'!$R$32&lt;&gt;"",BV$3='Bonding Program'!$R$32),'Bonding Program'!$Q$32,0),0)</f>
        <v>0</v>
      </c>
      <c r="BW173" s="19" t="n">
        <f aca="false">IF(AND('Bonding Program'!$S$32=1,BW$3='Bonding Program'!$H$32),'Bonding Program'!$AA$32,0)-IF(BW$3&lt;='Bonding Program'!$C$8,IF(AND('Bonding Program'!$K$32&lt;&gt;"",BW$3='Bonding Program'!$K$32),'Bonding Program'!$J$32,0)-IF(AND('Bonding Program'!$M$32&lt;&gt;"",BW$3='Bonding Program'!$M$32),'Bonding Program'!$L$32,0)-IF(AND('Bonding Program'!$P$32&lt;&gt;"",BW$3='Bonding Program'!$P$32),'Bonding Program'!$O$32,0)-IF(AND('Bonding Program'!$R$32&lt;&gt;"",BW$3='Bonding Program'!$R$32),'Bonding Program'!$Q$32,0),0)</f>
        <v>0</v>
      </c>
      <c r="BX173" s="19" t="n">
        <f aca="false">IF(AND('Bonding Program'!$S$32=1,BX$3='Bonding Program'!$H$32),'Bonding Program'!$AA$32,0)-IF(BX$3&lt;='Bonding Program'!$C$8,IF(AND('Bonding Program'!$K$32&lt;&gt;"",BX$3='Bonding Program'!$K$32),'Bonding Program'!$J$32,0)-IF(AND('Bonding Program'!$M$32&lt;&gt;"",BX$3='Bonding Program'!$M$32),'Bonding Program'!$L$32,0)-IF(AND('Bonding Program'!$P$32&lt;&gt;"",BX$3='Bonding Program'!$P$32),'Bonding Program'!$O$32,0)-IF(AND('Bonding Program'!$R$32&lt;&gt;"",BX$3='Bonding Program'!$R$32),'Bonding Program'!$Q$32,0),0)</f>
        <v>0</v>
      </c>
      <c r="BY173" s="19" t="n">
        <f aca="false">IF(AND('Bonding Program'!$S$32=1,BY$3='Bonding Program'!$H$32),'Bonding Program'!$AA$32,0)-IF(BY$3&lt;='Bonding Program'!$C$8,IF(AND('Bonding Program'!$K$32&lt;&gt;"",BY$3='Bonding Program'!$K$32),'Bonding Program'!$J$32,0)-IF(AND('Bonding Program'!$M$32&lt;&gt;"",BY$3='Bonding Program'!$M$32),'Bonding Program'!$L$32,0)-IF(AND('Bonding Program'!$P$32&lt;&gt;"",BY$3='Bonding Program'!$P$32),'Bonding Program'!$O$32,0)-IF(AND('Bonding Program'!$R$32&lt;&gt;"",BY$3='Bonding Program'!$R$32),'Bonding Program'!$Q$32,0),0)</f>
        <v>0</v>
      </c>
      <c r="BZ173" s="19" t="n">
        <f aca="false">IF(AND('Bonding Program'!$S$32=1,BZ$3='Bonding Program'!$H$32),'Bonding Program'!$AA$32,0)-IF(BZ$3&lt;='Bonding Program'!$C$8,IF(AND('Bonding Program'!$K$32&lt;&gt;"",BZ$3='Bonding Program'!$K$32),'Bonding Program'!$J$32,0)-IF(AND('Bonding Program'!$M$32&lt;&gt;"",BZ$3='Bonding Program'!$M$32),'Bonding Program'!$L$32,0)-IF(AND('Bonding Program'!$P$32&lt;&gt;"",BZ$3='Bonding Program'!$P$32),'Bonding Program'!$O$32,0)-IF(AND('Bonding Program'!$R$32&lt;&gt;"",BZ$3='Bonding Program'!$R$32),'Bonding Program'!$Q$32,0),0)</f>
        <v>0</v>
      </c>
      <c r="CA173" s="19" t="n">
        <f aca="false">IF(AND('Bonding Program'!$S$32=1,CA$3='Bonding Program'!$H$32),'Bonding Program'!$AA$32,0)-IF(CA$3&lt;='Bonding Program'!$C$8,IF(AND('Bonding Program'!$K$32&lt;&gt;"",CA$3='Bonding Program'!$K$32),'Bonding Program'!$J$32,0)-IF(AND('Bonding Program'!$M$32&lt;&gt;"",CA$3='Bonding Program'!$M$32),'Bonding Program'!$L$32,0)-IF(AND('Bonding Program'!$P$32&lt;&gt;"",CA$3='Bonding Program'!$P$32),'Bonding Program'!$O$32,0)-IF(AND('Bonding Program'!$R$32&lt;&gt;"",CA$3='Bonding Program'!$R$32),'Bonding Program'!$Q$32,0),0)</f>
        <v>0</v>
      </c>
      <c r="CB173" s="19" t="n">
        <f aca="false">IF(AND('Bonding Program'!$S$32=1,CB$3='Bonding Program'!$H$32),'Bonding Program'!$AA$32,0)-IF(CB$3&lt;='Bonding Program'!$C$8,IF(AND('Bonding Program'!$K$32&lt;&gt;"",CB$3='Bonding Program'!$K$32),'Bonding Program'!$J$32,0)-IF(AND('Bonding Program'!$M$32&lt;&gt;"",CB$3='Bonding Program'!$M$32),'Bonding Program'!$L$32,0)-IF(AND('Bonding Program'!$P$32&lt;&gt;"",CB$3='Bonding Program'!$P$32),'Bonding Program'!$O$32,0)-IF(AND('Bonding Program'!$R$32&lt;&gt;"",CB$3='Bonding Program'!$R$32),'Bonding Program'!$Q$32,0),0)</f>
        <v>0</v>
      </c>
      <c r="CC173" s="19" t="n">
        <f aca="false">IF(AND('Bonding Program'!$S$32=1,CC$3='Bonding Program'!$H$32),'Bonding Program'!$AA$32,0)-IF(CC$3&lt;='Bonding Program'!$C$8,IF(AND('Bonding Program'!$K$32&lt;&gt;"",CC$3='Bonding Program'!$K$32),'Bonding Program'!$J$32,0)-IF(AND('Bonding Program'!$M$32&lt;&gt;"",CC$3='Bonding Program'!$M$32),'Bonding Program'!$L$32,0)-IF(AND('Bonding Program'!$P$32&lt;&gt;"",CC$3='Bonding Program'!$P$32),'Bonding Program'!$O$32,0)-IF(AND('Bonding Program'!$R$32&lt;&gt;"",CC$3='Bonding Program'!$R$32),'Bonding Program'!$Q$32,0),0)</f>
        <v>0</v>
      </c>
      <c r="CD173" s="19" t="n">
        <f aca="false">IF(AND('Bonding Program'!$S$32=1,CD$3='Bonding Program'!$H$32),'Bonding Program'!$AA$32,0)-IF(CD$3&lt;='Bonding Program'!$C$8,IF(AND('Bonding Program'!$K$32&lt;&gt;"",CD$3='Bonding Program'!$K$32),'Bonding Program'!$J$32,0)-IF(AND('Bonding Program'!$M$32&lt;&gt;"",CD$3='Bonding Program'!$M$32),'Bonding Program'!$L$32,0)-IF(AND('Bonding Program'!$P$32&lt;&gt;"",CD$3='Bonding Program'!$P$32),'Bonding Program'!$O$32,0)-IF(AND('Bonding Program'!$R$32&lt;&gt;"",CD$3='Bonding Program'!$R$32),'Bonding Program'!$Q$32,0),0)</f>
        <v>0</v>
      </c>
      <c r="CE173" s="19" t="n">
        <f aca="false">IF(AND('Bonding Program'!$S$32=1,CE$3='Bonding Program'!$H$32),'Bonding Program'!$AA$32,0)-IF(CE$3&lt;='Bonding Program'!$C$8,IF(AND('Bonding Program'!$K$32&lt;&gt;"",CE$3='Bonding Program'!$K$32),'Bonding Program'!$J$32,0)-IF(AND('Bonding Program'!$M$32&lt;&gt;"",CE$3='Bonding Program'!$M$32),'Bonding Program'!$L$32,0)-IF(AND('Bonding Program'!$P$32&lt;&gt;"",CE$3='Bonding Program'!$P$32),'Bonding Program'!$O$32,0)-IF(AND('Bonding Program'!$R$32&lt;&gt;"",CE$3='Bonding Program'!$R$32),'Bonding Program'!$Q$32,0),0)</f>
        <v>0</v>
      </c>
      <c r="CF173" s="19" t="n">
        <f aca="false">IF(AND('Bonding Program'!$S$32=1,CF$3='Bonding Program'!$H$32),'Bonding Program'!$AA$32,0)-IF(CF$3&lt;='Bonding Program'!$C$8,IF(AND('Bonding Program'!$K$32&lt;&gt;"",CF$3='Bonding Program'!$K$32),'Bonding Program'!$J$32,0)-IF(AND('Bonding Program'!$M$32&lt;&gt;"",CF$3='Bonding Program'!$M$32),'Bonding Program'!$L$32,0)-IF(AND('Bonding Program'!$P$32&lt;&gt;"",CF$3='Bonding Program'!$P$32),'Bonding Program'!$O$32,0)-IF(AND('Bonding Program'!$R$32&lt;&gt;"",CF$3='Bonding Program'!$R$32),'Bonding Program'!$Q$32,0),0)</f>
        <v>0</v>
      </c>
      <c r="CG173" s="19" t="n">
        <f aca="false">IF(AND('Bonding Program'!$S$32=1,CG$3='Bonding Program'!$H$32),'Bonding Program'!$AA$32,0)-IF(CG$3&lt;='Bonding Program'!$C$8,IF(AND('Bonding Program'!$K$32&lt;&gt;"",CG$3='Bonding Program'!$K$32),'Bonding Program'!$J$32,0)-IF(AND('Bonding Program'!$M$32&lt;&gt;"",CG$3='Bonding Program'!$M$32),'Bonding Program'!$L$32,0)-IF(AND('Bonding Program'!$P$32&lt;&gt;"",CG$3='Bonding Program'!$P$32),'Bonding Program'!$O$32,0)-IF(AND('Bonding Program'!$R$32&lt;&gt;"",CG$3='Bonding Program'!$R$32),'Bonding Program'!$Q$32,0),0)</f>
        <v>0</v>
      </c>
      <c r="CH173" s="19" t="n">
        <f aca="false">IF(AND('Bonding Program'!$S$32=1,CH$3='Bonding Program'!$H$32),'Bonding Program'!$AA$32,0)-IF(CH$3&lt;='Bonding Program'!$C$8,IF(AND('Bonding Program'!$K$32&lt;&gt;"",CH$3='Bonding Program'!$K$32),'Bonding Program'!$J$32,0)-IF(AND('Bonding Program'!$M$32&lt;&gt;"",CH$3='Bonding Program'!$M$32),'Bonding Program'!$L$32,0)-IF(AND('Bonding Program'!$P$32&lt;&gt;"",CH$3='Bonding Program'!$P$32),'Bonding Program'!$O$32,0)-IF(AND('Bonding Program'!$R$32&lt;&gt;"",CH$3='Bonding Program'!$R$32),'Bonding Program'!$Q$32,0),0)</f>
        <v>0</v>
      </c>
      <c r="CI173" s="19" t="n">
        <f aca="false">IF(AND('Bonding Program'!$S$32=1,CI$3='Bonding Program'!$H$32),'Bonding Program'!$AA$32,0)-IF(CI$3&lt;='Bonding Program'!$C$8,IF(AND('Bonding Program'!$K$32&lt;&gt;"",CI$3='Bonding Program'!$K$32),'Bonding Program'!$J$32,0)-IF(AND('Bonding Program'!$M$32&lt;&gt;"",CI$3='Bonding Program'!$M$32),'Bonding Program'!$L$32,0)-IF(AND('Bonding Program'!$P$32&lt;&gt;"",CI$3='Bonding Program'!$P$32),'Bonding Program'!$O$32,0)-IF(AND('Bonding Program'!$R$32&lt;&gt;"",CI$3='Bonding Program'!$R$32),'Bonding Program'!$Q$32,0),0)</f>
        <v>0</v>
      </c>
      <c r="CJ173" s="19" t="n">
        <f aca="false">IF(AND('Bonding Program'!$S$32=1,CJ$3='Bonding Program'!$H$32),'Bonding Program'!$AA$32,0)-IF(CJ$3&lt;='Bonding Program'!$C$8,IF(AND('Bonding Program'!$K$32&lt;&gt;"",CJ$3='Bonding Program'!$K$32),'Bonding Program'!$J$32,0)-IF(AND('Bonding Program'!$M$32&lt;&gt;"",CJ$3='Bonding Program'!$M$32),'Bonding Program'!$L$32,0)-IF(AND('Bonding Program'!$P$32&lt;&gt;"",CJ$3='Bonding Program'!$P$32),'Bonding Program'!$O$32,0)-IF(AND('Bonding Program'!$R$32&lt;&gt;"",CJ$3='Bonding Program'!$R$32),'Bonding Program'!$Q$32,0),0)</f>
        <v>0</v>
      </c>
      <c r="CK173" s="19" t="n">
        <f aca="false">IF(AND('Bonding Program'!$S$32=1,CK$3='Bonding Program'!$H$32),'Bonding Program'!$AA$32,0)-IF(CK$3&lt;='Bonding Program'!$C$8,IF(AND('Bonding Program'!$K$32&lt;&gt;"",CK$3='Bonding Program'!$K$32),'Bonding Program'!$J$32,0)-IF(AND('Bonding Program'!$M$32&lt;&gt;"",CK$3='Bonding Program'!$M$32),'Bonding Program'!$L$32,0)-IF(AND('Bonding Program'!$P$32&lt;&gt;"",CK$3='Bonding Program'!$P$32),'Bonding Program'!$O$32,0)-IF(AND('Bonding Program'!$R$32&lt;&gt;"",CK$3='Bonding Program'!$R$32),'Bonding Program'!$Q$32,0),0)</f>
        <v>0</v>
      </c>
      <c r="CL173" s="19" t="n">
        <f aca="false">IF(AND('Bonding Program'!$S$32=1,CL$3='Bonding Program'!$H$32),'Bonding Program'!$AA$32,0)-IF(CL$3&lt;='Bonding Program'!$C$8,IF(AND('Bonding Program'!$K$32&lt;&gt;"",CL$3='Bonding Program'!$K$32),'Bonding Program'!$J$32,0)-IF(AND('Bonding Program'!$M$32&lt;&gt;"",CL$3='Bonding Program'!$M$32),'Bonding Program'!$L$32,0)-IF(AND('Bonding Program'!$P$32&lt;&gt;"",CL$3='Bonding Program'!$P$32),'Bonding Program'!$O$32,0)-IF(AND('Bonding Program'!$R$32&lt;&gt;"",CL$3='Bonding Program'!$R$32),'Bonding Program'!$Q$32,0),0)</f>
        <v>0</v>
      </c>
      <c r="CM173" s="19" t="n">
        <f aca="false">IF(AND('Bonding Program'!$S$32=1,CM$3='Bonding Program'!$H$32),'Bonding Program'!$AA$32,0)-IF(CM$3&lt;='Bonding Program'!$C$8,IF(AND('Bonding Program'!$K$32&lt;&gt;"",CM$3='Bonding Program'!$K$32),'Bonding Program'!$J$32,0)-IF(AND('Bonding Program'!$M$32&lt;&gt;"",CM$3='Bonding Program'!$M$32),'Bonding Program'!$L$32,0)-IF(AND('Bonding Program'!$P$32&lt;&gt;"",CM$3='Bonding Program'!$P$32),'Bonding Program'!$O$32,0)-IF(AND('Bonding Program'!$R$32&lt;&gt;"",CM$3='Bonding Program'!$R$32),'Bonding Program'!$Q$32,0),0)</f>
        <v>0</v>
      </c>
      <c r="CN173" s="19" t="n">
        <f aca="false">IF(AND('Bonding Program'!$S$32=1,CN$3='Bonding Program'!$H$32),'Bonding Program'!$AA$32,0)-IF(CN$3&lt;='Bonding Program'!$C$8,IF(AND('Bonding Program'!$K$32&lt;&gt;"",CN$3='Bonding Program'!$K$32),'Bonding Program'!$J$32,0)-IF(AND('Bonding Program'!$M$32&lt;&gt;"",CN$3='Bonding Program'!$M$32),'Bonding Program'!$L$32,0)-IF(AND('Bonding Program'!$P$32&lt;&gt;"",CN$3='Bonding Program'!$P$32),'Bonding Program'!$O$32,0)-IF(AND('Bonding Program'!$R$32&lt;&gt;"",CN$3='Bonding Program'!$R$32),'Bonding Program'!$Q$32,0),0)</f>
        <v>0</v>
      </c>
      <c r="CO173" s="19" t="n">
        <f aca="false">IF(AND('Bonding Program'!$S$32=1,CO$3='Bonding Program'!$H$32),'Bonding Program'!$AA$32,0)-IF(CO$3&lt;='Bonding Program'!$C$8,IF(AND('Bonding Program'!$K$32&lt;&gt;"",CO$3='Bonding Program'!$K$32),'Bonding Program'!$J$32,0)-IF(AND('Bonding Program'!$M$32&lt;&gt;"",CO$3='Bonding Program'!$M$32),'Bonding Program'!$L$32,0)-IF(AND('Bonding Program'!$P$32&lt;&gt;"",CO$3='Bonding Program'!$P$32),'Bonding Program'!$O$32,0)-IF(AND('Bonding Program'!$R$32&lt;&gt;"",CO$3='Bonding Program'!$R$32),'Bonding Program'!$Q$32,0),0)</f>
        <v>0</v>
      </c>
      <c r="CP173" s="19" t="n">
        <f aca="false">IF(AND('Bonding Program'!$S$32=1,CP$3='Bonding Program'!$H$32),'Bonding Program'!$AA$32,0)-IF(CP$3&lt;='Bonding Program'!$C$8,IF(AND('Bonding Program'!$K$32&lt;&gt;"",CP$3='Bonding Program'!$K$32),'Bonding Program'!$J$32,0)-IF(AND('Bonding Program'!$M$32&lt;&gt;"",CP$3='Bonding Program'!$M$32),'Bonding Program'!$L$32,0)-IF(AND('Bonding Program'!$P$32&lt;&gt;"",CP$3='Bonding Program'!$P$32),'Bonding Program'!$O$32,0)-IF(AND('Bonding Program'!$R$32&lt;&gt;"",CP$3='Bonding Program'!$R$32),'Bonding Program'!$Q$32,0),0)</f>
        <v>0</v>
      </c>
      <c r="CQ173" s="19" t="n">
        <f aca="false">IF(AND('Bonding Program'!$S$32=1,CQ$3='Bonding Program'!$H$32),'Bonding Program'!$AA$32,0)-IF(CQ$3&lt;='Bonding Program'!$C$8,IF(AND('Bonding Program'!$K$32&lt;&gt;"",CQ$3='Bonding Program'!$K$32),'Bonding Program'!$J$32,0)-IF(AND('Bonding Program'!$M$32&lt;&gt;"",CQ$3='Bonding Program'!$M$32),'Bonding Program'!$L$32,0)-IF(AND('Bonding Program'!$P$32&lt;&gt;"",CQ$3='Bonding Program'!$P$32),'Bonding Program'!$O$32,0)-IF(AND('Bonding Program'!$R$32&lt;&gt;"",CQ$3='Bonding Program'!$R$32),'Bonding Program'!$Q$32,0),0)</f>
        <v>0</v>
      </c>
      <c r="CR173" s="19" t="n">
        <f aca="false">IF(AND('Bonding Program'!$S$32=1,CR$3='Bonding Program'!$H$32),'Bonding Program'!$AA$32,0)-IF(CR$3&lt;='Bonding Program'!$C$8,IF(AND('Bonding Program'!$K$32&lt;&gt;"",CR$3='Bonding Program'!$K$32),'Bonding Program'!$J$32,0)-IF(AND('Bonding Program'!$M$32&lt;&gt;"",CR$3='Bonding Program'!$M$32),'Bonding Program'!$L$32,0)-IF(AND('Bonding Program'!$P$32&lt;&gt;"",CR$3='Bonding Program'!$P$32),'Bonding Program'!$O$32,0)-IF(AND('Bonding Program'!$R$32&lt;&gt;"",CR$3='Bonding Program'!$R$32),'Bonding Program'!$Q$32,0),0)</f>
        <v>0</v>
      </c>
      <c r="CS173" s="19" t="n">
        <f aca="false">IF(AND('Bonding Program'!$S$32=1,CS$3='Bonding Program'!$H$32),'Bonding Program'!$AA$32,0)-IF(CS$3&lt;='Bonding Program'!$C$8,IF(AND('Bonding Program'!$K$32&lt;&gt;"",CS$3='Bonding Program'!$K$32),'Bonding Program'!$J$32,0)-IF(AND('Bonding Program'!$M$32&lt;&gt;"",CS$3='Bonding Program'!$M$32),'Bonding Program'!$L$32,0)-IF(AND('Bonding Program'!$P$32&lt;&gt;"",CS$3='Bonding Program'!$P$32),'Bonding Program'!$O$32,0)-IF(AND('Bonding Program'!$R$32&lt;&gt;"",CS$3='Bonding Program'!$R$32),'Bonding Program'!$Q$32,0),0)</f>
        <v>0</v>
      </c>
      <c r="CT173" s="19" t="n">
        <f aca="false">IF(AND('Bonding Program'!$S$32=1,CT$3='Bonding Program'!$H$32),'Bonding Program'!$AA$32,0)-IF(CT$3&lt;='Bonding Program'!$C$8,IF(AND('Bonding Program'!$K$32&lt;&gt;"",CT$3='Bonding Program'!$K$32),'Bonding Program'!$J$32,0)-IF(AND('Bonding Program'!$M$32&lt;&gt;"",CT$3='Bonding Program'!$M$32),'Bonding Program'!$L$32,0)-IF(AND('Bonding Program'!$P$32&lt;&gt;"",CT$3='Bonding Program'!$P$32),'Bonding Program'!$O$32,0)-IF(AND('Bonding Program'!$R$32&lt;&gt;"",CT$3='Bonding Program'!$R$32),'Bonding Program'!$Q$32,0),0)</f>
        <v>0</v>
      </c>
      <c r="CU173" s="19" t="n">
        <f aca="false">IF(AND('Bonding Program'!$S$32=1,CU$3='Bonding Program'!$H$32),'Bonding Program'!$AA$32,0)-IF(CU$3&lt;='Bonding Program'!$C$8,IF(AND('Bonding Program'!$K$32&lt;&gt;"",CU$3='Bonding Program'!$K$32),'Bonding Program'!$J$32,0)-IF(AND('Bonding Program'!$M$32&lt;&gt;"",CU$3='Bonding Program'!$M$32),'Bonding Program'!$L$32,0)-IF(AND('Bonding Program'!$P$32&lt;&gt;"",CU$3='Bonding Program'!$P$32),'Bonding Program'!$O$32,0)-IF(AND('Bonding Program'!$R$32&lt;&gt;"",CU$3='Bonding Program'!$R$32),'Bonding Program'!$Q$32,0),0)</f>
        <v>0</v>
      </c>
      <c r="CV173" s="19" t="n">
        <f aca="false">IF(AND('Bonding Program'!$S$32=1,CV$3='Bonding Program'!$H$32),'Bonding Program'!$AA$32,0)-IF(CV$3&lt;='Bonding Program'!$C$8,IF(AND('Bonding Program'!$K$32&lt;&gt;"",CV$3='Bonding Program'!$K$32),'Bonding Program'!$J$32,0)-IF(AND('Bonding Program'!$M$32&lt;&gt;"",CV$3='Bonding Program'!$M$32),'Bonding Program'!$L$32,0)-IF(AND('Bonding Program'!$P$32&lt;&gt;"",CV$3='Bonding Program'!$P$32),'Bonding Program'!$O$32,0)-IF(AND('Bonding Program'!$R$32&lt;&gt;"",CV$3='Bonding Program'!$R$32),'Bonding Program'!$Q$32,0),0)</f>
        <v>0</v>
      </c>
      <c r="CW173" s="19" t="n">
        <f aca="false">IF(AND('Bonding Program'!$S$32=1,CW$3='Bonding Program'!$H$32),'Bonding Program'!$AA$32,0)-IF(CW$3&lt;='Bonding Program'!$C$8,IF(AND('Bonding Program'!$K$32&lt;&gt;"",CW$3='Bonding Program'!$K$32),'Bonding Program'!$J$32,0)-IF(AND('Bonding Program'!$M$32&lt;&gt;"",CW$3='Bonding Program'!$M$32),'Bonding Program'!$L$32,0)-IF(AND('Bonding Program'!$P$32&lt;&gt;"",CW$3='Bonding Program'!$P$32),'Bonding Program'!$O$32,0)-IF(AND('Bonding Program'!$R$32&lt;&gt;"",CW$3='Bonding Program'!$R$32),'Bonding Program'!$Q$32,0),0)</f>
        <v>0</v>
      </c>
      <c r="CX173" s="19" t="n">
        <f aca="false">IF(AND('Bonding Program'!$S$32=1,CX$3='Bonding Program'!$H$32),'Bonding Program'!$AA$32,0)-IF(CX$3&lt;='Bonding Program'!$C$8,IF(AND('Bonding Program'!$K$32&lt;&gt;"",CX$3='Bonding Program'!$K$32),'Bonding Program'!$J$32,0)-IF(AND('Bonding Program'!$M$32&lt;&gt;"",CX$3='Bonding Program'!$M$32),'Bonding Program'!$L$32,0)-IF(AND('Bonding Program'!$P$32&lt;&gt;"",CX$3='Bonding Program'!$P$32),'Bonding Program'!$O$32,0)-IF(AND('Bonding Program'!$R$32&lt;&gt;"",CX$3='Bonding Program'!$R$32),'Bonding Program'!$Q$32,0),0)</f>
        <v>0</v>
      </c>
      <c r="CY173" s="19" t="n">
        <f aca="false">IF(AND('Bonding Program'!$S$32=1,CY$3='Bonding Program'!$H$32),'Bonding Program'!$AA$32,0)-IF(CY$3&lt;='Bonding Program'!$C$8,IF(AND('Bonding Program'!$K$32&lt;&gt;"",CY$3='Bonding Program'!$K$32),'Bonding Program'!$J$32,0)-IF(AND('Bonding Program'!$M$32&lt;&gt;"",CY$3='Bonding Program'!$M$32),'Bonding Program'!$L$32,0)-IF(AND('Bonding Program'!$P$32&lt;&gt;"",CY$3='Bonding Program'!$P$32),'Bonding Program'!$O$32,0)-IF(AND('Bonding Program'!$R$32&lt;&gt;"",CY$3='Bonding Program'!$R$32),'Bonding Program'!$Q$32,0),0)</f>
        <v>0</v>
      </c>
      <c r="CZ173" s="19" t="n">
        <f aca="false">IF(AND('Bonding Program'!$S$32=1,CZ$3='Bonding Program'!$H$32),'Bonding Program'!$AA$32,0)-IF(CZ$3&lt;='Bonding Program'!$C$8,IF(AND('Bonding Program'!$K$32&lt;&gt;"",CZ$3='Bonding Program'!$K$32),'Bonding Program'!$J$32,0)-IF(AND('Bonding Program'!$M$32&lt;&gt;"",CZ$3='Bonding Program'!$M$32),'Bonding Program'!$L$32,0)-IF(AND('Bonding Program'!$P$32&lt;&gt;"",CZ$3='Bonding Program'!$P$32),'Bonding Program'!$O$32,0)-IF(AND('Bonding Program'!$R$32&lt;&gt;"",CZ$3='Bonding Program'!$R$32),'Bonding Program'!$Q$32,0),0)</f>
        <v>0</v>
      </c>
      <c r="DA173" s="19" t="n">
        <f aca="false">IF(AND('Bonding Program'!$S$32=1,DA$3='Bonding Program'!$H$32),'Bonding Program'!$AA$32,0)-IF(DA$3&lt;='Bonding Program'!$C$8,IF(AND('Bonding Program'!$K$32&lt;&gt;"",DA$3='Bonding Program'!$K$32),'Bonding Program'!$J$32,0)-IF(AND('Bonding Program'!$M$32&lt;&gt;"",DA$3='Bonding Program'!$M$32),'Bonding Program'!$L$32,0)-IF(AND('Bonding Program'!$P$32&lt;&gt;"",DA$3='Bonding Program'!$P$32),'Bonding Program'!$O$32,0)-IF(AND('Bonding Program'!$R$32&lt;&gt;"",DA$3='Bonding Program'!$R$32),'Bonding Program'!$Q$32,0),0)</f>
        <v>0</v>
      </c>
      <c r="DB173" s="19" t="n">
        <f aca="false">IF(AND('Bonding Program'!$S$32=1,DB$3='Bonding Program'!$H$32),'Bonding Program'!$AA$32,0)-IF(DB$3&lt;='Bonding Program'!$C$8,IF(AND('Bonding Program'!$K$32&lt;&gt;"",DB$3='Bonding Program'!$K$32),'Bonding Program'!$J$32,0)-IF(AND('Bonding Program'!$M$32&lt;&gt;"",DB$3='Bonding Program'!$M$32),'Bonding Program'!$L$32,0)-IF(AND('Bonding Program'!$P$32&lt;&gt;"",DB$3='Bonding Program'!$P$32),'Bonding Program'!$O$32,0)-IF(AND('Bonding Program'!$R$32&lt;&gt;"",DB$3='Bonding Program'!$R$32),'Bonding Program'!$Q$32,0),0)</f>
        <v>0</v>
      </c>
      <c r="DC173" s="19" t="n">
        <f aca="false">IF(AND('Bonding Program'!$S$32=1,DC$3='Bonding Program'!$H$32),'Bonding Program'!$AA$32,0)-IF(DC$3&lt;='Bonding Program'!$C$8,IF(AND('Bonding Program'!$K$32&lt;&gt;"",DC$3='Bonding Program'!$K$32),'Bonding Program'!$J$32,0)-IF(AND('Bonding Program'!$M$32&lt;&gt;"",DC$3='Bonding Program'!$M$32),'Bonding Program'!$L$32,0)-IF(AND('Bonding Program'!$P$32&lt;&gt;"",DC$3='Bonding Program'!$P$32),'Bonding Program'!$O$32,0)-IF(AND('Bonding Program'!$R$32&lt;&gt;"",DC$3='Bonding Program'!$R$32),'Bonding Program'!$Q$32,0),0)</f>
        <v>0</v>
      </c>
      <c r="DD173" s="19" t="n">
        <f aca="false">IF(AND('Bonding Program'!$S$32=1,DD$3='Bonding Program'!$H$32),'Bonding Program'!$AA$32,0)-IF(DD$3&lt;='Bonding Program'!$C$8,IF(AND('Bonding Program'!$K$32&lt;&gt;"",DD$3='Bonding Program'!$K$32),'Bonding Program'!$J$32,0)-IF(AND('Bonding Program'!$M$32&lt;&gt;"",DD$3='Bonding Program'!$M$32),'Bonding Program'!$L$32,0)-IF(AND('Bonding Program'!$P$32&lt;&gt;"",DD$3='Bonding Program'!$P$32),'Bonding Program'!$O$32,0)-IF(AND('Bonding Program'!$R$32&lt;&gt;"",DD$3='Bonding Program'!$R$32),'Bonding Program'!$Q$32,0),0)</f>
        <v>0</v>
      </c>
      <c r="DE173" s="19" t="n">
        <f aca="false">IF(AND('Bonding Program'!$S$32=1,DE$3='Bonding Program'!$H$32),'Bonding Program'!$AA$32,0)-IF(DE$3&lt;='Bonding Program'!$C$8,IF(AND('Bonding Program'!$K$32&lt;&gt;"",DE$3='Bonding Program'!$K$32),'Bonding Program'!$J$32,0)-IF(AND('Bonding Program'!$M$32&lt;&gt;"",DE$3='Bonding Program'!$M$32),'Bonding Program'!$L$32,0)-IF(AND('Bonding Program'!$P$32&lt;&gt;"",DE$3='Bonding Program'!$P$32),'Bonding Program'!$O$32,0)-IF(AND('Bonding Program'!$R$32&lt;&gt;"",DE$3='Bonding Program'!$R$32),'Bonding Program'!$Q$32,0),0)</f>
        <v>0</v>
      </c>
    </row>
    <row r="174" customFormat="false" ht="15" hidden="false" customHeight="true" outlineLevel="1" collapsed="false">
      <c r="A174" s="28" t="s">
        <v>29</v>
      </c>
      <c r="B174" s="19" t="n">
        <f aca="false">IF(AND('Bonding Program'!$S$33=1,B$3='Bonding Program'!$H$33),'Bonding Program'!$AA$33,0)-IF(B$3&lt;='Bonding Program'!$C$8,IF(AND('Bonding Program'!$K$33&lt;&gt;"",B$3='Bonding Program'!$K$33),'Bonding Program'!$J$33,0)-IF(AND('Bonding Program'!$M$33&lt;&gt;"",B$3='Bonding Program'!$M$33),'Bonding Program'!$L$33,0)-IF(AND('Bonding Program'!$P$33&lt;&gt;"",B$3='Bonding Program'!$P$33),'Bonding Program'!$O$33,0)-IF(AND('Bonding Program'!$R$33&lt;&gt;"",B$3='Bonding Program'!$R$33),'Bonding Program'!$Q$33,0),0)</f>
        <v>0</v>
      </c>
      <c r="C174" s="19" t="n">
        <f aca="false">IF(AND('Bonding Program'!$S$33=1,C$3='Bonding Program'!$H$33),'Bonding Program'!$AA$33,0)-IF(C$3&lt;='Bonding Program'!$C$8,IF(AND('Bonding Program'!$K$33&lt;&gt;"",C$3='Bonding Program'!$K$33),'Bonding Program'!$J$33,0)-IF(AND('Bonding Program'!$M$33&lt;&gt;"",C$3='Bonding Program'!$M$33),'Bonding Program'!$L$33,0)-IF(AND('Bonding Program'!$P$33&lt;&gt;"",C$3='Bonding Program'!$P$33),'Bonding Program'!$O$33,0)-IF(AND('Bonding Program'!$R$33&lt;&gt;"",C$3='Bonding Program'!$R$33),'Bonding Program'!$Q$33,0),0)</f>
        <v>0</v>
      </c>
      <c r="D174" s="19" t="n">
        <f aca="false">IF(AND('Bonding Program'!$S$33=1,D$3='Bonding Program'!$H$33),'Bonding Program'!$AA$33,0)-IF(D$3&lt;='Bonding Program'!$C$8,IF(AND('Bonding Program'!$K$33&lt;&gt;"",D$3='Bonding Program'!$K$33),'Bonding Program'!$J$33,0)-IF(AND('Bonding Program'!$M$33&lt;&gt;"",D$3='Bonding Program'!$M$33),'Bonding Program'!$L$33,0)-IF(AND('Bonding Program'!$P$33&lt;&gt;"",D$3='Bonding Program'!$P$33),'Bonding Program'!$O$33,0)-IF(AND('Bonding Program'!$R$33&lt;&gt;"",D$3='Bonding Program'!$R$33),'Bonding Program'!$Q$33,0),0)</f>
        <v>0</v>
      </c>
      <c r="E174" s="19" t="n">
        <f aca="false">IF(AND('Bonding Program'!$S$33=1,E$3='Bonding Program'!$H$33),'Bonding Program'!$AA$33,0)-IF(E$3&lt;='Bonding Program'!$C$8,IF(AND('Bonding Program'!$K$33&lt;&gt;"",E$3='Bonding Program'!$K$33),'Bonding Program'!$J$33,0)-IF(AND('Bonding Program'!$M$33&lt;&gt;"",E$3='Bonding Program'!$M$33),'Bonding Program'!$L$33,0)-IF(AND('Bonding Program'!$P$33&lt;&gt;"",E$3='Bonding Program'!$P$33),'Bonding Program'!$O$33,0)-IF(AND('Bonding Program'!$R$33&lt;&gt;"",E$3='Bonding Program'!$R$33),'Bonding Program'!$Q$33,0),0)</f>
        <v>0</v>
      </c>
      <c r="F174" s="19" t="n">
        <f aca="false">IF(AND('Bonding Program'!$S$33=1,F$3='Bonding Program'!$H$33),'Bonding Program'!$AA$33,0)-IF(F$3&lt;='Bonding Program'!$C$8,IF(AND('Bonding Program'!$K$33&lt;&gt;"",F$3='Bonding Program'!$K$33),'Bonding Program'!$J$33,0)-IF(AND('Bonding Program'!$M$33&lt;&gt;"",F$3='Bonding Program'!$M$33),'Bonding Program'!$L$33,0)-IF(AND('Bonding Program'!$P$33&lt;&gt;"",F$3='Bonding Program'!$P$33),'Bonding Program'!$O$33,0)-IF(AND('Bonding Program'!$R$33&lt;&gt;"",F$3='Bonding Program'!$R$33),'Bonding Program'!$Q$33,0),0)</f>
        <v>0</v>
      </c>
      <c r="G174" s="19" t="n">
        <f aca="false">IF(AND('Bonding Program'!$S$33=1,G$3='Bonding Program'!$H$33),'Bonding Program'!$AA$33,0)-IF(G$3&lt;='Bonding Program'!$C$8,IF(AND('Bonding Program'!$K$33&lt;&gt;"",G$3='Bonding Program'!$K$33),'Bonding Program'!$J$33,0)-IF(AND('Bonding Program'!$M$33&lt;&gt;"",G$3='Bonding Program'!$M$33),'Bonding Program'!$L$33,0)-IF(AND('Bonding Program'!$P$33&lt;&gt;"",G$3='Bonding Program'!$P$33),'Bonding Program'!$O$33,0)-IF(AND('Bonding Program'!$R$33&lt;&gt;"",G$3='Bonding Program'!$R$33),'Bonding Program'!$Q$33,0),0)</f>
        <v>0</v>
      </c>
      <c r="H174" s="19" t="n">
        <f aca="false">IF(AND('Bonding Program'!$S$33=1,H$3='Bonding Program'!$H$33),'Bonding Program'!$AA$33,0)-IF(H$3&lt;='Bonding Program'!$C$8,IF(AND('Bonding Program'!$K$33&lt;&gt;"",H$3='Bonding Program'!$K$33),'Bonding Program'!$J$33,0)-IF(AND('Bonding Program'!$M$33&lt;&gt;"",H$3='Bonding Program'!$M$33),'Bonding Program'!$L$33,0)-IF(AND('Bonding Program'!$P$33&lt;&gt;"",H$3='Bonding Program'!$P$33),'Bonding Program'!$O$33,0)-IF(AND('Bonding Program'!$R$33&lt;&gt;"",H$3='Bonding Program'!$R$33),'Bonding Program'!$Q$33,0),0)</f>
        <v>0</v>
      </c>
      <c r="I174" s="19" t="n">
        <f aca="false">IF(AND('Bonding Program'!$S$33=1,I$3='Bonding Program'!$H$33),'Bonding Program'!$AA$33,0)-IF(I$3&lt;='Bonding Program'!$C$8,IF(AND('Bonding Program'!$K$33&lt;&gt;"",I$3='Bonding Program'!$K$33),'Bonding Program'!$J$33,0)-IF(AND('Bonding Program'!$M$33&lt;&gt;"",I$3='Bonding Program'!$M$33),'Bonding Program'!$L$33,0)-IF(AND('Bonding Program'!$P$33&lt;&gt;"",I$3='Bonding Program'!$P$33),'Bonding Program'!$O$33,0)-IF(AND('Bonding Program'!$R$33&lt;&gt;"",I$3='Bonding Program'!$R$33),'Bonding Program'!$Q$33,0),0)</f>
        <v>0</v>
      </c>
      <c r="J174" s="19" t="n">
        <f aca="false">IF(AND('Bonding Program'!$S$33=1,J$3='Bonding Program'!$H$33),'Bonding Program'!$AA$33,0)-IF(J$3&lt;='Bonding Program'!$C$8,IF(AND('Bonding Program'!$K$33&lt;&gt;"",J$3='Bonding Program'!$K$33),'Bonding Program'!$J$33,0)-IF(AND('Bonding Program'!$M$33&lt;&gt;"",J$3='Bonding Program'!$M$33),'Bonding Program'!$L$33,0)-IF(AND('Bonding Program'!$P$33&lt;&gt;"",J$3='Bonding Program'!$P$33),'Bonding Program'!$O$33,0)-IF(AND('Bonding Program'!$R$33&lt;&gt;"",J$3='Bonding Program'!$R$33),'Bonding Program'!$Q$33,0),0)</f>
        <v>0</v>
      </c>
      <c r="K174" s="19" t="n">
        <f aca="false">IF(AND('Bonding Program'!$S$33=1,K$3='Bonding Program'!$H$33),'Bonding Program'!$AA$33,0)-IF(K$3&lt;='Bonding Program'!$C$8,IF(AND('Bonding Program'!$K$33&lt;&gt;"",K$3='Bonding Program'!$K$33),'Bonding Program'!$J$33,0)-IF(AND('Bonding Program'!$M$33&lt;&gt;"",K$3='Bonding Program'!$M$33),'Bonding Program'!$L$33,0)-IF(AND('Bonding Program'!$P$33&lt;&gt;"",K$3='Bonding Program'!$P$33),'Bonding Program'!$O$33,0)-IF(AND('Bonding Program'!$R$33&lt;&gt;"",K$3='Bonding Program'!$R$33),'Bonding Program'!$Q$33,0),0)</f>
        <v>0</v>
      </c>
      <c r="L174" s="19" t="n">
        <f aca="false">IF(AND('Bonding Program'!$S$33=1,L$3='Bonding Program'!$H$33),'Bonding Program'!$AA$33,0)-IF(L$3&lt;='Bonding Program'!$C$8,IF(AND('Bonding Program'!$K$33&lt;&gt;"",L$3='Bonding Program'!$K$33),'Bonding Program'!$J$33,0)-IF(AND('Bonding Program'!$M$33&lt;&gt;"",L$3='Bonding Program'!$M$33),'Bonding Program'!$L$33,0)-IF(AND('Bonding Program'!$P$33&lt;&gt;"",L$3='Bonding Program'!$P$33),'Bonding Program'!$O$33,0)-IF(AND('Bonding Program'!$R$33&lt;&gt;"",L$3='Bonding Program'!$R$33),'Bonding Program'!$Q$33,0),0)</f>
        <v>0</v>
      </c>
      <c r="M174" s="19" t="n">
        <f aca="false">IF(AND('Bonding Program'!$S$33=1,M$3='Bonding Program'!$H$33),'Bonding Program'!$AA$33,0)-IF(M$3&lt;='Bonding Program'!$C$8,IF(AND('Bonding Program'!$K$33&lt;&gt;"",M$3='Bonding Program'!$K$33),'Bonding Program'!$J$33,0)-IF(AND('Bonding Program'!$M$33&lt;&gt;"",M$3='Bonding Program'!$M$33),'Bonding Program'!$L$33,0)-IF(AND('Bonding Program'!$P$33&lt;&gt;"",M$3='Bonding Program'!$P$33),'Bonding Program'!$O$33,0)-IF(AND('Bonding Program'!$R$33&lt;&gt;"",M$3='Bonding Program'!$R$33),'Bonding Program'!$Q$33,0),0)</f>
        <v>0</v>
      </c>
      <c r="N174" s="19" t="n">
        <f aca="false">IF(AND('Bonding Program'!$S$33=1,N$3='Bonding Program'!$H$33),'Bonding Program'!$AA$33,0)-IF(N$3&lt;='Bonding Program'!$C$8,IF(AND('Bonding Program'!$K$33&lt;&gt;"",N$3='Bonding Program'!$K$33),'Bonding Program'!$J$33,0)-IF(AND('Bonding Program'!$M$33&lt;&gt;"",N$3='Bonding Program'!$M$33),'Bonding Program'!$L$33,0)-IF(AND('Bonding Program'!$P$33&lt;&gt;"",N$3='Bonding Program'!$P$33),'Bonding Program'!$O$33,0)-IF(AND('Bonding Program'!$R$33&lt;&gt;"",N$3='Bonding Program'!$R$33),'Bonding Program'!$Q$33,0),0)</f>
        <v>0</v>
      </c>
      <c r="O174" s="19" t="n">
        <f aca="false">IF(AND('Bonding Program'!$S$33=1,O$3='Bonding Program'!$H$33),'Bonding Program'!$AA$33,0)-IF(O$3&lt;='Bonding Program'!$C$8,IF(AND('Bonding Program'!$K$33&lt;&gt;"",O$3='Bonding Program'!$K$33),'Bonding Program'!$J$33,0)-IF(AND('Bonding Program'!$M$33&lt;&gt;"",O$3='Bonding Program'!$M$33),'Bonding Program'!$L$33,0)-IF(AND('Bonding Program'!$P$33&lt;&gt;"",O$3='Bonding Program'!$P$33),'Bonding Program'!$O$33,0)-IF(AND('Bonding Program'!$R$33&lt;&gt;"",O$3='Bonding Program'!$R$33),'Bonding Program'!$Q$33,0),0)</f>
        <v>0</v>
      </c>
      <c r="P174" s="19" t="n">
        <f aca="false">IF(AND('Bonding Program'!$S$33=1,P$3='Bonding Program'!$H$33),'Bonding Program'!$AA$33,0)-IF(P$3&lt;='Bonding Program'!$C$8,IF(AND('Bonding Program'!$K$33&lt;&gt;"",P$3='Bonding Program'!$K$33),'Bonding Program'!$J$33,0)-IF(AND('Bonding Program'!$M$33&lt;&gt;"",P$3='Bonding Program'!$M$33),'Bonding Program'!$L$33,0)-IF(AND('Bonding Program'!$P$33&lt;&gt;"",P$3='Bonding Program'!$P$33),'Bonding Program'!$O$33,0)-IF(AND('Bonding Program'!$R$33&lt;&gt;"",P$3='Bonding Program'!$R$33),'Bonding Program'!$Q$33,0),0)</f>
        <v>0</v>
      </c>
      <c r="Q174" s="19" t="n">
        <f aca="false">IF(AND('Bonding Program'!$S$33=1,Q$3='Bonding Program'!$H$33),'Bonding Program'!$AA$33,0)-IF(Q$3&lt;='Bonding Program'!$C$8,IF(AND('Bonding Program'!$K$33&lt;&gt;"",Q$3='Bonding Program'!$K$33),'Bonding Program'!$J$33,0)-IF(AND('Bonding Program'!$M$33&lt;&gt;"",Q$3='Bonding Program'!$M$33),'Bonding Program'!$L$33,0)-IF(AND('Bonding Program'!$P$33&lt;&gt;"",Q$3='Bonding Program'!$P$33),'Bonding Program'!$O$33,0)-IF(AND('Bonding Program'!$R$33&lt;&gt;"",Q$3='Bonding Program'!$R$33),'Bonding Program'!$Q$33,0),0)</f>
        <v>0</v>
      </c>
      <c r="R174" s="19" t="n">
        <f aca="false">IF(AND('Bonding Program'!$S$33=1,R$3='Bonding Program'!$H$33),'Bonding Program'!$AA$33,0)-IF(R$3&lt;='Bonding Program'!$C$8,IF(AND('Bonding Program'!$K$33&lt;&gt;"",R$3='Bonding Program'!$K$33),'Bonding Program'!$J$33,0)-IF(AND('Bonding Program'!$M$33&lt;&gt;"",R$3='Bonding Program'!$M$33),'Bonding Program'!$L$33,0)-IF(AND('Bonding Program'!$P$33&lt;&gt;"",R$3='Bonding Program'!$P$33),'Bonding Program'!$O$33,0)-IF(AND('Bonding Program'!$R$33&lt;&gt;"",R$3='Bonding Program'!$R$33),'Bonding Program'!$Q$33,0),0)</f>
        <v>0</v>
      </c>
      <c r="S174" s="19" t="n">
        <f aca="false">IF(AND('Bonding Program'!$S$33=1,S$3='Bonding Program'!$H$33),'Bonding Program'!$AA$33,0)-IF(S$3&lt;='Bonding Program'!$C$8,IF(AND('Bonding Program'!$K$33&lt;&gt;"",S$3='Bonding Program'!$K$33),'Bonding Program'!$J$33,0)-IF(AND('Bonding Program'!$M$33&lt;&gt;"",S$3='Bonding Program'!$M$33),'Bonding Program'!$L$33,0)-IF(AND('Bonding Program'!$P$33&lt;&gt;"",S$3='Bonding Program'!$P$33),'Bonding Program'!$O$33,0)-IF(AND('Bonding Program'!$R$33&lt;&gt;"",S$3='Bonding Program'!$R$33),'Bonding Program'!$Q$33,0),0)</f>
        <v>0</v>
      </c>
      <c r="T174" s="19" t="n">
        <f aca="false">IF(AND('Bonding Program'!$S$33=1,T$3='Bonding Program'!$H$33),'Bonding Program'!$AA$33,0)-IF(T$3&lt;='Bonding Program'!$C$8,IF(AND('Bonding Program'!$K$33&lt;&gt;"",T$3='Bonding Program'!$K$33),'Bonding Program'!$J$33,0)-IF(AND('Bonding Program'!$M$33&lt;&gt;"",T$3='Bonding Program'!$M$33),'Bonding Program'!$L$33,0)-IF(AND('Bonding Program'!$P$33&lt;&gt;"",T$3='Bonding Program'!$P$33),'Bonding Program'!$O$33,0)-IF(AND('Bonding Program'!$R$33&lt;&gt;"",T$3='Bonding Program'!$R$33),'Bonding Program'!$Q$33,0),0)</f>
        <v>0</v>
      </c>
      <c r="U174" s="19" t="n">
        <f aca="false">IF(AND('Bonding Program'!$S$33=1,U$3='Bonding Program'!$H$33),'Bonding Program'!$AA$33,0)-IF(U$3&lt;='Bonding Program'!$C$8,IF(AND('Bonding Program'!$K$33&lt;&gt;"",U$3='Bonding Program'!$K$33),'Bonding Program'!$J$33,0)-IF(AND('Bonding Program'!$M$33&lt;&gt;"",U$3='Bonding Program'!$M$33),'Bonding Program'!$L$33,0)-IF(AND('Bonding Program'!$P$33&lt;&gt;"",U$3='Bonding Program'!$P$33),'Bonding Program'!$O$33,0)-IF(AND('Bonding Program'!$R$33&lt;&gt;"",U$3='Bonding Program'!$R$33),'Bonding Program'!$Q$33,0),0)</f>
        <v>0</v>
      </c>
      <c r="V174" s="19" t="n">
        <f aca="false">IF(AND('Bonding Program'!$S$33=1,V$3='Bonding Program'!$H$33),'Bonding Program'!$AA$33,0)-IF(V$3&lt;='Bonding Program'!$C$8,IF(AND('Bonding Program'!$K$33&lt;&gt;"",V$3='Bonding Program'!$K$33),'Bonding Program'!$J$33,0)-IF(AND('Bonding Program'!$M$33&lt;&gt;"",V$3='Bonding Program'!$M$33),'Bonding Program'!$L$33,0)-IF(AND('Bonding Program'!$P$33&lt;&gt;"",V$3='Bonding Program'!$P$33),'Bonding Program'!$O$33,0)-IF(AND('Bonding Program'!$R$33&lt;&gt;"",V$3='Bonding Program'!$R$33),'Bonding Program'!$Q$33,0),0)</f>
        <v>0</v>
      </c>
      <c r="W174" s="19" t="n">
        <f aca="false">IF(AND('Bonding Program'!$S$33=1,W$3='Bonding Program'!$H$33),'Bonding Program'!$AA$33,0)-IF(W$3&lt;='Bonding Program'!$C$8,IF(AND('Bonding Program'!$K$33&lt;&gt;"",W$3='Bonding Program'!$K$33),'Bonding Program'!$J$33,0)-IF(AND('Bonding Program'!$M$33&lt;&gt;"",W$3='Bonding Program'!$M$33),'Bonding Program'!$L$33,0)-IF(AND('Bonding Program'!$P$33&lt;&gt;"",W$3='Bonding Program'!$P$33),'Bonding Program'!$O$33,0)-IF(AND('Bonding Program'!$R$33&lt;&gt;"",W$3='Bonding Program'!$R$33),'Bonding Program'!$Q$33,0),0)</f>
        <v>0</v>
      </c>
      <c r="X174" s="19" t="n">
        <f aca="false">IF(AND('Bonding Program'!$S$33=1,X$3='Bonding Program'!$H$33),'Bonding Program'!$AA$33,0)-IF(X$3&lt;='Bonding Program'!$C$8,IF(AND('Bonding Program'!$K$33&lt;&gt;"",X$3='Bonding Program'!$K$33),'Bonding Program'!$J$33,0)-IF(AND('Bonding Program'!$M$33&lt;&gt;"",X$3='Bonding Program'!$M$33),'Bonding Program'!$L$33,0)-IF(AND('Bonding Program'!$P$33&lt;&gt;"",X$3='Bonding Program'!$P$33),'Bonding Program'!$O$33,0)-IF(AND('Bonding Program'!$R$33&lt;&gt;"",X$3='Bonding Program'!$R$33),'Bonding Program'!$Q$33,0),0)</f>
        <v>0</v>
      </c>
      <c r="Y174" s="19" t="n">
        <f aca="false">IF(AND('Bonding Program'!$S$33=1,Y$3='Bonding Program'!$H$33),'Bonding Program'!$AA$33,0)-IF(Y$3&lt;='Bonding Program'!$C$8,IF(AND('Bonding Program'!$K$33&lt;&gt;"",Y$3='Bonding Program'!$K$33),'Bonding Program'!$J$33,0)-IF(AND('Bonding Program'!$M$33&lt;&gt;"",Y$3='Bonding Program'!$M$33),'Bonding Program'!$L$33,0)-IF(AND('Bonding Program'!$P$33&lt;&gt;"",Y$3='Bonding Program'!$P$33),'Bonding Program'!$O$33,0)-IF(AND('Bonding Program'!$R$33&lt;&gt;"",Y$3='Bonding Program'!$R$33),'Bonding Program'!$Q$33,0),0)</f>
        <v>0</v>
      </c>
      <c r="Z174" s="19" t="n">
        <f aca="false">IF(AND('Bonding Program'!$S$33=1,Z$3='Bonding Program'!$H$33),'Bonding Program'!$AA$33,0)-IF(Z$3&lt;='Bonding Program'!$C$8,IF(AND('Bonding Program'!$K$33&lt;&gt;"",Z$3='Bonding Program'!$K$33),'Bonding Program'!$J$33,0)-IF(AND('Bonding Program'!$M$33&lt;&gt;"",Z$3='Bonding Program'!$M$33),'Bonding Program'!$L$33,0)-IF(AND('Bonding Program'!$P$33&lt;&gt;"",Z$3='Bonding Program'!$P$33),'Bonding Program'!$O$33,0)-IF(AND('Bonding Program'!$R$33&lt;&gt;"",Z$3='Bonding Program'!$R$33),'Bonding Program'!$Q$33,0),0)</f>
        <v>0</v>
      </c>
      <c r="AA174" s="19" t="n">
        <f aca="false">IF(AND('Bonding Program'!$S$33=1,AA$3='Bonding Program'!$H$33),'Bonding Program'!$AA$33,0)-IF(AA$3&lt;='Bonding Program'!$C$8,IF(AND('Bonding Program'!$K$33&lt;&gt;"",AA$3='Bonding Program'!$K$33),'Bonding Program'!$J$33,0)-IF(AND('Bonding Program'!$M$33&lt;&gt;"",AA$3='Bonding Program'!$M$33),'Bonding Program'!$L$33,0)-IF(AND('Bonding Program'!$P$33&lt;&gt;"",AA$3='Bonding Program'!$P$33),'Bonding Program'!$O$33,0)-IF(AND('Bonding Program'!$R$33&lt;&gt;"",AA$3='Bonding Program'!$R$33),'Bonding Program'!$Q$33,0),0)</f>
        <v>0</v>
      </c>
      <c r="AB174" s="19" t="n">
        <f aca="false">IF(AND('Bonding Program'!$S$33=1,AB$3='Bonding Program'!$H$33),'Bonding Program'!$AA$33,0)-IF(AB$3&lt;='Bonding Program'!$C$8,IF(AND('Bonding Program'!$K$33&lt;&gt;"",AB$3='Bonding Program'!$K$33),'Bonding Program'!$J$33,0)-IF(AND('Bonding Program'!$M$33&lt;&gt;"",AB$3='Bonding Program'!$M$33),'Bonding Program'!$L$33,0)-IF(AND('Bonding Program'!$P$33&lt;&gt;"",AB$3='Bonding Program'!$P$33),'Bonding Program'!$O$33,0)-IF(AND('Bonding Program'!$R$33&lt;&gt;"",AB$3='Bonding Program'!$R$33),'Bonding Program'!$Q$33,0),0)</f>
        <v>0</v>
      </c>
      <c r="AC174" s="19" t="n">
        <f aca="false">IF(AND('Bonding Program'!$S$33=1,AC$3='Bonding Program'!$H$33),'Bonding Program'!$AA$33,0)-IF(AC$3&lt;='Bonding Program'!$C$8,IF(AND('Bonding Program'!$K$33&lt;&gt;"",AC$3='Bonding Program'!$K$33),'Bonding Program'!$J$33,0)-IF(AND('Bonding Program'!$M$33&lt;&gt;"",AC$3='Bonding Program'!$M$33),'Bonding Program'!$L$33,0)-IF(AND('Bonding Program'!$P$33&lt;&gt;"",AC$3='Bonding Program'!$P$33),'Bonding Program'!$O$33,0)-IF(AND('Bonding Program'!$R$33&lt;&gt;"",AC$3='Bonding Program'!$R$33),'Bonding Program'!$Q$33,0),0)</f>
        <v>0</v>
      </c>
      <c r="AD174" s="19" t="n">
        <f aca="false">IF(AND('Bonding Program'!$S$33=1,AD$3='Bonding Program'!$H$33),'Bonding Program'!$AA$33,0)-IF(AD$3&lt;='Bonding Program'!$C$8,IF(AND('Bonding Program'!$K$33&lt;&gt;"",AD$3='Bonding Program'!$K$33),'Bonding Program'!$J$33,0)-IF(AND('Bonding Program'!$M$33&lt;&gt;"",AD$3='Bonding Program'!$M$33),'Bonding Program'!$L$33,0)-IF(AND('Bonding Program'!$P$33&lt;&gt;"",AD$3='Bonding Program'!$P$33),'Bonding Program'!$O$33,0)-IF(AND('Bonding Program'!$R$33&lt;&gt;"",AD$3='Bonding Program'!$R$33),'Bonding Program'!$Q$33,0),0)</f>
        <v>0</v>
      </c>
      <c r="AE174" s="19" t="n">
        <f aca="false">IF(AND('Bonding Program'!$S$33=1,AE$3='Bonding Program'!$H$33),'Bonding Program'!$AA$33,0)-IF(AE$3&lt;='Bonding Program'!$C$8,IF(AND('Bonding Program'!$K$33&lt;&gt;"",AE$3='Bonding Program'!$K$33),'Bonding Program'!$J$33,0)-IF(AND('Bonding Program'!$M$33&lt;&gt;"",AE$3='Bonding Program'!$M$33),'Bonding Program'!$L$33,0)-IF(AND('Bonding Program'!$P$33&lt;&gt;"",AE$3='Bonding Program'!$P$33),'Bonding Program'!$O$33,0)-IF(AND('Bonding Program'!$R$33&lt;&gt;"",AE$3='Bonding Program'!$R$33),'Bonding Program'!$Q$33,0),0)</f>
        <v>0</v>
      </c>
      <c r="AF174" s="19" t="n">
        <f aca="false">IF(AND('Bonding Program'!$S$33=1,AF$3='Bonding Program'!$H$33),'Bonding Program'!$AA$33,0)-IF(AF$3&lt;='Bonding Program'!$C$8,IF(AND('Bonding Program'!$K$33&lt;&gt;"",AF$3='Bonding Program'!$K$33),'Bonding Program'!$J$33,0)-IF(AND('Bonding Program'!$M$33&lt;&gt;"",AF$3='Bonding Program'!$M$33),'Bonding Program'!$L$33,0)-IF(AND('Bonding Program'!$P$33&lt;&gt;"",AF$3='Bonding Program'!$P$33),'Bonding Program'!$O$33,0)-IF(AND('Bonding Program'!$R$33&lt;&gt;"",AF$3='Bonding Program'!$R$33),'Bonding Program'!$Q$33,0),0)</f>
        <v>0</v>
      </c>
      <c r="AG174" s="19" t="n">
        <f aca="false">IF(AND('Bonding Program'!$S$33=1,AG$3='Bonding Program'!$H$33),'Bonding Program'!$AA$33,0)-IF(AG$3&lt;='Bonding Program'!$C$8,IF(AND('Bonding Program'!$K$33&lt;&gt;"",AG$3='Bonding Program'!$K$33),'Bonding Program'!$J$33,0)-IF(AND('Bonding Program'!$M$33&lt;&gt;"",AG$3='Bonding Program'!$M$33),'Bonding Program'!$L$33,0)-IF(AND('Bonding Program'!$P$33&lt;&gt;"",AG$3='Bonding Program'!$P$33),'Bonding Program'!$O$33,0)-IF(AND('Bonding Program'!$R$33&lt;&gt;"",AG$3='Bonding Program'!$R$33),'Bonding Program'!$Q$33,0),0)</f>
        <v>0</v>
      </c>
      <c r="AH174" s="19" t="n">
        <f aca="false">IF(AND('Bonding Program'!$S$33=1,AH$3='Bonding Program'!$H$33),'Bonding Program'!$AA$33,0)-IF(AH$3&lt;='Bonding Program'!$C$8,IF(AND('Bonding Program'!$K$33&lt;&gt;"",AH$3='Bonding Program'!$K$33),'Bonding Program'!$J$33,0)-IF(AND('Bonding Program'!$M$33&lt;&gt;"",AH$3='Bonding Program'!$M$33),'Bonding Program'!$L$33,0)-IF(AND('Bonding Program'!$P$33&lt;&gt;"",AH$3='Bonding Program'!$P$33),'Bonding Program'!$O$33,0)-IF(AND('Bonding Program'!$R$33&lt;&gt;"",AH$3='Bonding Program'!$R$33),'Bonding Program'!$Q$33,0),0)</f>
        <v>0</v>
      </c>
      <c r="AI174" s="19" t="n">
        <f aca="false">IF(AND('Bonding Program'!$S$33=1,AI$3='Bonding Program'!$H$33),'Bonding Program'!$AA$33,0)-IF(AI$3&lt;='Bonding Program'!$C$8,IF(AND('Bonding Program'!$K$33&lt;&gt;"",AI$3='Bonding Program'!$K$33),'Bonding Program'!$J$33,0)-IF(AND('Bonding Program'!$M$33&lt;&gt;"",AI$3='Bonding Program'!$M$33),'Bonding Program'!$L$33,0)-IF(AND('Bonding Program'!$P$33&lt;&gt;"",AI$3='Bonding Program'!$P$33),'Bonding Program'!$O$33,0)-IF(AND('Bonding Program'!$R$33&lt;&gt;"",AI$3='Bonding Program'!$R$33),'Bonding Program'!$Q$33,0),0)</f>
        <v>0</v>
      </c>
      <c r="AJ174" s="19" t="n">
        <f aca="false">IF(AND('Bonding Program'!$S$33=1,AJ$3='Bonding Program'!$H$33),'Bonding Program'!$AA$33,0)-IF(AJ$3&lt;='Bonding Program'!$C$8,IF(AND('Bonding Program'!$K$33&lt;&gt;"",AJ$3='Bonding Program'!$K$33),'Bonding Program'!$J$33,0)-IF(AND('Bonding Program'!$M$33&lt;&gt;"",AJ$3='Bonding Program'!$M$33),'Bonding Program'!$L$33,0)-IF(AND('Bonding Program'!$P$33&lt;&gt;"",AJ$3='Bonding Program'!$P$33),'Bonding Program'!$O$33,0)-IF(AND('Bonding Program'!$R$33&lt;&gt;"",AJ$3='Bonding Program'!$R$33),'Bonding Program'!$Q$33,0),0)</f>
        <v>0</v>
      </c>
      <c r="AK174" s="19" t="n">
        <f aca="false">IF(AND('Bonding Program'!$S$33=1,AK$3='Bonding Program'!$H$33),'Bonding Program'!$AA$33,0)-IF(AK$3&lt;='Bonding Program'!$C$8,IF(AND('Bonding Program'!$K$33&lt;&gt;"",AK$3='Bonding Program'!$K$33),'Bonding Program'!$J$33,0)-IF(AND('Bonding Program'!$M$33&lt;&gt;"",AK$3='Bonding Program'!$M$33),'Bonding Program'!$L$33,0)-IF(AND('Bonding Program'!$P$33&lt;&gt;"",AK$3='Bonding Program'!$P$33),'Bonding Program'!$O$33,0)-IF(AND('Bonding Program'!$R$33&lt;&gt;"",AK$3='Bonding Program'!$R$33),'Bonding Program'!$Q$33,0),0)</f>
        <v>0</v>
      </c>
      <c r="AL174" s="19" t="n">
        <f aca="false">IF(AND('Bonding Program'!$S$33=1,AL$3='Bonding Program'!$H$33),'Bonding Program'!$AA$33,0)-IF(AL$3&lt;='Bonding Program'!$C$8,IF(AND('Bonding Program'!$K$33&lt;&gt;"",AL$3='Bonding Program'!$K$33),'Bonding Program'!$J$33,0)-IF(AND('Bonding Program'!$M$33&lt;&gt;"",AL$3='Bonding Program'!$M$33),'Bonding Program'!$L$33,0)-IF(AND('Bonding Program'!$P$33&lt;&gt;"",AL$3='Bonding Program'!$P$33),'Bonding Program'!$O$33,0)-IF(AND('Bonding Program'!$R$33&lt;&gt;"",AL$3='Bonding Program'!$R$33),'Bonding Program'!$Q$33,0),0)</f>
        <v>0</v>
      </c>
      <c r="AM174" s="19" t="n">
        <f aca="false">IF(AND('Bonding Program'!$S$33=1,AM$3='Bonding Program'!$H$33),'Bonding Program'!$AA$33,0)-IF(AM$3&lt;='Bonding Program'!$C$8,IF(AND('Bonding Program'!$K$33&lt;&gt;"",AM$3='Bonding Program'!$K$33),'Bonding Program'!$J$33,0)-IF(AND('Bonding Program'!$M$33&lt;&gt;"",AM$3='Bonding Program'!$M$33),'Bonding Program'!$L$33,0)-IF(AND('Bonding Program'!$P$33&lt;&gt;"",AM$3='Bonding Program'!$P$33),'Bonding Program'!$O$33,0)-IF(AND('Bonding Program'!$R$33&lt;&gt;"",AM$3='Bonding Program'!$R$33),'Bonding Program'!$Q$33,0),0)</f>
        <v>0</v>
      </c>
      <c r="AN174" s="19" t="n">
        <f aca="false">IF(AND('Bonding Program'!$S$33=1,AN$3='Bonding Program'!$H$33),'Bonding Program'!$AA$33,0)-IF(AN$3&lt;='Bonding Program'!$C$8,IF(AND('Bonding Program'!$K$33&lt;&gt;"",AN$3='Bonding Program'!$K$33),'Bonding Program'!$J$33,0)-IF(AND('Bonding Program'!$M$33&lt;&gt;"",AN$3='Bonding Program'!$M$33),'Bonding Program'!$L$33,0)-IF(AND('Bonding Program'!$P$33&lt;&gt;"",AN$3='Bonding Program'!$P$33),'Bonding Program'!$O$33,0)-IF(AND('Bonding Program'!$R$33&lt;&gt;"",AN$3='Bonding Program'!$R$33),'Bonding Program'!$Q$33,0),0)</f>
        <v>0</v>
      </c>
      <c r="AO174" s="19" t="n">
        <f aca="false">IF(AND('Bonding Program'!$S$33=1,AO$3='Bonding Program'!$H$33),'Bonding Program'!$AA$33,0)-IF(AO$3&lt;='Bonding Program'!$C$8,IF(AND('Bonding Program'!$K$33&lt;&gt;"",AO$3='Bonding Program'!$K$33),'Bonding Program'!$J$33,0)-IF(AND('Bonding Program'!$M$33&lt;&gt;"",AO$3='Bonding Program'!$M$33),'Bonding Program'!$L$33,0)-IF(AND('Bonding Program'!$P$33&lt;&gt;"",AO$3='Bonding Program'!$P$33),'Bonding Program'!$O$33,0)-IF(AND('Bonding Program'!$R$33&lt;&gt;"",AO$3='Bonding Program'!$R$33),'Bonding Program'!$Q$33,0),0)</f>
        <v>0</v>
      </c>
      <c r="AP174" s="19" t="n">
        <f aca="false">IF(AND('Bonding Program'!$S$33=1,AP$3='Bonding Program'!$H$33),'Bonding Program'!$AA$33,0)-IF(AP$3&lt;='Bonding Program'!$C$8,IF(AND('Bonding Program'!$K$33&lt;&gt;"",AP$3='Bonding Program'!$K$33),'Bonding Program'!$J$33,0)-IF(AND('Bonding Program'!$M$33&lt;&gt;"",AP$3='Bonding Program'!$M$33),'Bonding Program'!$L$33,0)-IF(AND('Bonding Program'!$P$33&lt;&gt;"",AP$3='Bonding Program'!$P$33),'Bonding Program'!$O$33,0)-IF(AND('Bonding Program'!$R$33&lt;&gt;"",AP$3='Bonding Program'!$R$33),'Bonding Program'!$Q$33,0),0)</f>
        <v>0</v>
      </c>
      <c r="AQ174" s="19" t="n">
        <f aca="false">IF(AND('Bonding Program'!$S$33=1,AQ$3='Bonding Program'!$H$33),'Bonding Program'!$AA$33,0)-IF(AQ$3&lt;='Bonding Program'!$C$8,IF(AND('Bonding Program'!$K$33&lt;&gt;"",AQ$3='Bonding Program'!$K$33),'Bonding Program'!$J$33,0)-IF(AND('Bonding Program'!$M$33&lt;&gt;"",AQ$3='Bonding Program'!$M$33),'Bonding Program'!$L$33,0)-IF(AND('Bonding Program'!$P$33&lt;&gt;"",AQ$3='Bonding Program'!$P$33),'Bonding Program'!$O$33,0)-IF(AND('Bonding Program'!$R$33&lt;&gt;"",AQ$3='Bonding Program'!$R$33),'Bonding Program'!$Q$33,0),0)</f>
        <v>0</v>
      </c>
      <c r="AR174" s="19" t="n">
        <f aca="false">IF(AND('Bonding Program'!$S$33=1,AR$3='Bonding Program'!$H$33),'Bonding Program'!$AA$33,0)-IF(AR$3&lt;='Bonding Program'!$C$8,IF(AND('Bonding Program'!$K$33&lt;&gt;"",AR$3='Bonding Program'!$K$33),'Bonding Program'!$J$33,0)-IF(AND('Bonding Program'!$M$33&lt;&gt;"",AR$3='Bonding Program'!$M$33),'Bonding Program'!$L$33,0)-IF(AND('Bonding Program'!$P$33&lt;&gt;"",AR$3='Bonding Program'!$P$33),'Bonding Program'!$O$33,0)-IF(AND('Bonding Program'!$R$33&lt;&gt;"",AR$3='Bonding Program'!$R$33),'Bonding Program'!$Q$33,0),0)</f>
        <v>0</v>
      </c>
      <c r="AS174" s="19" t="n">
        <f aca="false">IF(AND('Bonding Program'!$S$33=1,AS$3='Bonding Program'!$H$33),'Bonding Program'!$AA$33,0)-IF(AS$3&lt;='Bonding Program'!$C$8,IF(AND('Bonding Program'!$K$33&lt;&gt;"",AS$3='Bonding Program'!$K$33),'Bonding Program'!$J$33,0)-IF(AND('Bonding Program'!$M$33&lt;&gt;"",AS$3='Bonding Program'!$M$33),'Bonding Program'!$L$33,0)-IF(AND('Bonding Program'!$P$33&lt;&gt;"",AS$3='Bonding Program'!$P$33),'Bonding Program'!$O$33,0)-IF(AND('Bonding Program'!$R$33&lt;&gt;"",AS$3='Bonding Program'!$R$33),'Bonding Program'!$Q$33,0),0)</f>
        <v>0</v>
      </c>
      <c r="AT174" s="19" t="n">
        <f aca="false">IF(AND('Bonding Program'!$S$33=1,AT$3='Bonding Program'!$H$33),'Bonding Program'!$AA$33,0)-IF(AT$3&lt;='Bonding Program'!$C$8,IF(AND('Bonding Program'!$K$33&lt;&gt;"",AT$3='Bonding Program'!$K$33),'Bonding Program'!$J$33,0)-IF(AND('Bonding Program'!$M$33&lt;&gt;"",AT$3='Bonding Program'!$M$33),'Bonding Program'!$L$33,0)-IF(AND('Bonding Program'!$P$33&lt;&gt;"",AT$3='Bonding Program'!$P$33),'Bonding Program'!$O$33,0)-IF(AND('Bonding Program'!$R$33&lt;&gt;"",AT$3='Bonding Program'!$R$33),'Bonding Program'!$Q$33,0),0)</f>
        <v>0</v>
      </c>
      <c r="AU174" s="19" t="n">
        <f aca="false">IF(AND('Bonding Program'!$S$33=1,AU$3='Bonding Program'!$H$33),'Bonding Program'!$AA$33,0)-IF(AU$3&lt;='Bonding Program'!$C$8,IF(AND('Bonding Program'!$K$33&lt;&gt;"",AU$3='Bonding Program'!$K$33),'Bonding Program'!$J$33,0)-IF(AND('Bonding Program'!$M$33&lt;&gt;"",AU$3='Bonding Program'!$M$33),'Bonding Program'!$L$33,0)-IF(AND('Bonding Program'!$P$33&lt;&gt;"",AU$3='Bonding Program'!$P$33),'Bonding Program'!$O$33,0)-IF(AND('Bonding Program'!$R$33&lt;&gt;"",AU$3='Bonding Program'!$R$33),'Bonding Program'!$Q$33,0),0)</f>
        <v>0</v>
      </c>
      <c r="AV174" s="19" t="n">
        <f aca="false">IF(AND('Bonding Program'!$S$33=1,AV$3='Bonding Program'!$H$33),'Bonding Program'!$AA$33,0)-IF(AV$3&lt;='Bonding Program'!$C$8,IF(AND('Bonding Program'!$K$33&lt;&gt;"",AV$3='Bonding Program'!$K$33),'Bonding Program'!$J$33,0)-IF(AND('Bonding Program'!$M$33&lt;&gt;"",AV$3='Bonding Program'!$M$33),'Bonding Program'!$L$33,0)-IF(AND('Bonding Program'!$P$33&lt;&gt;"",AV$3='Bonding Program'!$P$33),'Bonding Program'!$O$33,0)-IF(AND('Bonding Program'!$R$33&lt;&gt;"",AV$3='Bonding Program'!$R$33),'Bonding Program'!$Q$33,0),0)</f>
        <v>0</v>
      </c>
      <c r="AW174" s="19" t="n">
        <f aca="false">IF(AND('Bonding Program'!$S$33=1,AW$3='Bonding Program'!$H$33),'Bonding Program'!$AA$33,0)-IF(AW$3&lt;='Bonding Program'!$C$8,IF(AND('Bonding Program'!$K$33&lt;&gt;"",AW$3='Bonding Program'!$K$33),'Bonding Program'!$J$33,0)-IF(AND('Bonding Program'!$M$33&lt;&gt;"",AW$3='Bonding Program'!$M$33),'Bonding Program'!$L$33,0)-IF(AND('Bonding Program'!$P$33&lt;&gt;"",AW$3='Bonding Program'!$P$33),'Bonding Program'!$O$33,0)-IF(AND('Bonding Program'!$R$33&lt;&gt;"",AW$3='Bonding Program'!$R$33),'Bonding Program'!$Q$33,0),0)</f>
        <v>0</v>
      </c>
      <c r="AX174" s="19" t="n">
        <f aca="false">IF(AND('Bonding Program'!$S$33=1,AX$3='Bonding Program'!$H$33),'Bonding Program'!$AA$33,0)-IF(AX$3&lt;='Bonding Program'!$C$8,IF(AND('Bonding Program'!$K$33&lt;&gt;"",AX$3='Bonding Program'!$K$33),'Bonding Program'!$J$33,0)-IF(AND('Bonding Program'!$M$33&lt;&gt;"",AX$3='Bonding Program'!$M$33),'Bonding Program'!$L$33,0)-IF(AND('Bonding Program'!$P$33&lt;&gt;"",AX$3='Bonding Program'!$P$33),'Bonding Program'!$O$33,0)-IF(AND('Bonding Program'!$R$33&lt;&gt;"",AX$3='Bonding Program'!$R$33),'Bonding Program'!$Q$33,0),0)</f>
        <v>0</v>
      </c>
      <c r="AY174" s="19" t="n">
        <f aca="false">IF(AND('Bonding Program'!$S$33=1,AY$3='Bonding Program'!$H$33),'Bonding Program'!$AA$33,0)-IF(AY$3&lt;='Bonding Program'!$C$8,IF(AND('Bonding Program'!$K$33&lt;&gt;"",AY$3='Bonding Program'!$K$33),'Bonding Program'!$J$33,0)-IF(AND('Bonding Program'!$M$33&lt;&gt;"",AY$3='Bonding Program'!$M$33),'Bonding Program'!$L$33,0)-IF(AND('Bonding Program'!$P$33&lt;&gt;"",AY$3='Bonding Program'!$P$33),'Bonding Program'!$O$33,0)-IF(AND('Bonding Program'!$R$33&lt;&gt;"",AY$3='Bonding Program'!$R$33),'Bonding Program'!$Q$33,0),0)</f>
        <v>0</v>
      </c>
      <c r="AZ174" s="19" t="n">
        <f aca="false">IF(AND('Bonding Program'!$S$33=1,AZ$3='Bonding Program'!$H$33),'Bonding Program'!$AA$33,0)-IF(AZ$3&lt;='Bonding Program'!$C$8,IF(AND('Bonding Program'!$K$33&lt;&gt;"",AZ$3='Bonding Program'!$K$33),'Bonding Program'!$J$33,0)-IF(AND('Bonding Program'!$M$33&lt;&gt;"",AZ$3='Bonding Program'!$M$33),'Bonding Program'!$L$33,0)-IF(AND('Bonding Program'!$P$33&lt;&gt;"",AZ$3='Bonding Program'!$P$33),'Bonding Program'!$O$33,0)-IF(AND('Bonding Program'!$R$33&lt;&gt;"",AZ$3='Bonding Program'!$R$33),'Bonding Program'!$Q$33,0),0)</f>
        <v>0</v>
      </c>
      <c r="BA174" s="19" t="n">
        <f aca="false">IF(AND('Bonding Program'!$S$33=1,BA$3='Bonding Program'!$H$33),'Bonding Program'!$AA$33,0)-IF(BA$3&lt;='Bonding Program'!$C$8,IF(AND('Bonding Program'!$K$33&lt;&gt;"",BA$3='Bonding Program'!$K$33),'Bonding Program'!$J$33,0)-IF(AND('Bonding Program'!$M$33&lt;&gt;"",BA$3='Bonding Program'!$M$33),'Bonding Program'!$L$33,0)-IF(AND('Bonding Program'!$P$33&lt;&gt;"",BA$3='Bonding Program'!$P$33),'Bonding Program'!$O$33,0)-IF(AND('Bonding Program'!$R$33&lt;&gt;"",BA$3='Bonding Program'!$R$33),'Bonding Program'!$Q$33,0),0)</f>
        <v>0</v>
      </c>
      <c r="BB174" s="19" t="n">
        <f aca="false">IF(AND('Bonding Program'!$S$33=1,BB$3='Bonding Program'!$H$33),'Bonding Program'!$AA$33,0)-IF(BB$3&lt;='Bonding Program'!$C$8,IF(AND('Bonding Program'!$K$33&lt;&gt;"",BB$3='Bonding Program'!$K$33),'Bonding Program'!$J$33,0)-IF(AND('Bonding Program'!$M$33&lt;&gt;"",BB$3='Bonding Program'!$M$33),'Bonding Program'!$L$33,0)-IF(AND('Bonding Program'!$P$33&lt;&gt;"",BB$3='Bonding Program'!$P$33),'Bonding Program'!$O$33,0)-IF(AND('Bonding Program'!$R$33&lt;&gt;"",BB$3='Bonding Program'!$R$33),'Bonding Program'!$Q$33,0),0)</f>
        <v>0</v>
      </c>
      <c r="BC174" s="19" t="n">
        <f aca="false">IF(AND('Bonding Program'!$S$33=1,BC$3='Bonding Program'!$H$33),'Bonding Program'!$AA$33,0)-IF(BC$3&lt;='Bonding Program'!$C$8,IF(AND('Bonding Program'!$K$33&lt;&gt;"",BC$3='Bonding Program'!$K$33),'Bonding Program'!$J$33,0)-IF(AND('Bonding Program'!$M$33&lt;&gt;"",BC$3='Bonding Program'!$M$33),'Bonding Program'!$L$33,0)-IF(AND('Bonding Program'!$P$33&lt;&gt;"",BC$3='Bonding Program'!$P$33),'Bonding Program'!$O$33,0)-IF(AND('Bonding Program'!$R$33&lt;&gt;"",BC$3='Bonding Program'!$R$33),'Bonding Program'!$Q$33,0),0)</f>
        <v>0</v>
      </c>
      <c r="BD174" s="19" t="n">
        <f aca="false">IF(AND('Bonding Program'!$S$33=1,BD$3='Bonding Program'!$H$33),'Bonding Program'!$AA$33,0)-IF(BD$3&lt;='Bonding Program'!$C$8,IF(AND('Bonding Program'!$K$33&lt;&gt;"",BD$3='Bonding Program'!$K$33),'Bonding Program'!$J$33,0)-IF(AND('Bonding Program'!$M$33&lt;&gt;"",BD$3='Bonding Program'!$M$33),'Bonding Program'!$L$33,0)-IF(AND('Bonding Program'!$P$33&lt;&gt;"",BD$3='Bonding Program'!$P$33),'Bonding Program'!$O$33,0)-IF(AND('Bonding Program'!$R$33&lt;&gt;"",BD$3='Bonding Program'!$R$33),'Bonding Program'!$Q$33,0),0)</f>
        <v>0</v>
      </c>
      <c r="BE174" s="19" t="n">
        <f aca="false">IF(AND('Bonding Program'!$S$33=1,BE$3='Bonding Program'!$H$33),'Bonding Program'!$AA$33,0)-IF(BE$3&lt;='Bonding Program'!$C$8,IF(AND('Bonding Program'!$K$33&lt;&gt;"",BE$3='Bonding Program'!$K$33),'Bonding Program'!$J$33,0)-IF(AND('Bonding Program'!$M$33&lt;&gt;"",BE$3='Bonding Program'!$M$33),'Bonding Program'!$L$33,0)-IF(AND('Bonding Program'!$P$33&lt;&gt;"",BE$3='Bonding Program'!$P$33),'Bonding Program'!$O$33,0)-IF(AND('Bonding Program'!$R$33&lt;&gt;"",BE$3='Bonding Program'!$R$33),'Bonding Program'!$Q$33,0),0)</f>
        <v>0</v>
      </c>
      <c r="BF174" s="19" t="n">
        <f aca="false">IF(AND('Bonding Program'!$S$33=1,BF$3='Bonding Program'!$H$33),'Bonding Program'!$AA$33,0)-IF(BF$3&lt;='Bonding Program'!$C$8,IF(AND('Bonding Program'!$K$33&lt;&gt;"",BF$3='Bonding Program'!$K$33),'Bonding Program'!$J$33,0)-IF(AND('Bonding Program'!$M$33&lt;&gt;"",BF$3='Bonding Program'!$M$33),'Bonding Program'!$L$33,0)-IF(AND('Bonding Program'!$P$33&lt;&gt;"",BF$3='Bonding Program'!$P$33),'Bonding Program'!$O$33,0)-IF(AND('Bonding Program'!$R$33&lt;&gt;"",BF$3='Bonding Program'!$R$33),'Bonding Program'!$Q$33,0),0)</f>
        <v>0</v>
      </c>
      <c r="BG174" s="19" t="n">
        <f aca="false">IF(AND('Bonding Program'!$S$33=1,BG$3='Bonding Program'!$H$33),'Bonding Program'!$AA$33,0)-IF(BG$3&lt;='Bonding Program'!$C$8,IF(AND('Bonding Program'!$K$33&lt;&gt;"",BG$3='Bonding Program'!$K$33),'Bonding Program'!$J$33,0)-IF(AND('Bonding Program'!$M$33&lt;&gt;"",BG$3='Bonding Program'!$M$33),'Bonding Program'!$L$33,0)-IF(AND('Bonding Program'!$P$33&lt;&gt;"",BG$3='Bonding Program'!$P$33),'Bonding Program'!$O$33,0)-IF(AND('Bonding Program'!$R$33&lt;&gt;"",BG$3='Bonding Program'!$R$33),'Bonding Program'!$Q$33,0),0)</f>
        <v>0</v>
      </c>
      <c r="BH174" s="19" t="n">
        <f aca="false">IF(AND('Bonding Program'!$S$33=1,BH$3='Bonding Program'!$H$33),'Bonding Program'!$AA$33,0)-IF(BH$3&lt;='Bonding Program'!$C$8,IF(AND('Bonding Program'!$K$33&lt;&gt;"",BH$3='Bonding Program'!$K$33),'Bonding Program'!$J$33,0)-IF(AND('Bonding Program'!$M$33&lt;&gt;"",BH$3='Bonding Program'!$M$33),'Bonding Program'!$L$33,0)-IF(AND('Bonding Program'!$P$33&lt;&gt;"",BH$3='Bonding Program'!$P$33),'Bonding Program'!$O$33,0)-IF(AND('Bonding Program'!$R$33&lt;&gt;"",BH$3='Bonding Program'!$R$33),'Bonding Program'!$Q$33,0),0)</f>
        <v>0</v>
      </c>
      <c r="BI174" s="19" t="n">
        <f aca="false">IF(AND('Bonding Program'!$S$33=1,BI$3='Bonding Program'!$H$33),'Bonding Program'!$AA$33,0)-IF(BI$3&lt;='Bonding Program'!$C$8,IF(AND('Bonding Program'!$K$33&lt;&gt;"",BI$3='Bonding Program'!$K$33),'Bonding Program'!$J$33,0)-IF(AND('Bonding Program'!$M$33&lt;&gt;"",BI$3='Bonding Program'!$M$33),'Bonding Program'!$L$33,0)-IF(AND('Bonding Program'!$P$33&lt;&gt;"",BI$3='Bonding Program'!$P$33),'Bonding Program'!$O$33,0)-IF(AND('Bonding Program'!$R$33&lt;&gt;"",BI$3='Bonding Program'!$R$33),'Bonding Program'!$Q$33,0),0)</f>
        <v>0</v>
      </c>
      <c r="BJ174" s="19" t="n">
        <f aca="false">IF(AND('Bonding Program'!$S$33=1,BJ$3='Bonding Program'!$H$33),'Bonding Program'!$AA$33,0)-IF(BJ$3&lt;='Bonding Program'!$C$8,IF(AND('Bonding Program'!$K$33&lt;&gt;"",BJ$3='Bonding Program'!$K$33),'Bonding Program'!$J$33,0)-IF(AND('Bonding Program'!$M$33&lt;&gt;"",BJ$3='Bonding Program'!$M$33),'Bonding Program'!$L$33,0)-IF(AND('Bonding Program'!$P$33&lt;&gt;"",BJ$3='Bonding Program'!$P$33),'Bonding Program'!$O$33,0)-IF(AND('Bonding Program'!$R$33&lt;&gt;"",BJ$3='Bonding Program'!$R$33),'Bonding Program'!$Q$33,0),0)</f>
        <v>0</v>
      </c>
      <c r="BK174" s="19" t="n">
        <f aca="false">IF(AND('Bonding Program'!$S$33=1,BK$3='Bonding Program'!$H$33),'Bonding Program'!$AA$33,0)-IF(BK$3&lt;='Bonding Program'!$C$8,IF(AND('Bonding Program'!$K$33&lt;&gt;"",BK$3='Bonding Program'!$K$33),'Bonding Program'!$J$33,0)-IF(AND('Bonding Program'!$M$33&lt;&gt;"",BK$3='Bonding Program'!$M$33),'Bonding Program'!$L$33,0)-IF(AND('Bonding Program'!$P$33&lt;&gt;"",BK$3='Bonding Program'!$P$33),'Bonding Program'!$O$33,0)-IF(AND('Bonding Program'!$R$33&lt;&gt;"",BK$3='Bonding Program'!$R$33),'Bonding Program'!$Q$33,0),0)</f>
        <v>0</v>
      </c>
      <c r="BL174" s="19" t="n">
        <f aca="false">IF(AND('Bonding Program'!$S$33=1,BL$3='Bonding Program'!$H$33),'Bonding Program'!$AA$33,0)-IF(BL$3&lt;='Bonding Program'!$C$8,IF(AND('Bonding Program'!$K$33&lt;&gt;"",BL$3='Bonding Program'!$K$33),'Bonding Program'!$J$33,0)-IF(AND('Bonding Program'!$M$33&lt;&gt;"",BL$3='Bonding Program'!$M$33),'Bonding Program'!$L$33,0)-IF(AND('Bonding Program'!$P$33&lt;&gt;"",BL$3='Bonding Program'!$P$33),'Bonding Program'!$O$33,0)-IF(AND('Bonding Program'!$R$33&lt;&gt;"",BL$3='Bonding Program'!$R$33),'Bonding Program'!$Q$33,0),0)</f>
        <v>0</v>
      </c>
      <c r="BM174" s="19" t="n">
        <f aca="false">IF(AND('Bonding Program'!$S$33=1,BM$3='Bonding Program'!$H$33),'Bonding Program'!$AA$33,0)-IF(BM$3&lt;='Bonding Program'!$C$8,IF(AND('Bonding Program'!$K$33&lt;&gt;"",BM$3='Bonding Program'!$K$33),'Bonding Program'!$J$33,0)-IF(AND('Bonding Program'!$M$33&lt;&gt;"",BM$3='Bonding Program'!$M$33),'Bonding Program'!$L$33,0)-IF(AND('Bonding Program'!$P$33&lt;&gt;"",BM$3='Bonding Program'!$P$33),'Bonding Program'!$O$33,0)-IF(AND('Bonding Program'!$R$33&lt;&gt;"",BM$3='Bonding Program'!$R$33),'Bonding Program'!$Q$33,0),0)</f>
        <v>0</v>
      </c>
      <c r="BN174" s="19" t="n">
        <f aca="false">IF(AND('Bonding Program'!$S$33=1,BN$3='Bonding Program'!$H$33),'Bonding Program'!$AA$33,0)-IF(BN$3&lt;='Bonding Program'!$C$8,IF(AND('Bonding Program'!$K$33&lt;&gt;"",BN$3='Bonding Program'!$K$33),'Bonding Program'!$J$33,0)-IF(AND('Bonding Program'!$M$33&lt;&gt;"",BN$3='Bonding Program'!$M$33),'Bonding Program'!$L$33,0)-IF(AND('Bonding Program'!$P$33&lt;&gt;"",BN$3='Bonding Program'!$P$33),'Bonding Program'!$O$33,0)-IF(AND('Bonding Program'!$R$33&lt;&gt;"",BN$3='Bonding Program'!$R$33),'Bonding Program'!$Q$33,0),0)</f>
        <v>0</v>
      </c>
      <c r="BO174" s="19" t="n">
        <f aca="false">IF(AND('Bonding Program'!$S$33=1,BO$3='Bonding Program'!$H$33),'Bonding Program'!$AA$33,0)-IF(BO$3&lt;='Bonding Program'!$C$8,IF(AND('Bonding Program'!$K$33&lt;&gt;"",BO$3='Bonding Program'!$K$33),'Bonding Program'!$J$33,0)-IF(AND('Bonding Program'!$M$33&lt;&gt;"",BO$3='Bonding Program'!$M$33),'Bonding Program'!$L$33,0)-IF(AND('Bonding Program'!$P$33&lt;&gt;"",BO$3='Bonding Program'!$P$33),'Bonding Program'!$O$33,0)-IF(AND('Bonding Program'!$R$33&lt;&gt;"",BO$3='Bonding Program'!$R$33),'Bonding Program'!$Q$33,0),0)</f>
        <v>0</v>
      </c>
      <c r="BP174" s="19" t="n">
        <f aca="false">IF(AND('Bonding Program'!$S$33=1,BP$3='Bonding Program'!$H$33),'Bonding Program'!$AA$33,0)-IF(BP$3&lt;='Bonding Program'!$C$8,IF(AND('Bonding Program'!$K$33&lt;&gt;"",BP$3='Bonding Program'!$K$33),'Bonding Program'!$J$33,0)-IF(AND('Bonding Program'!$M$33&lt;&gt;"",BP$3='Bonding Program'!$M$33),'Bonding Program'!$L$33,0)-IF(AND('Bonding Program'!$P$33&lt;&gt;"",BP$3='Bonding Program'!$P$33),'Bonding Program'!$O$33,0)-IF(AND('Bonding Program'!$R$33&lt;&gt;"",BP$3='Bonding Program'!$R$33),'Bonding Program'!$Q$33,0),0)</f>
        <v>0</v>
      </c>
      <c r="BQ174" s="19" t="n">
        <f aca="false">IF(AND('Bonding Program'!$S$33=1,BQ$3='Bonding Program'!$H$33),'Bonding Program'!$AA$33,0)-IF(BQ$3&lt;='Bonding Program'!$C$8,IF(AND('Bonding Program'!$K$33&lt;&gt;"",BQ$3='Bonding Program'!$K$33),'Bonding Program'!$J$33,0)-IF(AND('Bonding Program'!$M$33&lt;&gt;"",BQ$3='Bonding Program'!$M$33),'Bonding Program'!$L$33,0)-IF(AND('Bonding Program'!$P$33&lt;&gt;"",BQ$3='Bonding Program'!$P$33),'Bonding Program'!$O$33,0)-IF(AND('Bonding Program'!$R$33&lt;&gt;"",BQ$3='Bonding Program'!$R$33),'Bonding Program'!$Q$33,0),0)</f>
        <v>0</v>
      </c>
      <c r="BR174" s="19" t="n">
        <f aca="false">IF(AND('Bonding Program'!$S$33=1,BR$3='Bonding Program'!$H$33),'Bonding Program'!$AA$33,0)-IF(BR$3&lt;='Bonding Program'!$C$8,IF(AND('Bonding Program'!$K$33&lt;&gt;"",BR$3='Bonding Program'!$K$33),'Bonding Program'!$J$33,0)-IF(AND('Bonding Program'!$M$33&lt;&gt;"",BR$3='Bonding Program'!$M$33),'Bonding Program'!$L$33,0)-IF(AND('Bonding Program'!$P$33&lt;&gt;"",BR$3='Bonding Program'!$P$33),'Bonding Program'!$O$33,0)-IF(AND('Bonding Program'!$R$33&lt;&gt;"",BR$3='Bonding Program'!$R$33),'Bonding Program'!$Q$33,0),0)</f>
        <v>0</v>
      </c>
      <c r="BS174" s="19" t="n">
        <f aca="false">IF(AND('Bonding Program'!$S$33=1,BS$3='Bonding Program'!$H$33),'Bonding Program'!$AA$33,0)-IF(BS$3&lt;='Bonding Program'!$C$8,IF(AND('Bonding Program'!$K$33&lt;&gt;"",BS$3='Bonding Program'!$K$33),'Bonding Program'!$J$33,0)-IF(AND('Bonding Program'!$M$33&lt;&gt;"",BS$3='Bonding Program'!$M$33),'Bonding Program'!$L$33,0)-IF(AND('Bonding Program'!$P$33&lt;&gt;"",BS$3='Bonding Program'!$P$33),'Bonding Program'!$O$33,0)-IF(AND('Bonding Program'!$R$33&lt;&gt;"",BS$3='Bonding Program'!$R$33),'Bonding Program'!$Q$33,0),0)</f>
        <v>0</v>
      </c>
      <c r="BT174" s="19" t="n">
        <f aca="false">IF(AND('Bonding Program'!$S$33=1,BT$3='Bonding Program'!$H$33),'Bonding Program'!$AA$33,0)-IF(BT$3&lt;='Bonding Program'!$C$8,IF(AND('Bonding Program'!$K$33&lt;&gt;"",BT$3='Bonding Program'!$K$33),'Bonding Program'!$J$33,0)-IF(AND('Bonding Program'!$M$33&lt;&gt;"",BT$3='Bonding Program'!$M$33),'Bonding Program'!$L$33,0)-IF(AND('Bonding Program'!$P$33&lt;&gt;"",BT$3='Bonding Program'!$P$33),'Bonding Program'!$O$33,0)-IF(AND('Bonding Program'!$R$33&lt;&gt;"",BT$3='Bonding Program'!$R$33),'Bonding Program'!$Q$33,0),0)</f>
        <v>0</v>
      </c>
      <c r="BU174" s="19" t="n">
        <f aca="false">IF(AND('Bonding Program'!$S$33=1,BU$3='Bonding Program'!$H$33),'Bonding Program'!$AA$33,0)-IF(BU$3&lt;='Bonding Program'!$C$8,IF(AND('Bonding Program'!$K$33&lt;&gt;"",BU$3='Bonding Program'!$K$33),'Bonding Program'!$J$33,0)-IF(AND('Bonding Program'!$M$33&lt;&gt;"",BU$3='Bonding Program'!$M$33),'Bonding Program'!$L$33,0)-IF(AND('Bonding Program'!$P$33&lt;&gt;"",BU$3='Bonding Program'!$P$33),'Bonding Program'!$O$33,0)-IF(AND('Bonding Program'!$R$33&lt;&gt;"",BU$3='Bonding Program'!$R$33),'Bonding Program'!$Q$33,0),0)</f>
        <v>0</v>
      </c>
      <c r="BV174" s="19" t="n">
        <f aca="false">IF(AND('Bonding Program'!$S$33=1,BV$3='Bonding Program'!$H$33),'Bonding Program'!$AA$33,0)-IF(BV$3&lt;='Bonding Program'!$C$8,IF(AND('Bonding Program'!$K$33&lt;&gt;"",BV$3='Bonding Program'!$K$33),'Bonding Program'!$J$33,0)-IF(AND('Bonding Program'!$M$33&lt;&gt;"",BV$3='Bonding Program'!$M$33),'Bonding Program'!$L$33,0)-IF(AND('Bonding Program'!$P$33&lt;&gt;"",BV$3='Bonding Program'!$P$33),'Bonding Program'!$O$33,0)-IF(AND('Bonding Program'!$R$33&lt;&gt;"",BV$3='Bonding Program'!$R$33),'Bonding Program'!$Q$33,0),0)</f>
        <v>0</v>
      </c>
      <c r="BW174" s="19" t="n">
        <f aca="false">IF(AND('Bonding Program'!$S$33=1,BW$3='Bonding Program'!$H$33),'Bonding Program'!$AA$33,0)-IF(BW$3&lt;='Bonding Program'!$C$8,IF(AND('Bonding Program'!$K$33&lt;&gt;"",BW$3='Bonding Program'!$K$33),'Bonding Program'!$J$33,0)-IF(AND('Bonding Program'!$M$33&lt;&gt;"",BW$3='Bonding Program'!$M$33),'Bonding Program'!$L$33,0)-IF(AND('Bonding Program'!$P$33&lt;&gt;"",BW$3='Bonding Program'!$P$33),'Bonding Program'!$O$33,0)-IF(AND('Bonding Program'!$R$33&lt;&gt;"",BW$3='Bonding Program'!$R$33),'Bonding Program'!$Q$33,0),0)</f>
        <v>0</v>
      </c>
      <c r="BX174" s="19" t="n">
        <f aca="false">IF(AND('Bonding Program'!$S$33=1,BX$3='Bonding Program'!$H$33),'Bonding Program'!$AA$33,0)-IF(BX$3&lt;='Bonding Program'!$C$8,IF(AND('Bonding Program'!$K$33&lt;&gt;"",BX$3='Bonding Program'!$K$33),'Bonding Program'!$J$33,0)-IF(AND('Bonding Program'!$M$33&lt;&gt;"",BX$3='Bonding Program'!$M$33),'Bonding Program'!$L$33,0)-IF(AND('Bonding Program'!$P$33&lt;&gt;"",BX$3='Bonding Program'!$P$33),'Bonding Program'!$O$33,0)-IF(AND('Bonding Program'!$R$33&lt;&gt;"",BX$3='Bonding Program'!$R$33),'Bonding Program'!$Q$33,0),0)</f>
        <v>0</v>
      </c>
      <c r="BY174" s="19" t="n">
        <f aca="false">IF(AND('Bonding Program'!$S$33=1,BY$3='Bonding Program'!$H$33),'Bonding Program'!$AA$33,0)-IF(BY$3&lt;='Bonding Program'!$C$8,IF(AND('Bonding Program'!$K$33&lt;&gt;"",BY$3='Bonding Program'!$K$33),'Bonding Program'!$J$33,0)-IF(AND('Bonding Program'!$M$33&lt;&gt;"",BY$3='Bonding Program'!$M$33),'Bonding Program'!$L$33,0)-IF(AND('Bonding Program'!$P$33&lt;&gt;"",BY$3='Bonding Program'!$P$33),'Bonding Program'!$O$33,0)-IF(AND('Bonding Program'!$R$33&lt;&gt;"",BY$3='Bonding Program'!$R$33),'Bonding Program'!$Q$33,0),0)</f>
        <v>0</v>
      </c>
      <c r="BZ174" s="19" t="n">
        <f aca="false">IF(AND('Bonding Program'!$S$33=1,BZ$3='Bonding Program'!$H$33),'Bonding Program'!$AA$33,0)-IF(BZ$3&lt;='Bonding Program'!$C$8,IF(AND('Bonding Program'!$K$33&lt;&gt;"",BZ$3='Bonding Program'!$K$33),'Bonding Program'!$J$33,0)-IF(AND('Bonding Program'!$M$33&lt;&gt;"",BZ$3='Bonding Program'!$M$33),'Bonding Program'!$L$33,0)-IF(AND('Bonding Program'!$P$33&lt;&gt;"",BZ$3='Bonding Program'!$P$33),'Bonding Program'!$O$33,0)-IF(AND('Bonding Program'!$R$33&lt;&gt;"",BZ$3='Bonding Program'!$R$33),'Bonding Program'!$Q$33,0),0)</f>
        <v>0</v>
      </c>
      <c r="CA174" s="19" t="n">
        <f aca="false">IF(AND('Bonding Program'!$S$33=1,CA$3='Bonding Program'!$H$33),'Bonding Program'!$AA$33,0)-IF(CA$3&lt;='Bonding Program'!$C$8,IF(AND('Bonding Program'!$K$33&lt;&gt;"",CA$3='Bonding Program'!$K$33),'Bonding Program'!$J$33,0)-IF(AND('Bonding Program'!$M$33&lt;&gt;"",CA$3='Bonding Program'!$M$33),'Bonding Program'!$L$33,0)-IF(AND('Bonding Program'!$P$33&lt;&gt;"",CA$3='Bonding Program'!$P$33),'Bonding Program'!$O$33,0)-IF(AND('Bonding Program'!$R$33&lt;&gt;"",CA$3='Bonding Program'!$R$33),'Bonding Program'!$Q$33,0),0)</f>
        <v>0</v>
      </c>
      <c r="CB174" s="19" t="n">
        <f aca="false">IF(AND('Bonding Program'!$S$33=1,CB$3='Bonding Program'!$H$33),'Bonding Program'!$AA$33,0)-IF(CB$3&lt;='Bonding Program'!$C$8,IF(AND('Bonding Program'!$K$33&lt;&gt;"",CB$3='Bonding Program'!$K$33),'Bonding Program'!$J$33,0)-IF(AND('Bonding Program'!$M$33&lt;&gt;"",CB$3='Bonding Program'!$M$33),'Bonding Program'!$L$33,0)-IF(AND('Bonding Program'!$P$33&lt;&gt;"",CB$3='Bonding Program'!$P$33),'Bonding Program'!$O$33,0)-IF(AND('Bonding Program'!$R$33&lt;&gt;"",CB$3='Bonding Program'!$R$33),'Bonding Program'!$Q$33,0),0)</f>
        <v>0</v>
      </c>
      <c r="CC174" s="19" t="n">
        <f aca="false">IF(AND('Bonding Program'!$S$33=1,CC$3='Bonding Program'!$H$33),'Bonding Program'!$AA$33,0)-IF(CC$3&lt;='Bonding Program'!$C$8,IF(AND('Bonding Program'!$K$33&lt;&gt;"",CC$3='Bonding Program'!$K$33),'Bonding Program'!$J$33,0)-IF(AND('Bonding Program'!$M$33&lt;&gt;"",CC$3='Bonding Program'!$M$33),'Bonding Program'!$L$33,0)-IF(AND('Bonding Program'!$P$33&lt;&gt;"",CC$3='Bonding Program'!$P$33),'Bonding Program'!$O$33,0)-IF(AND('Bonding Program'!$R$33&lt;&gt;"",CC$3='Bonding Program'!$R$33),'Bonding Program'!$Q$33,0),0)</f>
        <v>0</v>
      </c>
      <c r="CD174" s="19" t="n">
        <f aca="false">IF(AND('Bonding Program'!$S$33=1,CD$3='Bonding Program'!$H$33),'Bonding Program'!$AA$33,0)-IF(CD$3&lt;='Bonding Program'!$C$8,IF(AND('Bonding Program'!$K$33&lt;&gt;"",CD$3='Bonding Program'!$K$33),'Bonding Program'!$J$33,0)-IF(AND('Bonding Program'!$M$33&lt;&gt;"",CD$3='Bonding Program'!$M$33),'Bonding Program'!$L$33,0)-IF(AND('Bonding Program'!$P$33&lt;&gt;"",CD$3='Bonding Program'!$P$33),'Bonding Program'!$O$33,0)-IF(AND('Bonding Program'!$R$33&lt;&gt;"",CD$3='Bonding Program'!$R$33),'Bonding Program'!$Q$33,0),0)</f>
        <v>0</v>
      </c>
      <c r="CE174" s="19" t="n">
        <f aca="false">IF(AND('Bonding Program'!$S$33=1,CE$3='Bonding Program'!$H$33),'Bonding Program'!$AA$33,0)-IF(CE$3&lt;='Bonding Program'!$C$8,IF(AND('Bonding Program'!$K$33&lt;&gt;"",CE$3='Bonding Program'!$K$33),'Bonding Program'!$J$33,0)-IF(AND('Bonding Program'!$M$33&lt;&gt;"",CE$3='Bonding Program'!$M$33),'Bonding Program'!$L$33,0)-IF(AND('Bonding Program'!$P$33&lt;&gt;"",CE$3='Bonding Program'!$P$33),'Bonding Program'!$O$33,0)-IF(AND('Bonding Program'!$R$33&lt;&gt;"",CE$3='Bonding Program'!$R$33),'Bonding Program'!$Q$33,0),0)</f>
        <v>0</v>
      </c>
      <c r="CF174" s="19" t="n">
        <f aca="false">IF(AND('Bonding Program'!$S$33=1,CF$3='Bonding Program'!$H$33),'Bonding Program'!$AA$33,0)-IF(CF$3&lt;='Bonding Program'!$C$8,IF(AND('Bonding Program'!$K$33&lt;&gt;"",CF$3='Bonding Program'!$K$33),'Bonding Program'!$J$33,0)-IF(AND('Bonding Program'!$M$33&lt;&gt;"",CF$3='Bonding Program'!$M$33),'Bonding Program'!$L$33,0)-IF(AND('Bonding Program'!$P$33&lt;&gt;"",CF$3='Bonding Program'!$P$33),'Bonding Program'!$O$33,0)-IF(AND('Bonding Program'!$R$33&lt;&gt;"",CF$3='Bonding Program'!$R$33),'Bonding Program'!$Q$33,0),0)</f>
        <v>0</v>
      </c>
      <c r="CG174" s="19" t="n">
        <f aca="false">IF(AND('Bonding Program'!$S$33=1,CG$3='Bonding Program'!$H$33),'Bonding Program'!$AA$33,0)-IF(CG$3&lt;='Bonding Program'!$C$8,IF(AND('Bonding Program'!$K$33&lt;&gt;"",CG$3='Bonding Program'!$K$33),'Bonding Program'!$J$33,0)-IF(AND('Bonding Program'!$M$33&lt;&gt;"",CG$3='Bonding Program'!$M$33),'Bonding Program'!$L$33,0)-IF(AND('Bonding Program'!$P$33&lt;&gt;"",CG$3='Bonding Program'!$P$33),'Bonding Program'!$O$33,0)-IF(AND('Bonding Program'!$R$33&lt;&gt;"",CG$3='Bonding Program'!$R$33),'Bonding Program'!$Q$33,0),0)</f>
        <v>0</v>
      </c>
      <c r="CH174" s="19" t="n">
        <f aca="false">IF(AND('Bonding Program'!$S$33=1,CH$3='Bonding Program'!$H$33),'Bonding Program'!$AA$33,0)-IF(CH$3&lt;='Bonding Program'!$C$8,IF(AND('Bonding Program'!$K$33&lt;&gt;"",CH$3='Bonding Program'!$K$33),'Bonding Program'!$J$33,0)-IF(AND('Bonding Program'!$M$33&lt;&gt;"",CH$3='Bonding Program'!$M$33),'Bonding Program'!$L$33,0)-IF(AND('Bonding Program'!$P$33&lt;&gt;"",CH$3='Bonding Program'!$P$33),'Bonding Program'!$O$33,0)-IF(AND('Bonding Program'!$R$33&lt;&gt;"",CH$3='Bonding Program'!$R$33),'Bonding Program'!$Q$33,0),0)</f>
        <v>0</v>
      </c>
      <c r="CI174" s="19" t="n">
        <f aca="false">IF(AND('Bonding Program'!$S$33=1,CI$3='Bonding Program'!$H$33),'Bonding Program'!$AA$33,0)-IF(CI$3&lt;='Bonding Program'!$C$8,IF(AND('Bonding Program'!$K$33&lt;&gt;"",CI$3='Bonding Program'!$K$33),'Bonding Program'!$J$33,0)-IF(AND('Bonding Program'!$M$33&lt;&gt;"",CI$3='Bonding Program'!$M$33),'Bonding Program'!$L$33,0)-IF(AND('Bonding Program'!$P$33&lt;&gt;"",CI$3='Bonding Program'!$P$33),'Bonding Program'!$O$33,0)-IF(AND('Bonding Program'!$R$33&lt;&gt;"",CI$3='Bonding Program'!$R$33),'Bonding Program'!$Q$33,0),0)</f>
        <v>0</v>
      </c>
      <c r="CJ174" s="19" t="n">
        <f aca="false">IF(AND('Bonding Program'!$S$33=1,CJ$3='Bonding Program'!$H$33),'Bonding Program'!$AA$33,0)-IF(CJ$3&lt;='Bonding Program'!$C$8,IF(AND('Bonding Program'!$K$33&lt;&gt;"",CJ$3='Bonding Program'!$K$33),'Bonding Program'!$J$33,0)-IF(AND('Bonding Program'!$M$33&lt;&gt;"",CJ$3='Bonding Program'!$M$33),'Bonding Program'!$L$33,0)-IF(AND('Bonding Program'!$P$33&lt;&gt;"",CJ$3='Bonding Program'!$P$33),'Bonding Program'!$O$33,0)-IF(AND('Bonding Program'!$R$33&lt;&gt;"",CJ$3='Bonding Program'!$R$33),'Bonding Program'!$Q$33,0),0)</f>
        <v>0</v>
      </c>
      <c r="CK174" s="19" t="n">
        <f aca="false">IF(AND('Bonding Program'!$S$33=1,CK$3='Bonding Program'!$H$33),'Bonding Program'!$AA$33,0)-IF(CK$3&lt;='Bonding Program'!$C$8,IF(AND('Bonding Program'!$K$33&lt;&gt;"",CK$3='Bonding Program'!$K$33),'Bonding Program'!$J$33,0)-IF(AND('Bonding Program'!$M$33&lt;&gt;"",CK$3='Bonding Program'!$M$33),'Bonding Program'!$L$33,0)-IF(AND('Bonding Program'!$P$33&lt;&gt;"",CK$3='Bonding Program'!$P$33),'Bonding Program'!$O$33,0)-IF(AND('Bonding Program'!$R$33&lt;&gt;"",CK$3='Bonding Program'!$R$33),'Bonding Program'!$Q$33,0),0)</f>
        <v>0</v>
      </c>
      <c r="CL174" s="19" t="n">
        <f aca="false">IF(AND('Bonding Program'!$S$33=1,CL$3='Bonding Program'!$H$33),'Bonding Program'!$AA$33,0)-IF(CL$3&lt;='Bonding Program'!$C$8,IF(AND('Bonding Program'!$K$33&lt;&gt;"",CL$3='Bonding Program'!$K$33),'Bonding Program'!$J$33,0)-IF(AND('Bonding Program'!$M$33&lt;&gt;"",CL$3='Bonding Program'!$M$33),'Bonding Program'!$L$33,0)-IF(AND('Bonding Program'!$P$33&lt;&gt;"",CL$3='Bonding Program'!$P$33),'Bonding Program'!$O$33,0)-IF(AND('Bonding Program'!$R$33&lt;&gt;"",CL$3='Bonding Program'!$R$33),'Bonding Program'!$Q$33,0),0)</f>
        <v>0</v>
      </c>
      <c r="CM174" s="19" t="n">
        <f aca="false">IF(AND('Bonding Program'!$S$33=1,CM$3='Bonding Program'!$H$33),'Bonding Program'!$AA$33,0)-IF(CM$3&lt;='Bonding Program'!$C$8,IF(AND('Bonding Program'!$K$33&lt;&gt;"",CM$3='Bonding Program'!$K$33),'Bonding Program'!$J$33,0)-IF(AND('Bonding Program'!$M$33&lt;&gt;"",CM$3='Bonding Program'!$M$33),'Bonding Program'!$L$33,0)-IF(AND('Bonding Program'!$P$33&lt;&gt;"",CM$3='Bonding Program'!$P$33),'Bonding Program'!$O$33,0)-IF(AND('Bonding Program'!$R$33&lt;&gt;"",CM$3='Bonding Program'!$R$33),'Bonding Program'!$Q$33,0),0)</f>
        <v>0</v>
      </c>
      <c r="CN174" s="19" t="n">
        <f aca="false">IF(AND('Bonding Program'!$S$33=1,CN$3='Bonding Program'!$H$33),'Bonding Program'!$AA$33,0)-IF(CN$3&lt;='Bonding Program'!$C$8,IF(AND('Bonding Program'!$K$33&lt;&gt;"",CN$3='Bonding Program'!$K$33),'Bonding Program'!$J$33,0)-IF(AND('Bonding Program'!$M$33&lt;&gt;"",CN$3='Bonding Program'!$M$33),'Bonding Program'!$L$33,0)-IF(AND('Bonding Program'!$P$33&lt;&gt;"",CN$3='Bonding Program'!$P$33),'Bonding Program'!$O$33,0)-IF(AND('Bonding Program'!$R$33&lt;&gt;"",CN$3='Bonding Program'!$R$33),'Bonding Program'!$Q$33,0),0)</f>
        <v>0</v>
      </c>
      <c r="CO174" s="19" t="n">
        <f aca="false">IF(AND('Bonding Program'!$S$33=1,CO$3='Bonding Program'!$H$33),'Bonding Program'!$AA$33,0)-IF(CO$3&lt;='Bonding Program'!$C$8,IF(AND('Bonding Program'!$K$33&lt;&gt;"",CO$3='Bonding Program'!$K$33),'Bonding Program'!$J$33,0)-IF(AND('Bonding Program'!$M$33&lt;&gt;"",CO$3='Bonding Program'!$M$33),'Bonding Program'!$L$33,0)-IF(AND('Bonding Program'!$P$33&lt;&gt;"",CO$3='Bonding Program'!$P$33),'Bonding Program'!$O$33,0)-IF(AND('Bonding Program'!$R$33&lt;&gt;"",CO$3='Bonding Program'!$R$33),'Bonding Program'!$Q$33,0),0)</f>
        <v>0</v>
      </c>
      <c r="CP174" s="19" t="n">
        <f aca="false">IF(AND('Bonding Program'!$S$33=1,CP$3='Bonding Program'!$H$33),'Bonding Program'!$AA$33,0)-IF(CP$3&lt;='Bonding Program'!$C$8,IF(AND('Bonding Program'!$K$33&lt;&gt;"",CP$3='Bonding Program'!$K$33),'Bonding Program'!$J$33,0)-IF(AND('Bonding Program'!$M$33&lt;&gt;"",CP$3='Bonding Program'!$M$33),'Bonding Program'!$L$33,0)-IF(AND('Bonding Program'!$P$33&lt;&gt;"",CP$3='Bonding Program'!$P$33),'Bonding Program'!$O$33,0)-IF(AND('Bonding Program'!$R$33&lt;&gt;"",CP$3='Bonding Program'!$R$33),'Bonding Program'!$Q$33,0),0)</f>
        <v>0</v>
      </c>
      <c r="CQ174" s="19" t="n">
        <f aca="false">IF(AND('Bonding Program'!$S$33=1,CQ$3='Bonding Program'!$H$33),'Bonding Program'!$AA$33,0)-IF(CQ$3&lt;='Bonding Program'!$C$8,IF(AND('Bonding Program'!$K$33&lt;&gt;"",CQ$3='Bonding Program'!$K$33),'Bonding Program'!$J$33,0)-IF(AND('Bonding Program'!$M$33&lt;&gt;"",CQ$3='Bonding Program'!$M$33),'Bonding Program'!$L$33,0)-IF(AND('Bonding Program'!$P$33&lt;&gt;"",CQ$3='Bonding Program'!$P$33),'Bonding Program'!$O$33,0)-IF(AND('Bonding Program'!$R$33&lt;&gt;"",CQ$3='Bonding Program'!$R$33),'Bonding Program'!$Q$33,0),0)</f>
        <v>0</v>
      </c>
      <c r="CR174" s="19" t="n">
        <f aca="false">IF(AND('Bonding Program'!$S$33=1,CR$3='Bonding Program'!$H$33),'Bonding Program'!$AA$33,0)-IF(CR$3&lt;='Bonding Program'!$C$8,IF(AND('Bonding Program'!$K$33&lt;&gt;"",CR$3='Bonding Program'!$K$33),'Bonding Program'!$J$33,0)-IF(AND('Bonding Program'!$M$33&lt;&gt;"",CR$3='Bonding Program'!$M$33),'Bonding Program'!$L$33,0)-IF(AND('Bonding Program'!$P$33&lt;&gt;"",CR$3='Bonding Program'!$P$33),'Bonding Program'!$O$33,0)-IF(AND('Bonding Program'!$R$33&lt;&gt;"",CR$3='Bonding Program'!$R$33),'Bonding Program'!$Q$33,0),0)</f>
        <v>0</v>
      </c>
      <c r="CS174" s="19" t="n">
        <f aca="false">IF(AND('Bonding Program'!$S$33=1,CS$3='Bonding Program'!$H$33),'Bonding Program'!$AA$33,0)-IF(CS$3&lt;='Bonding Program'!$C$8,IF(AND('Bonding Program'!$K$33&lt;&gt;"",CS$3='Bonding Program'!$K$33),'Bonding Program'!$J$33,0)-IF(AND('Bonding Program'!$M$33&lt;&gt;"",CS$3='Bonding Program'!$M$33),'Bonding Program'!$L$33,0)-IF(AND('Bonding Program'!$P$33&lt;&gt;"",CS$3='Bonding Program'!$P$33),'Bonding Program'!$O$33,0)-IF(AND('Bonding Program'!$R$33&lt;&gt;"",CS$3='Bonding Program'!$R$33),'Bonding Program'!$Q$33,0),0)</f>
        <v>0</v>
      </c>
      <c r="CT174" s="19" t="n">
        <f aca="false">IF(AND('Bonding Program'!$S$33=1,CT$3='Bonding Program'!$H$33),'Bonding Program'!$AA$33,0)-IF(CT$3&lt;='Bonding Program'!$C$8,IF(AND('Bonding Program'!$K$33&lt;&gt;"",CT$3='Bonding Program'!$K$33),'Bonding Program'!$J$33,0)-IF(AND('Bonding Program'!$M$33&lt;&gt;"",CT$3='Bonding Program'!$M$33),'Bonding Program'!$L$33,0)-IF(AND('Bonding Program'!$P$33&lt;&gt;"",CT$3='Bonding Program'!$P$33),'Bonding Program'!$O$33,0)-IF(AND('Bonding Program'!$R$33&lt;&gt;"",CT$3='Bonding Program'!$R$33),'Bonding Program'!$Q$33,0),0)</f>
        <v>0</v>
      </c>
      <c r="CU174" s="19" t="n">
        <f aca="false">IF(AND('Bonding Program'!$S$33=1,CU$3='Bonding Program'!$H$33),'Bonding Program'!$AA$33,0)-IF(CU$3&lt;='Bonding Program'!$C$8,IF(AND('Bonding Program'!$K$33&lt;&gt;"",CU$3='Bonding Program'!$K$33),'Bonding Program'!$J$33,0)-IF(AND('Bonding Program'!$M$33&lt;&gt;"",CU$3='Bonding Program'!$M$33),'Bonding Program'!$L$33,0)-IF(AND('Bonding Program'!$P$33&lt;&gt;"",CU$3='Bonding Program'!$P$33),'Bonding Program'!$O$33,0)-IF(AND('Bonding Program'!$R$33&lt;&gt;"",CU$3='Bonding Program'!$R$33),'Bonding Program'!$Q$33,0),0)</f>
        <v>0</v>
      </c>
      <c r="CV174" s="19" t="n">
        <f aca="false">IF(AND('Bonding Program'!$S$33=1,CV$3='Bonding Program'!$H$33),'Bonding Program'!$AA$33,0)-IF(CV$3&lt;='Bonding Program'!$C$8,IF(AND('Bonding Program'!$K$33&lt;&gt;"",CV$3='Bonding Program'!$K$33),'Bonding Program'!$J$33,0)-IF(AND('Bonding Program'!$M$33&lt;&gt;"",CV$3='Bonding Program'!$M$33),'Bonding Program'!$L$33,0)-IF(AND('Bonding Program'!$P$33&lt;&gt;"",CV$3='Bonding Program'!$P$33),'Bonding Program'!$O$33,0)-IF(AND('Bonding Program'!$R$33&lt;&gt;"",CV$3='Bonding Program'!$R$33),'Bonding Program'!$Q$33,0),0)</f>
        <v>0</v>
      </c>
      <c r="CW174" s="19" t="n">
        <f aca="false">IF(AND('Bonding Program'!$S$33=1,CW$3='Bonding Program'!$H$33),'Bonding Program'!$AA$33,0)-IF(CW$3&lt;='Bonding Program'!$C$8,IF(AND('Bonding Program'!$K$33&lt;&gt;"",CW$3='Bonding Program'!$K$33),'Bonding Program'!$J$33,0)-IF(AND('Bonding Program'!$M$33&lt;&gt;"",CW$3='Bonding Program'!$M$33),'Bonding Program'!$L$33,0)-IF(AND('Bonding Program'!$P$33&lt;&gt;"",CW$3='Bonding Program'!$P$33),'Bonding Program'!$O$33,0)-IF(AND('Bonding Program'!$R$33&lt;&gt;"",CW$3='Bonding Program'!$R$33),'Bonding Program'!$Q$33,0),0)</f>
        <v>0</v>
      </c>
      <c r="CX174" s="19" t="n">
        <f aca="false">IF(AND('Bonding Program'!$S$33=1,CX$3='Bonding Program'!$H$33),'Bonding Program'!$AA$33,0)-IF(CX$3&lt;='Bonding Program'!$C$8,IF(AND('Bonding Program'!$K$33&lt;&gt;"",CX$3='Bonding Program'!$K$33),'Bonding Program'!$J$33,0)-IF(AND('Bonding Program'!$M$33&lt;&gt;"",CX$3='Bonding Program'!$M$33),'Bonding Program'!$L$33,0)-IF(AND('Bonding Program'!$P$33&lt;&gt;"",CX$3='Bonding Program'!$P$33),'Bonding Program'!$O$33,0)-IF(AND('Bonding Program'!$R$33&lt;&gt;"",CX$3='Bonding Program'!$R$33),'Bonding Program'!$Q$33,0),0)</f>
        <v>0</v>
      </c>
      <c r="CY174" s="19" t="n">
        <f aca="false">IF(AND('Bonding Program'!$S$33=1,CY$3='Bonding Program'!$H$33),'Bonding Program'!$AA$33,0)-IF(CY$3&lt;='Bonding Program'!$C$8,IF(AND('Bonding Program'!$K$33&lt;&gt;"",CY$3='Bonding Program'!$K$33),'Bonding Program'!$J$33,0)-IF(AND('Bonding Program'!$M$33&lt;&gt;"",CY$3='Bonding Program'!$M$33),'Bonding Program'!$L$33,0)-IF(AND('Bonding Program'!$P$33&lt;&gt;"",CY$3='Bonding Program'!$P$33),'Bonding Program'!$O$33,0)-IF(AND('Bonding Program'!$R$33&lt;&gt;"",CY$3='Bonding Program'!$R$33),'Bonding Program'!$Q$33,0),0)</f>
        <v>0</v>
      </c>
      <c r="CZ174" s="19" t="n">
        <f aca="false">IF(AND('Bonding Program'!$S$33=1,CZ$3='Bonding Program'!$H$33),'Bonding Program'!$AA$33,0)-IF(CZ$3&lt;='Bonding Program'!$C$8,IF(AND('Bonding Program'!$K$33&lt;&gt;"",CZ$3='Bonding Program'!$K$33),'Bonding Program'!$J$33,0)-IF(AND('Bonding Program'!$M$33&lt;&gt;"",CZ$3='Bonding Program'!$M$33),'Bonding Program'!$L$33,0)-IF(AND('Bonding Program'!$P$33&lt;&gt;"",CZ$3='Bonding Program'!$P$33),'Bonding Program'!$O$33,0)-IF(AND('Bonding Program'!$R$33&lt;&gt;"",CZ$3='Bonding Program'!$R$33),'Bonding Program'!$Q$33,0),0)</f>
        <v>0</v>
      </c>
      <c r="DA174" s="19" t="n">
        <f aca="false">IF(AND('Bonding Program'!$S$33=1,DA$3='Bonding Program'!$H$33),'Bonding Program'!$AA$33,0)-IF(DA$3&lt;='Bonding Program'!$C$8,IF(AND('Bonding Program'!$K$33&lt;&gt;"",DA$3='Bonding Program'!$K$33),'Bonding Program'!$J$33,0)-IF(AND('Bonding Program'!$M$33&lt;&gt;"",DA$3='Bonding Program'!$M$33),'Bonding Program'!$L$33,0)-IF(AND('Bonding Program'!$P$33&lt;&gt;"",DA$3='Bonding Program'!$P$33),'Bonding Program'!$O$33,0)-IF(AND('Bonding Program'!$R$33&lt;&gt;"",DA$3='Bonding Program'!$R$33),'Bonding Program'!$Q$33,0),0)</f>
        <v>0</v>
      </c>
      <c r="DB174" s="19" t="n">
        <f aca="false">IF(AND('Bonding Program'!$S$33=1,DB$3='Bonding Program'!$H$33),'Bonding Program'!$AA$33,0)-IF(DB$3&lt;='Bonding Program'!$C$8,IF(AND('Bonding Program'!$K$33&lt;&gt;"",DB$3='Bonding Program'!$K$33),'Bonding Program'!$J$33,0)-IF(AND('Bonding Program'!$M$33&lt;&gt;"",DB$3='Bonding Program'!$M$33),'Bonding Program'!$L$33,0)-IF(AND('Bonding Program'!$P$33&lt;&gt;"",DB$3='Bonding Program'!$P$33),'Bonding Program'!$O$33,0)-IF(AND('Bonding Program'!$R$33&lt;&gt;"",DB$3='Bonding Program'!$R$33),'Bonding Program'!$Q$33,0),0)</f>
        <v>0</v>
      </c>
      <c r="DC174" s="19" t="n">
        <f aca="false">IF(AND('Bonding Program'!$S$33=1,DC$3='Bonding Program'!$H$33),'Bonding Program'!$AA$33,0)-IF(DC$3&lt;='Bonding Program'!$C$8,IF(AND('Bonding Program'!$K$33&lt;&gt;"",DC$3='Bonding Program'!$K$33),'Bonding Program'!$J$33,0)-IF(AND('Bonding Program'!$M$33&lt;&gt;"",DC$3='Bonding Program'!$M$33),'Bonding Program'!$L$33,0)-IF(AND('Bonding Program'!$P$33&lt;&gt;"",DC$3='Bonding Program'!$P$33),'Bonding Program'!$O$33,0)-IF(AND('Bonding Program'!$R$33&lt;&gt;"",DC$3='Bonding Program'!$R$33),'Bonding Program'!$Q$33,0),0)</f>
        <v>0</v>
      </c>
      <c r="DD174" s="19" t="n">
        <f aca="false">IF(AND('Bonding Program'!$S$33=1,DD$3='Bonding Program'!$H$33),'Bonding Program'!$AA$33,0)-IF(DD$3&lt;='Bonding Program'!$C$8,IF(AND('Bonding Program'!$K$33&lt;&gt;"",DD$3='Bonding Program'!$K$33),'Bonding Program'!$J$33,0)-IF(AND('Bonding Program'!$M$33&lt;&gt;"",DD$3='Bonding Program'!$M$33),'Bonding Program'!$L$33,0)-IF(AND('Bonding Program'!$P$33&lt;&gt;"",DD$3='Bonding Program'!$P$33),'Bonding Program'!$O$33,0)-IF(AND('Bonding Program'!$R$33&lt;&gt;"",DD$3='Bonding Program'!$R$33),'Bonding Program'!$Q$33,0),0)</f>
        <v>0</v>
      </c>
      <c r="DE174" s="19" t="n">
        <f aca="false">IF(AND('Bonding Program'!$S$33=1,DE$3='Bonding Program'!$H$33),'Bonding Program'!$AA$33,0)-IF(DE$3&lt;='Bonding Program'!$C$8,IF(AND('Bonding Program'!$K$33&lt;&gt;"",DE$3='Bonding Program'!$K$33),'Bonding Program'!$J$33,0)-IF(AND('Bonding Program'!$M$33&lt;&gt;"",DE$3='Bonding Program'!$M$33),'Bonding Program'!$L$33,0)-IF(AND('Bonding Program'!$P$33&lt;&gt;"",DE$3='Bonding Program'!$P$33),'Bonding Program'!$O$33,0)-IF(AND('Bonding Program'!$R$33&lt;&gt;"",DE$3='Bonding Program'!$R$33),'Bonding Program'!$Q$33,0),0)</f>
        <v>0</v>
      </c>
    </row>
    <row r="175" customFormat="false" ht="15" hidden="false" customHeight="true" outlineLevel="1" collapsed="false">
      <c r="A175" s="28" t="s">
        <v>30</v>
      </c>
      <c r="B175" s="19" t="n">
        <f aca="false">IF(AND('Bonding Program'!$S$34=1,B$3='Bonding Program'!$H$34),'Bonding Program'!$AA$34,0)-IF(B$3&lt;='Bonding Program'!$C$8,IF(AND('Bonding Program'!$K$34&lt;&gt;"",B$3='Bonding Program'!$K$34),'Bonding Program'!$J$34,0)-IF(AND('Bonding Program'!$M$34&lt;&gt;"",B$3='Bonding Program'!$M$34),'Bonding Program'!$L$34,0)-IF(AND('Bonding Program'!$P$34&lt;&gt;"",B$3='Bonding Program'!$P$34),'Bonding Program'!$O$34,0)-IF(AND('Bonding Program'!$R$34&lt;&gt;"",B$3='Bonding Program'!$R$34),'Bonding Program'!$Q$34,0),0)</f>
        <v>0</v>
      </c>
      <c r="C175" s="19" t="n">
        <f aca="false">IF(AND('Bonding Program'!$S$34=1,C$3='Bonding Program'!$H$34),'Bonding Program'!$AA$34,0)-IF(C$3&lt;='Bonding Program'!$C$8,IF(AND('Bonding Program'!$K$34&lt;&gt;"",C$3='Bonding Program'!$K$34),'Bonding Program'!$J$34,0)-IF(AND('Bonding Program'!$M$34&lt;&gt;"",C$3='Bonding Program'!$M$34),'Bonding Program'!$L$34,0)-IF(AND('Bonding Program'!$P$34&lt;&gt;"",C$3='Bonding Program'!$P$34),'Bonding Program'!$O$34,0)-IF(AND('Bonding Program'!$R$34&lt;&gt;"",C$3='Bonding Program'!$R$34),'Bonding Program'!$Q$34,0),0)</f>
        <v>0</v>
      </c>
      <c r="D175" s="19" t="n">
        <f aca="false">IF(AND('Bonding Program'!$S$34=1,D$3='Bonding Program'!$H$34),'Bonding Program'!$AA$34,0)-IF(D$3&lt;='Bonding Program'!$C$8,IF(AND('Bonding Program'!$K$34&lt;&gt;"",D$3='Bonding Program'!$K$34),'Bonding Program'!$J$34,0)-IF(AND('Bonding Program'!$M$34&lt;&gt;"",D$3='Bonding Program'!$M$34),'Bonding Program'!$L$34,0)-IF(AND('Bonding Program'!$P$34&lt;&gt;"",D$3='Bonding Program'!$P$34),'Bonding Program'!$O$34,0)-IF(AND('Bonding Program'!$R$34&lt;&gt;"",D$3='Bonding Program'!$R$34),'Bonding Program'!$Q$34,0),0)</f>
        <v>0</v>
      </c>
      <c r="E175" s="19" t="n">
        <f aca="false">IF(AND('Bonding Program'!$S$34=1,E$3='Bonding Program'!$H$34),'Bonding Program'!$AA$34,0)-IF(E$3&lt;='Bonding Program'!$C$8,IF(AND('Bonding Program'!$K$34&lt;&gt;"",E$3='Bonding Program'!$K$34),'Bonding Program'!$J$34,0)-IF(AND('Bonding Program'!$M$34&lt;&gt;"",E$3='Bonding Program'!$M$34),'Bonding Program'!$L$34,0)-IF(AND('Bonding Program'!$P$34&lt;&gt;"",E$3='Bonding Program'!$P$34),'Bonding Program'!$O$34,0)-IF(AND('Bonding Program'!$R$34&lt;&gt;"",E$3='Bonding Program'!$R$34),'Bonding Program'!$Q$34,0),0)</f>
        <v>0</v>
      </c>
      <c r="F175" s="19" t="n">
        <f aca="false">IF(AND('Bonding Program'!$S$34=1,F$3='Bonding Program'!$H$34),'Bonding Program'!$AA$34,0)-IF(F$3&lt;='Bonding Program'!$C$8,IF(AND('Bonding Program'!$K$34&lt;&gt;"",F$3='Bonding Program'!$K$34),'Bonding Program'!$J$34,0)-IF(AND('Bonding Program'!$M$34&lt;&gt;"",F$3='Bonding Program'!$M$34),'Bonding Program'!$L$34,0)-IF(AND('Bonding Program'!$P$34&lt;&gt;"",F$3='Bonding Program'!$P$34),'Bonding Program'!$O$34,0)-IF(AND('Bonding Program'!$R$34&lt;&gt;"",F$3='Bonding Program'!$R$34),'Bonding Program'!$Q$34,0),0)</f>
        <v>0</v>
      </c>
      <c r="G175" s="19" t="n">
        <f aca="false">IF(AND('Bonding Program'!$S$34=1,G$3='Bonding Program'!$H$34),'Bonding Program'!$AA$34,0)-IF(G$3&lt;='Bonding Program'!$C$8,IF(AND('Bonding Program'!$K$34&lt;&gt;"",G$3='Bonding Program'!$K$34),'Bonding Program'!$J$34,0)-IF(AND('Bonding Program'!$M$34&lt;&gt;"",G$3='Bonding Program'!$M$34),'Bonding Program'!$L$34,0)-IF(AND('Bonding Program'!$P$34&lt;&gt;"",G$3='Bonding Program'!$P$34),'Bonding Program'!$O$34,0)-IF(AND('Bonding Program'!$R$34&lt;&gt;"",G$3='Bonding Program'!$R$34),'Bonding Program'!$Q$34,0),0)</f>
        <v>0</v>
      </c>
      <c r="H175" s="19" t="n">
        <f aca="false">IF(AND('Bonding Program'!$S$34=1,H$3='Bonding Program'!$H$34),'Bonding Program'!$AA$34,0)-IF(H$3&lt;='Bonding Program'!$C$8,IF(AND('Bonding Program'!$K$34&lt;&gt;"",H$3='Bonding Program'!$K$34),'Bonding Program'!$J$34,0)-IF(AND('Bonding Program'!$M$34&lt;&gt;"",H$3='Bonding Program'!$M$34),'Bonding Program'!$L$34,0)-IF(AND('Bonding Program'!$P$34&lt;&gt;"",H$3='Bonding Program'!$P$34),'Bonding Program'!$O$34,0)-IF(AND('Bonding Program'!$R$34&lt;&gt;"",H$3='Bonding Program'!$R$34),'Bonding Program'!$Q$34,0),0)</f>
        <v>0</v>
      </c>
      <c r="I175" s="19" t="n">
        <f aca="false">IF(AND('Bonding Program'!$S$34=1,I$3='Bonding Program'!$H$34),'Bonding Program'!$AA$34,0)-IF(I$3&lt;='Bonding Program'!$C$8,IF(AND('Bonding Program'!$K$34&lt;&gt;"",I$3='Bonding Program'!$K$34),'Bonding Program'!$J$34,0)-IF(AND('Bonding Program'!$M$34&lt;&gt;"",I$3='Bonding Program'!$M$34),'Bonding Program'!$L$34,0)-IF(AND('Bonding Program'!$P$34&lt;&gt;"",I$3='Bonding Program'!$P$34),'Bonding Program'!$O$34,0)-IF(AND('Bonding Program'!$R$34&lt;&gt;"",I$3='Bonding Program'!$R$34),'Bonding Program'!$Q$34,0),0)</f>
        <v>0</v>
      </c>
      <c r="J175" s="19" t="n">
        <f aca="false">IF(AND('Bonding Program'!$S$34=1,J$3='Bonding Program'!$H$34),'Bonding Program'!$AA$34,0)-IF(J$3&lt;='Bonding Program'!$C$8,IF(AND('Bonding Program'!$K$34&lt;&gt;"",J$3='Bonding Program'!$K$34),'Bonding Program'!$J$34,0)-IF(AND('Bonding Program'!$M$34&lt;&gt;"",J$3='Bonding Program'!$M$34),'Bonding Program'!$L$34,0)-IF(AND('Bonding Program'!$P$34&lt;&gt;"",J$3='Bonding Program'!$P$34),'Bonding Program'!$O$34,0)-IF(AND('Bonding Program'!$R$34&lt;&gt;"",J$3='Bonding Program'!$R$34),'Bonding Program'!$Q$34,0),0)</f>
        <v>0</v>
      </c>
      <c r="K175" s="19" t="n">
        <f aca="false">IF(AND('Bonding Program'!$S$34=1,K$3='Bonding Program'!$H$34),'Bonding Program'!$AA$34,0)-IF(K$3&lt;='Bonding Program'!$C$8,IF(AND('Bonding Program'!$K$34&lt;&gt;"",K$3='Bonding Program'!$K$34),'Bonding Program'!$J$34,0)-IF(AND('Bonding Program'!$M$34&lt;&gt;"",K$3='Bonding Program'!$M$34),'Bonding Program'!$L$34,0)-IF(AND('Bonding Program'!$P$34&lt;&gt;"",K$3='Bonding Program'!$P$34),'Bonding Program'!$O$34,0)-IF(AND('Bonding Program'!$R$34&lt;&gt;"",K$3='Bonding Program'!$R$34),'Bonding Program'!$Q$34,0),0)</f>
        <v>0</v>
      </c>
      <c r="L175" s="19" t="n">
        <f aca="false">IF(AND('Bonding Program'!$S$34=1,L$3='Bonding Program'!$H$34),'Bonding Program'!$AA$34,0)-IF(L$3&lt;='Bonding Program'!$C$8,IF(AND('Bonding Program'!$K$34&lt;&gt;"",L$3='Bonding Program'!$K$34),'Bonding Program'!$J$34,0)-IF(AND('Bonding Program'!$M$34&lt;&gt;"",L$3='Bonding Program'!$M$34),'Bonding Program'!$L$34,0)-IF(AND('Bonding Program'!$P$34&lt;&gt;"",L$3='Bonding Program'!$P$34),'Bonding Program'!$O$34,0)-IF(AND('Bonding Program'!$R$34&lt;&gt;"",L$3='Bonding Program'!$R$34),'Bonding Program'!$Q$34,0),0)</f>
        <v>0</v>
      </c>
      <c r="M175" s="19" t="n">
        <f aca="false">IF(AND('Bonding Program'!$S$34=1,M$3='Bonding Program'!$H$34),'Bonding Program'!$AA$34,0)-IF(M$3&lt;='Bonding Program'!$C$8,IF(AND('Bonding Program'!$K$34&lt;&gt;"",M$3='Bonding Program'!$K$34),'Bonding Program'!$J$34,0)-IF(AND('Bonding Program'!$M$34&lt;&gt;"",M$3='Bonding Program'!$M$34),'Bonding Program'!$L$34,0)-IF(AND('Bonding Program'!$P$34&lt;&gt;"",M$3='Bonding Program'!$P$34),'Bonding Program'!$O$34,0)-IF(AND('Bonding Program'!$R$34&lt;&gt;"",M$3='Bonding Program'!$R$34),'Bonding Program'!$Q$34,0),0)</f>
        <v>0</v>
      </c>
      <c r="N175" s="19" t="n">
        <f aca="false">IF(AND('Bonding Program'!$S$34=1,N$3='Bonding Program'!$H$34),'Bonding Program'!$AA$34,0)-IF(N$3&lt;='Bonding Program'!$C$8,IF(AND('Bonding Program'!$K$34&lt;&gt;"",N$3='Bonding Program'!$K$34),'Bonding Program'!$J$34,0)-IF(AND('Bonding Program'!$M$34&lt;&gt;"",N$3='Bonding Program'!$M$34),'Bonding Program'!$L$34,0)-IF(AND('Bonding Program'!$P$34&lt;&gt;"",N$3='Bonding Program'!$P$34),'Bonding Program'!$O$34,0)-IF(AND('Bonding Program'!$R$34&lt;&gt;"",N$3='Bonding Program'!$R$34),'Bonding Program'!$Q$34,0),0)</f>
        <v>0</v>
      </c>
      <c r="O175" s="19" t="n">
        <f aca="false">IF(AND('Bonding Program'!$S$34=1,O$3='Bonding Program'!$H$34),'Bonding Program'!$AA$34,0)-IF(O$3&lt;='Bonding Program'!$C$8,IF(AND('Bonding Program'!$K$34&lt;&gt;"",O$3='Bonding Program'!$K$34),'Bonding Program'!$J$34,0)-IF(AND('Bonding Program'!$M$34&lt;&gt;"",O$3='Bonding Program'!$M$34),'Bonding Program'!$L$34,0)-IF(AND('Bonding Program'!$P$34&lt;&gt;"",O$3='Bonding Program'!$P$34),'Bonding Program'!$O$34,0)-IF(AND('Bonding Program'!$R$34&lt;&gt;"",O$3='Bonding Program'!$R$34),'Bonding Program'!$Q$34,0),0)</f>
        <v>0</v>
      </c>
      <c r="P175" s="19" t="n">
        <f aca="false">IF(AND('Bonding Program'!$S$34=1,P$3='Bonding Program'!$H$34),'Bonding Program'!$AA$34,0)-IF(P$3&lt;='Bonding Program'!$C$8,IF(AND('Bonding Program'!$K$34&lt;&gt;"",P$3='Bonding Program'!$K$34),'Bonding Program'!$J$34,0)-IF(AND('Bonding Program'!$M$34&lt;&gt;"",P$3='Bonding Program'!$M$34),'Bonding Program'!$L$34,0)-IF(AND('Bonding Program'!$P$34&lt;&gt;"",P$3='Bonding Program'!$P$34),'Bonding Program'!$O$34,0)-IF(AND('Bonding Program'!$R$34&lt;&gt;"",P$3='Bonding Program'!$R$34),'Bonding Program'!$Q$34,0),0)</f>
        <v>0</v>
      </c>
      <c r="Q175" s="19" t="n">
        <f aca="false">IF(AND('Bonding Program'!$S$34=1,Q$3='Bonding Program'!$H$34),'Bonding Program'!$AA$34,0)-IF(Q$3&lt;='Bonding Program'!$C$8,IF(AND('Bonding Program'!$K$34&lt;&gt;"",Q$3='Bonding Program'!$K$34),'Bonding Program'!$J$34,0)-IF(AND('Bonding Program'!$M$34&lt;&gt;"",Q$3='Bonding Program'!$M$34),'Bonding Program'!$L$34,0)-IF(AND('Bonding Program'!$P$34&lt;&gt;"",Q$3='Bonding Program'!$P$34),'Bonding Program'!$O$34,0)-IF(AND('Bonding Program'!$R$34&lt;&gt;"",Q$3='Bonding Program'!$R$34),'Bonding Program'!$Q$34,0),0)</f>
        <v>0</v>
      </c>
      <c r="R175" s="19" t="n">
        <f aca="false">IF(AND('Bonding Program'!$S$34=1,R$3='Bonding Program'!$H$34),'Bonding Program'!$AA$34,0)-IF(R$3&lt;='Bonding Program'!$C$8,IF(AND('Bonding Program'!$K$34&lt;&gt;"",R$3='Bonding Program'!$K$34),'Bonding Program'!$J$34,0)-IF(AND('Bonding Program'!$M$34&lt;&gt;"",R$3='Bonding Program'!$M$34),'Bonding Program'!$L$34,0)-IF(AND('Bonding Program'!$P$34&lt;&gt;"",R$3='Bonding Program'!$P$34),'Bonding Program'!$O$34,0)-IF(AND('Bonding Program'!$R$34&lt;&gt;"",R$3='Bonding Program'!$R$34),'Bonding Program'!$Q$34,0),0)</f>
        <v>0</v>
      </c>
      <c r="S175" s="19" t="n">
        <f aca="false">IF(AND('Bonding Program'!$S$34=1,S$3='Bonding Program'!$H$34),'Bonding Program'!$AA$34,0)-IF(S$3&lt;='Bonding Program'!$C$8,IF(AND('Bonding Program'!$K$34&lt;&gt;"",S$3='Bonding Program'!$K$34),'Bonding Program'!$J$34,0)-IF(AND('Bonding Program'!$M$34&lt;&gt;"",S$3='Bonding Program'!$M$34),'Bonding Program'!$L$34,0)-IF(AND('Bonding Program'!$P$34&lt;&gt;"",S$3='Bonding Program'!$P$34),'Bonding Program'!$O$34,0)-IF(AND('Bonding Program'!$R$34&lt;&gt;"",S$3='Bonding Program'!$R$34),'Bonding Program'!$Q$34,0),0)</f>
        <v>0</v>
      </c>
      <c r="T175" s="19" t="n">
        <f aca="false">IF(AND('Bonding Program'!$S$34=1,T$3='Bonding Program'!$H$34),'Bonding Program'!$AA$34,0)-IF(T$3&lt;='Bonding Program'!$C$8,IF(AND('Bonding Program'!$K$34&lt;&gt;"",T$3='Bonding Program'!$K$34),'Bonding Program'!$J$34,0)-IF(AND('Bonding Program'!$M$34&lt;&gt;"",T$3='Bonding Program'!$M$34),'Bonding Program'!$L$34,0)-IF(AND('Bonding Program'!$P$34&lt;&gt;"",T$3='Bonding Program'!$P$34),'Bonding Program'!$O$34,0)-IF(AND('Bonding Program'!$R$34&lt;&gt;"",T$3='Bonding Program'!$R$34),'Bonding Program'!$Q$34,0),0)</f>
        <v>0</v>
      </c>
      <c r="U175" s="19" t="n">
        <f aca="false">IF(AND('Bonding Program'!$S$34=1,U$3='Bonding Program'!$H$34),'Bonding Program'!$AA$34,0)-IF(U$3&lt;='Bonding Program'!$C$8,IF(AND('Bonding Program'!$K$34&lt;&gt;"",U$3='Bonding Program'!$K$34),'Bonding Program'!$J$34,0)-IF(AND('Bonding Program'!$M$34&lt;&gt;"",U$3='Bonding Program'!$M$34),'Bonding Program'!$L$34,0)-IF(AND('Bonding Program'!$P$34&lt;&gt;"",U$3='Bonding Program'!$P$34),'Bonding Program'!$O$34,0)-IF(AND('Bonding Program'!$R$34&lt;&gt;"",U$3='Bonding Program'!$R$34),'Bonding Program'!$Q$34,0),0)</f>
        <v>0</v>
      </c>
      <c r="V175" s="19" t="n">
        <f aca="false">IF(AND('Bonding Program'!$S$34=1,V$3='Bonding Program'!$H$34),'Bonding Program'!$AA$34,0)-IF(V$3&lt;='Bonding Program'!$C$8,IF(AND('Bonding Program'!$K$34&lt;&gt;"",V$3='Bonding Program'!$K$34),'Bonding Program'!$J$34,0)-IF(AND('Bonding Program'!$M$34&lt;&gt;"",V$3='Bonding Program'!$M$34),'Bonding Program'!$L$34,0)-IF(AND('Bonding Program'!$P$34&lt;&gt;"",V$3='Bonding Program'!$P$34),'Bonding Program'!$O$34,0)-IF(AND('Bonding Program'!$R$34&lt;&gt;"",V$3='Bonding Program'!$R$34),'Bonding Program'!$Q$34,0),0)</f>
        <v>0</v>
      </c>
      <c r="W175" s="19" t="n">
        <f aca="false">IF(AND('Bonding Program'!$S$34=1,W$3='Bonding Program'!$H$34),'Bonding Program'!$AA$34,0)-IF(W$3&lt;='Bonding Program'!$C$8,IF(AND('Bonding Program'!$K$34&lt;&gt;"",W$3='Bonding Program'!$K$34),'Bonding Program'!$J$34,0)-IF(AND('Bonding Program'!$M$34&lt;&gt;"",W$3='Bonding Program'!$M$34),'Bonding Program'!$L$34,0)-IF(AND('Bonding Program'!$P$34&lt;&gt;"",W$3='Bonding Program'!$P$34),'Bonding Program'!$O$34,0)-IF(AND('Bonding Program'!$R$34&lt;&gt;"",W$3='Bonding Program'!$R$34),'Bonding Program'!$Q$34,0),0)</f>
        <v>0</v>
      </c>
      <c r="X175" s="19" t="n">
        <f aca="false">IF(AND('Bonding Program'!$S$34=1,X$3='Bonding Program'!$H$34),'Bonding Program'!$AA$34,0)-IF(X$3&lt;='Bonding Program'!$C$8,IF(AND('Bonding Program'!$K$34&lt;&gt;"",X$3='Bonding Program'!$K$34),'Bonding Program'!$J$34,0)-IF(AND('Bonding Program'!$M$34&lt;&gt;"",X$3='Bonding Program'!$M$34),'Bonding Program'!$L$34,0)-IF(AND('Bonding Program'!$P$34&lt;&gt;"",X$3='Bonding Program'!$P$34),'Bonding Program'!$O$34,0)-IF(AND('Bonding Program'!$R$34&lt;&gt;"",X$3='Bonding Program'!$R$34),'Bonding Program'!$Q$34,0),0)</f>
        <v>0</v>
      </c>
      <c r="Y175" s="19" t="n">
        <f aca="false">IF(AND('Bonding Program'!$S$34=1,Y$3='Bonding Program'!$H$34),'Bonding Program'!$AA$34,0)-IF(Y$3&lt;='Bonding Program'!$C$8,IF(AND('Bonding Program'!$K$34&lt;&gt;"",Y$3='Bonding Program'!$K$34),'Bonding Program'!$J$34,0)-IF(AND('Bonding Program'!$M$34&lt;&gt;"",Y$3='Bonding Program'!$M$34),'Bonding Program'!$L$34,0)-IF(AND('Bonding Program'!$P$34&lt;&gt;"",Y$3='Bonding Program'!$P$34),'Bonding Program'!$O$34,0)-IF(AND('Bonding Program'!$R$34&lt;&gt;"",Y$3='Bonding Program'!$R$34),'Bonding Program'!$Q$34,0),0)</f>
        <v>0</v>
      </c>
      <c r="Z175" s="19" t="n">
        <f aca="false">IF(AND('Bonding Program'!$S$34=1,Z$3='Bonding Program'!$H$34),'Bonding Program'!$AA$34,0)-IF(Z$3&lt;='Bonding Program'!$C$8,IF(AND('Bonding Program'!$K$34&lt;&gt;"",Z$3='Bonding Program'!$K$34),'Bonding Program'!$J$34,0)-IF(AND('Bonding Program'!$M$34&lt;&gt;"",Z$3='Bonding Program'!$M$34),'Bonding Program'!$L$34,0)-IF(AND('Bonding Program'!$P$34&lt;&gt;"",Z$3='Bonding Program'!$P$34),'Bonding Program'!$O$34,0)-IF(AND('Bonding Program'!$R$34&lt;&gt;"",Z$3='Bonding Program'!$R$34),'Bonding Program'!$Q$34,0),0)</f>
        <v>0</v>
      </c>
      <c r="AA175" s="19" t="n">
        <f aca="false">IF(AND('Bonding Program'!$S$34=1,AA$3='Bonding Program'!$H$34),'Bonding Program'!$AA$34,0)-IF(AA$3&lt;='Bonding Program'!$C$8,IF(AND('Bonding Program'!$K$34&lt;&gt;"",AA$3='Bonding Program'!$K$34),'Bonding Program'!$J$34,0)-IF(AND('Bonding Program'!$M$34&lt;&gt;"",AA$3='Bonding Program'!$M$34),'Bonding Program'!$L$34,0)-IF(AND('Bonding Program'!$P$34&lt;&gt;"",AA$3='Bonding Program'!$P$34),'Bonding Program'!$O$34,0)-IF(AND('Bonding Program'!$R$34&lt;&gt;"",AA$3='Bonding Program'!$R$34),'Bonding Program'!$Q$34,0),0)</f>
        <v>0</v>
      </c>
      <c r="AB175" s="19" t="n">
        <f aca="false">IF(AND('Bonding Program'!$S$34=1,AB$3='Bonding Program'!$H$34),'Bonding Program'!$AA$34,0)-IF(AB$3&lt;='Bonding Program'!$C$8,IF(AND('Bonding Program'!$K$34&lt;&gt;"",AB$3='Bonding Program'!$K$34),'Bonding Program'!$J$34,0)-IF(AND('Bonding Program'!$M$34&lt;&gt;"",AB$3='Bonding Program'!$M$34),'Bonding Program'!$L$34,0)-IF(AND('Bonding Program'!$P$34&lt;&gt;"",AB$3='Bonding Program'!$P$34),'Bonding Program'!$O$34,0)-IF(AND('Bonding Program'!$R$34&lt;&gt;"",AB$3='Bonding Program'!$R$34),'Bonding Program'!$Q$34,0),0)</f>
        <v>0</v>
      </c>
      <c r="AC175" s="19" t="n">
        <f aca="false">IF(AND('Bonding Program'!$S$34=1,AC$3='Bonding Program'!$H$34),'Bonding Program'!$AA$34,0)-IF(AC$3&lt;='Bonding Program'!$C$8,IF(AND('Bonding Program'!$K$34&lt;&gt;"",AC$3='Bonding Program'!$K$34),'Bonding Program'!$J$34,0)-IF(AND('Bonding Program'!$M$34&lt;&gt;"",AC$3='Bonding Program'!$M$34),'Bonding Program'!$L$34,0)-IF(AND('Bonding Program'!$P$34&lt;&gt;"",AC$3='Bonding Program'!$P$34),'Bonding Program'!$O$34,0)-IF(AND('Bonding Program'!$R$34&lt;&gt;"",AC$3='Bonding Program'!$R$34),'Bonding Program'!$Q$34,0),0)</f>
        <v>0</v>
      </c>
      <c r="AD175" s="19" t="n">
        <f aca="false">IF(AND('Bonding Program'!$S$34=1,AD$3='Bonding Program'!$H$34),'Bonding Program'!$AA$34,0)-IF(AD$3&lt;='Bonding Program'!$C$8,IF(AND('Bonding Program'!$K$34&lt;&gt;"",AD$3='Bonding Program'!$K$34),'Bonding Program'!$J$34,0)-IF(AND('Bonding Program'!$M$34&lt;&gt;"",AD$3='Bonding Program'!$M$34),'Bonding Program'!$L$34,0)-IF(AND('Bonding Program'!$P$34&lt;&gt;"",AD$3='Bonding Program'!$P$34),'Bonding Program'!$O$34,0)-IF(AND('Bonding Program'!$R$34&lt;&gt;"",AD$3='Bonding Program'!$R$34),'Bonding Program'!$Q$34,0),0)</f>
        <v>0</v>
      </c>
      <c r="AE175" s="19" t="n">
        <f aca="false">IF(AND('Bonding Program'!$S$34=1,AE$3='Bonding Program'!$H$34),'Bonding Program'!$AA$34,0)-IF(AE$3&lt;='Bonding Program'!$C$8,IF(AND('Bonding Program'!$K$34&lt;&gt;"",AE$3='Bonding Program'!$K$34),'Bonding Program'!$J$34,0)-IF(AND('Bonding Program'!$M$34&lt;&gt;"",AE$3='Bonding Program'!$M$34),'Bonding Program'!$L$34,0)-IF(AND('Bonding Program'!$P$34&lt;&gt;"",AE$3='Bonding Program'!$P$34),'Bonding Program'!$O$34,0)-IF(AND('Bonding Program'!$R$34&lt;&gt;"",AE$3='Bonding Program'!$R$34),'Bonding Program'!$Q$34,0),0)</f>
        <v>0</v>
      </c>
      <c r="AF175" s="19" t="n">
        <f aca="false">IF(AND('Bonding Program'!$S$34=1,AF$3='Bonding Program'!$H$34),'Bonding Program'!$AA$34,0)-IF(AF$3&lt;='Bonding Program'!$C$8,IF(AND('Bonding Program'!$K$34&lt;&gt;"",AF$3='Bonding Program'!$K$34),'Bonding Program'!$J$34,0)-IF(AND('Bonding Program'!$M$34&lt;&gt;"",AF$3='Bonding Program'!$M$34),'Bonding Program'!$L$34,0)-IF(AND('Bonding Program'!$P$34&lt;&gt;"",AF$3='Bonding Program'!$P$34),'Bonding Program'!$O$34,0)-IF(AND('Bonding Program'!$R$34&lt;&gt;"",AF$3='Bonding Program'!$R$34),'Bonding Program'!$Q$34,0),0)</f>
        <v>0</v>
      </c>
      <c r="AG175" s="19" t="n">
        <f aca="false">IF(AND('Bonding Program'!$S$34=1,AG$3='Bonding Program'!$H$34),'Bonding Program'!$AA$34,0)-IF(AG$3&lt;='Bonding Program'!$C$8,IF(AND('Bonding Program'!$K$34&lt;&gt;"",AG$3='Bonding Program'!$K$34),'Bonding Program'!$J$34,0)-IF(AND('Bonding Program'!$M$34&lt;&gt;"",AG$3='Bonding Program'!$M$34),'Bonding Program'!$L$34,0)-IF(AND('Bonding Program'!$P$34&lt;&gt;"",AG$3='Bonding Program'!$P$34),'Bonding Program'!$O$34,0)-IF(AND('Bonding Program'!$R$34&lt;&gt;"",AG$3='Bonding Program'!$R$34),'Bonding Program'!$Q$34,0),0)</f>
        <v>0</v>
      </c>
      <c r="AH175" s="19" t="n">
        <f aca="false">IF(AND('Bonding Program'!$S$34=1,AH$3='Bonding Program'!$H$34),'Bonding Program'!$AA$34,0)-IF(AH$3&lt;='Bonding Program'!$C$8,IF(AND('Bonding Program'!$K$34&lt;&gt;"",AH$3='Bonding Program'!$K$34),'Bonding Program'!$J$34,0)-IF(AND('Bonding Program'!$M$34&lt;&gt;"",AH$3='Bonding Program'!$M$34),'Bonding Program'!$L$34,0)-IF(AND('Bonding Program'!$P$34&lt;&gt;"",AH$3='Bonding Program'!$P$34),'Bonding Program'!$O$34,0)-IF(AND('Bonding Program'!$R$34&lt;&gt;"",AH$3='Bonding Program'!$R$34),'Bonding Program'!$Q$34,0),0)</f>
        <v>0</v>
      </c>
      <c r="AI175" s="19" t="n">
        <f aca="false">IF(AND('Bonding Program'!$S$34=1,AI$3='Bonding Program'!$H$34),'Bonding Program'!$AA$34,0)-IF(AI$3&lt;='Bonding Program'!$C$8,IF(AND('Bonding Program'!$K$34&lt;&gt;"",AI$3='Bonding Program'!$K$34),'Bonding Program'!$J$34,0)-IF(AND('Bonding Program'!$M$34&lt;&gt;"",AI$3='Bonding Program'!$M$34),'Bonding Program'!$L$34,0)-IF(AND('Bonding Program'!$P$34&lt;&gt;"",AI$3='Bonding Program'!$P$34),'Bonding Program'!$O$34,0)-IF(AND('Bonding Program'!$R$34&lt;&gt;"",AI$3='Bonding Program'!$R$34),'Bonding Program'!$Q$34,0),0)</f>
        <v>0</v>
      </c>
      <c r="AJ175" s="19" t="n">
        <f aca="false">IF(AND('Bonding Program'!$S$34=1,AJ$3='Bonding Program'!$H$34),'Bonding Program'!$AA$34,0)-IF(AJ$3&lt;='Bonding Program'!$C$8,IF(AND('Bonding Program'!$K$34&lt;&gt;"",AJ$3='Bonding Program'!$K$34),'Bonding Program'!$J$34,0)-IF(AND('Bonding Program'!$M$34&lt;&gt;"",AJ$3='Bonding Program'!$M$34),'Bonding Program'!$L$34,0)-IF(AND('Bonding Program'!$P$34&lt;&gt;"",AJ$3='Bonding Program'!$P$34),'Bonding Program'!$O$34,0)-IF(AND('Bonding Program'!$R$34&lt;&gt;"",AJ$3='Bonding Program'!$R$34),'Bonding Program'!$Q$34,0),0)</f>
        <v>0</v>
      </c>
      <c r="AK175" s="19" t="n">
        <f aca="false">IF(AND('Bonding Program'!$S$34=1,AK$3='Bonding Program'!$H$34),'Bonding Program'!$AA$34,0)-IF(AK$3&lt;='Bonding Program'!$C$8,IF(AND('Bonding Program'!$K$34&lt;&gt;"",AK$3='Bonding Program'!$K$34),'Bonding Program'!$J$34,0)-IF(AND('Bonding Program'!$M$34&lt;&gt;"",AK$3='Bonding Program'!$M$34),'Bonding Program'!$L$34,0)-IF(AND('Bonding Program'!$P$34&lt;&gt;"",AK$3='Bonding Program'!$P$34),'Bonding Program'!$O$34,0)-IF(AND('Bonding Program'!$R$34&lt;&gt;"",AK$3='Bonding Program'!$R$34),'Bonding Program'!$Q$34,0),0)</f>
        <v>0</v>
      </c>
      <c r="AL175" s="19" t="n">
        <f aca="false">IF(AND('Bonding Program'!$S$34=1,AL$3='Bonding Program'!$H$34),'Bonding Program'!$AA$34,0)-IF(AL$3&lt;='Bonding Program'!$C$8,IF(AND('Bonding Program'!$K$34&lt;&gt;"",AL$3='Bonding Program'!$K$34),'Bonding Program'!$J$34,0)-IF(AND('Bonding Program'!$M$34&lt;&gt;"",AL$3='Bonding Program'!$M$34),'Bonding Program'!$L$34,0)-IF(AND('Bonding Program'!$P$34&lt;&gt;"",AL$3='Bonding Program'!$P$34),'Bonding Program'!$O$34,0)-IF(AND('Bonding Program'!$R$34&lt;&gt;"",AL$3='Bonding Program'!$R$34),'Bonding Program'!$Q$34,0),0)</f>
        <v>0</v>
      </c>
      <c r="AM175" s="19" t="n">
        <f aca="false">IF(AND('Bonding Program'!$S$34=1,AM$3='Bonding Program'!$H$34),'Bonding Program'!$AA$34,0)-IF(AM$3&lt;='Bonding Program'!$C$8,IF(AND('Bonding Program'!$K$34&lt;&gt;"",AM$3='Bonding Program'!$K$34),'Bonding Program'!$J$34,0)-IF(AND('Bonding Program'!$M$34&lt;&gt;"",AM$3='Bonding Program'!$M$34),'Bonding Program'!$L$34,0)-IF(AND('Bonding Program'!$P$34&lt;&gt;"",AM$3='Bonding Program'!$P$34),'Bonding Program'!$O$34,0)-IF(AND('Bonding Program'!$R$34&lt;&gt;"",AM$3='Bonding Program'!$R$34),'Bonding Program'!$Q$34,0),0)</f>
        <v>0</v>
      </c>
      <c r="AN175" s="19" t="n">
        <f aca="false">IF(AND('Bonding Program'!$S$34=1,AN$3='Bonding Program'!$H$34),'Bonding Program'!$AA$34,0)-IF(AN$3&lt;='Bonding Program'!$C$8,IF(AND('Bonding Program'!$K$34&lt;&gt;"",AN$3='Bonding Program'!$K$34),'Bonding Program'!$J$34,0)-IF(AND('Bonding Program'!$M$34&lt;&gt;"",AN$3='Bonding Program'!$M$34),'Bonding Program'!$L$34,0)-IF(AND('Bonding Program'!$P$34&lt;&gt;"",AN$3='Bonding Program'!$P$34),'Bonding Program'!$O$34,0)-IF(AND('Bonding Program'!$R$34&lt;&gt;"",AN$3='Bonding Program'!$R$34),'Bonding Program'!$Q$34,0),0)</f>
        <v>0</v>
      </c>
      <c r="AO175" s="19" t="n">
        <f aca="false">IF(AND('Bonding Program'!$S$34=1,AO$3='Bonding Program'!$H$34),'Bonding Program'!$AA$34,0)-IF(AO$3&lt;='Bonding Program'!$C$8,IF(AND('Bonding Program'!$K$34&lt;&gt;"",AO$3='Bonding Program'!$K$34),'Bonding Program'!$J$34,0)-IF(AND('Bonding Program'!$M$34&lt;&gt;"",AO$3='Bonding Program'!$M$34),'Bonding Program'!$L$34,0)-IF(AND('Bonding Program'!$P$34&lt;&gt;"",AO$3='Bonding Program'!$P$34),'Bonding Program'!$O$34,0)-IF(AND('Bonding Program'!$R$34&lt;&gt;"",AO$3='Bonding Program'!$R$34),'Bonding Program'!$Q$34,0),0)</f>
        <v>0</v>
      </c>
      <c r="AP175" s="19" t="n">
        <f aca="false">IF(AND('Bonding Program'!$S$34=1,AP$3='Bonding Program'!$H$34),'Bonding Program'!$AA$34,0)-IF(AP$3&lt;='Bonding Program'!$C$8,IF(AND('Bonding Program'!$K$34&lt;&gt;"",AP$3='Bonding Program'!$K$34),'Bonding Program'!$J$34,0)-IF(AND('Bonding Program'!$M$34&lt;&gt;"",AP$3='Bonding Program'!$M$34),'Bonding Program'!$L$34,0)-IF(AND('Bonding Program'!$P$34&lt;&gt;"",AP$3='Bonding Program'!$P$34),'Bonding Program'!$O$34,0)-IF(AND('Bonding Program'!$R$34&lt;&gt;"",AP$3='Bonding Program'!$R$34),'Bonding Program'!$Q$34,0),0)</f>
        <v>0</v>
      </c>
      <c r="AQ175" s="19" t="n">
        <f aca="false">IF(AND('Bonding Program'!$S$34=1,AQ$3='Bonding Program'!$H$34),'Bonding Program'!$AA$34,0)-IF(AQ$3&lt;='Bonding Program'!$C$8,IF(AND('Bonding Program'!$K$34&lt;&gt;"",AQ$3='Bonding Program'!$K$34),'Bonding Program'!$J$34,0)-IF(AND('Bonding Program'!$M$34&lt;&gt;"",AQ$3='Bonding Program'!$M$34),'Bonding Program'!$L$34,0)-IF(AND('Bonding Program'!$P$34&lt;&gt;"",AQ$3='Bonding Program'!$P$34),'Bonding Program'!$O$34,0)-IF(AND('Bonding Program'!$R$34&lt;&gt;"",AQ$3='Bonding Program'!$R$34),'Bonding Program'!$Q$34,0),0)</f>
        <v>0</v>
      </c>
      <c r="AR175" s="19" t="n">
        <f aca="false">IF(AND('Bonding Program'!$S$34=1,AR$3='Bonding Program'!$H$34),'Bonding Program'!$AA$34,0)-IF(AR$3&lt;='Bonding Program'!$C$8,IF(AND('Bonding Program'!$K$34&lt;&gt;"",AR$3='Bonding Program'!$K$34),'Bonding Program'!$J$34,0)-IF(AND('Bonding Program'!$M$34&lt;&gt;"",AR$3='Bonding Program'!$M$34),'Bonding Program'!$L$34,0)-IF(AND('Bonding Program'!$P$34&lt;&gt;"",AR$3='Bonding Program'!$P$34),'Bonding Program'!$O$34,0)-IF(AND('Bonding Program'!$R$34&lt;&gt;"",AR$3='Bonding Program'!$R$34),'Bonding Program'!$Q$34,0),0)</f>
        <v>0</v>
      </c>
      <c r="AS175" s="19" t="n">
        <f aca="false">IF(AND('Bonding Program'!$S$34=1,AS$3='Bonding Program'!$H$34),'Bonding Program'!$AA$34,0)-IF(AS$3&lt;='Bonding Program'!$C$8,IF(AND('Bonding Program'!$K$34&lt;&gt;"",AS$3='Bonding Program'!$K$34),'Bonding Program'!$J$34,0)-IF(AND('Bonding Program'!$M$34&lt;&gt;"",AS$3='Bonding Program'!$M$34),'Bonding Program'!$L$34,0)-IF(AND('Bonding Program'!$P$34&lt;&gt;"",AS$3='Bonding Program'!$P$34),'Bonding Program'!$O$34,0)-IF(AND('Bonding Program'!$R$34&lt;&gt;"",AS$3='Bonding Program'!$R$34),'Bonding Program'!$Q$34,0),0)</f>
        <v>0</v>
      </c>
      <c r="AT175" s="19" t="n">
        <f aca="false">IF(AND('Bonding Program'!$S$34=1,AT$3='Bonding Program'!$H$34),'Bonding Program'!$AA$34,0)-IF(AT$3&lt;='Bonding Program'!$C$8,IF(AND('Bonding Program'!$K$34&lt;&gt;"",AT$3='Bonding Program'!$K$34),'Bonding Program'!$J$34,0)-IF(AND('Bonding Program'!$M$34&lt;&gt;"",AT$3='Bonding Program'!$M$34),'Bonding Program'!$L$34,0)-IF(AND('Bonding Program'!$P$34&lt;&gt;"",AT$3='Bonding Program'!$P$34),'Bonding Program'!$O$34,0)-IF(AND('Bonding Program'!$R$34&lt;&gt;"",AT$3='Bonding Program'!$R$34),'Bonding Program'!$Q$34,0),0)</f>
        <v>0</v>
      </c>
      <c r="AU175" s="19" t="n">
        <f aca="false">IF(AND('Bonding Program'!$S$34=1,AU$3='Bonding Program'!$H$34),'Bonding Program'!$AA$34,0)-IF(AU$3&lt;='Bonding Program'!$C$8,IF(AND('Bonding Program'!$K$34&lt;&gt;"",AU$3='Bonding Program'!$K$34),'Bonding Program'!$J$34,0)-IF(AND('Bonding Program'!$M$34&lt;&gt;"",AU$3='Bonding Program'!$M$34),'Bonding Program'!$L$34,0)-IF(AND('Bonding Program'!$P$34&lt;&gt;"",AU$3='Bonding Program'!$P$34),'Bonding Program'!$O$34,0)-IF(AND('Bonding Program'!$R$34&lt;&gt;"",AU$3='Bonding Program'!$R$34),'Bonding Program'!$Q$34,0),0)</f>
        <v>0</v>
      </c>
      <c r="AV175" s="19" t="n">
        <f aca="false">IF(AND('Bonding Program'!$S$34=1,AV$3='Bonding Program'!$H$34),'Bonding Program'!$AA$34,0)-IF(AV$3&lt;='Bonding Program'!$C$8,IF(AND('Bonding Program'!$K$34&lt;&gt;"",AV$3='Bonding Program'!$K$34),'Bonding Program'!$J$34,0)-IF(AND('Bonding Program'!$M$34&lt;&gt;"",AV$3='Bonding Program'!$M$34),'Bonding Program'!$L$34,0)-IF(AND('Bonding Program'!$P$34&lt;&gt;"",AV$3='Bonding Program'!$P$34),'Bonding Program'!$O$34,0)-IF(AND('Bonding Program'!$R$34&lt;&gt;"",AV$3='Bonding Program'!$R$34),'Bonding Program'!$Q$34,0),0)</f>
        <v>0</v>
      </c>
      <c r="AW175" s="19" t="n">
        <f aca="false">IF(AND('Bonding Program'!$S$34=1,AW$3='Bonding Program'!$H$34),'Bonding Program'!$AA$34,0)-IF(AW$3&lt;='Bonding Program'!$C$8,IF(AND('Bonding Program'!$K$34&lt;&gt;"",AW$3='Bonding Program'!$K$34),'Bonding Program'!$J$34,0)-IF(AND('Bonding Program'!$M$34&lt;&gt;"",AW$3='Bonding Program'!$M$34),'Bonding Program'!$L$34,0)-IF(AND('Bonding Program'!$P$34&lt;&gt;"",AW$3='Bonding Program'!$P$34),'Bonding Program'!$O$34,0)-IF(AND('Bonding Program'!$R$34&lt;&gt;"",AW$3='Bonding Program'!$R$34),'Bonding Program'!$Q$34,0),0)</f>
        <v>0</v>
      </c>
      <c r="AX175" s="19" t="n">
        <f aca="false">IF(AND('Bonding Program'!$S$34=1,AX$3='Bonding Program'!$H$34),'Bonding Program'!$AA$34,0)-IF(AX$3&lt;='Bonding Program'!$C$8,IF(AND('Bonding Program'!$K$34&lt;&gt;"",AX$3='Bonding Program'!$K$34),'Bonding Program'!$J$34,0)-IF(AND('Bonding Program'!$M$34&lt;&gt;"",AX$3='Bonding Program'!$M$34),'Bonding Program'!$L$34,0)-IF(AND('Bonding Program'!$P$34&lt;&gt;"",AX$3='Bonding Program'!$P$34),'Bonding Program'!$O$34,0)-IF(AND('Bonding Program'!$R$34&lt;&gt;"",AX$3='Bonding Program'!$R$34),'Bonding Program'!$Q$34,0),0)</f>
        <v>0</v>
      </c>
      <c r="AY175" s="19" t="n">
        <f aca="false">IF(AND('Bonding Program'!$S$34=1,AY$3='Bonding Program'!$H$34),'Bonding Program'!$AA$34,0)-IF(AY$3&lt;='Bonding Program'!$C$8,IF(AND('Bonding Program'!$K$34&lt;&gt;"",AY$3='Bonding Program'!$K$34),'Bonding Program'!$J$34,0)-IF(AND('Bonding Program'!$M$34&lt;&gt;"",AY$3='Bonding Program'!$M$34),'Bonding Program'!$L$34,0)-IF(AND('Bonding Program'!$P$34&lt;&gt;"",AY$3='Bonding Program'!$P$34),'Bonding Program'!$O$34,0)-IF(AND('Bonding Program'!$R$34&lt;&gt;"",AY$3='Bonding Program'!$R$34),'Bonding Program'!$Q$34,0),0)</f>
        <v>0</v>
      </c>
      <c r="AZ175" s="19" t="n">
        <f aca="false">IF(AND('Bonding Program'!$S$34=1,AZ$3='Bonding Program'!$H$34),'Bonding Program'!$AA$34,0)-IF(AZ$3&lt;='Bonding Program'!$C$8,IF(AND('Bonding Program'!$K$34&lt;&gt;"",AZ$3='Bonding Program'!$K$34),'Bonding Program'!$J$34,0)-IF(AND('Bonding Program'!$M$34&lt;&gt;"",AZ$3='Bonding Program'!$M$34),'Bonding Program'!$L$34,0)-IF(AND('Bonding Program'!$P$34&lt;&gt;"",AZ$3='Bonding Program'!$P$34),'Bonding Program'!$O$34,0)-IF(AND('Bonding Program'!$R$34&lt;&gt;"",AZ$3='Bonding Program'!$R$34),'Bonding Program'!$Q$34,0),0)</f>
        <v>0</v>
      </c>
      <c r="BA175" s="19" t="n">
        <f aca="false">IF(AND('Bonding Program'!$S$34=1,BA$3='Bonding Program'!$H$34),'Bonding Program'!$AA$34,0)-IF(BA$3&lt;='Bonding Program'!$C$8,IF(AND('Bonding Program'!$K$34&lt;&gt;"",BA$3='Bonding Program'!$K$34),'Bonding Program'!$J$34,0)-IF(AND('Bonding Program'!$M$34&lt;&gt;"",BA$3='Bonding Program'!$M$34),'Bonding Program'!$L$34,0)-IF(AND('Bonding Program'!$P$34&lt;&gt;"",BA$3='Bonding Program'!$P$34),'Bonding Program'!$O$34,0)-IF(AND('Bonding Program'!$R$34&lt;&gt;"",BA$3='Bonding Program'!$R$34),'Bonding Program'!$Q$34,0),0)</f>
        <v>0</v>
      </c>
      <c r="BB175" s="19" t="n">
        <f aca="false">IF(AND('Bonding Program'!$S$34=1,BB$3='Bonding Program'!$H$34),'Bonding Program'!$AA$34,0)-IF(BB$3&lt;='Bonding Program'!$C$8,IF(AND('Bonding Program'!$K$34&lt;&gt;"",BB$3='Bonding Program'!$K$34),'Bonding Program'!$J$34,0)-IF(AND('Bonding Program'!$M$34&lt;&gt;"",BB$3='Bonding Program'!$M$34),'Bonding Program'!$L$34,0)-IF(AND('Bonding Program'!$P$34&lt;&gt;"",BB$3='Bonding Program'!$P$34),'Bonding Program'!$O$34,0)-IF(AND('Bonding Program'!$R$34&lt;&gt;"",BB$3='Bonding Program'!$R$34),'Bonding Program'!$Q$34,0),0)</f>
        <v>0</v>
      </c>
      <c r="BC175" s="19" t="n">
        <f aca="false">IF(AND('Bonding Program'!$S$34=1,BC$3='Bonding Program'!$H$34),'Bonding Program'!$AA$34,0)-IF(BC$3&lt;='Bonding Program'!$C$8,IF(AND('Bonding Program'!$K$34&lt;&gt;"",BC$3='Bonding Program'!$K$34),'Bonding Program'!$J$34,0)-IF(AND('Bonding Program'!$M$34&lt;&gt;"",BC$3='Bonding Program'!$M$34),'Bonding Program'!$L$34,0)-IF(AND('Bonding Program'!$P$34&lt;&gt;"",BC$3='Bonding Program'!$P$34),'Bonding Program'!$O$34,0)-IF(AND('Bonding Program'!$R$34&lt;&gt;"",BC$3='Bonding Program'!$R$34),'Bonding Program'!$Q$34,0),0)</f>
        <v>0</v>
      </c>
      <c r="BD175" s="19" t="n">
        <f aca="false">IF(AND('Bonding Program'!$S$34=1,BD$3='Bonding Program'!$H$34),'Bonding Program'!$AA$34,0)-IF(BD$3&lt;='Bonding Program'!$C$8,IF(AND('Bonding Program'!$K$34&lt;&gt;"",BD$3='Bonding Program'!$K$34),'Bonding Program'!$J$34,0)-IF(AND('Bonding Program'!$M$34&lt;&gt;"",BD$3='Bonding Program'!$M$34),'Bonding Program'!$L$34,0)-IF(AND('Bonding Program'!$P$34&lt;&gt;"",BD$3='Bonding Program'!$P$34),'Bonding Program'!$O$34,0)-IF(AND('Bonding Program'!$R$34&lt;&gt;"",BD$3='Bonding Program'!$R$34),'Bonding Program'!$Q$34,0),0)</f>
        <v>0</v>
      </c>
      <c r="BE175" s="19" t="n">
        <f aca="false">IF(AND('Bonding Program'!$S$34=1,BE$3='Bonding Program'!$H$34),'Bonding Program'!$AA$34,0)-IF(BE$3&lt;='Bonding Program'!$C$8,IF(AND('Bonding Program'!$K$34&lt;&gt;"",BE$3='Bonding Program'!$K$34),'Bonding Program'!$J$34,0)-IF(AND('Bonding Program'!$M$34&lt;&gt;"",BE$3='Bonding Program'!$M$34),'Bonding Program'!$L$34,0)-IF(AND('Bonding Program'!$P$34&lt;&gt;"",BE$3='Bonding Program'!$P$34),'Bonding Program'!$O$34,0)-IF(AND('Bonding Program'!$R$34&lt;&gt;"",BE$3='Bonding Program'!$R$34),'Bonding Program'!$Q$34,0),0)</f>
        <v>0</v>
      </c>
      <c r="BF175" s="19" t="n">
        <f aca="false">IF(AND('Bonding Program'!$S$34=1,BF$3='Bonding Program'!$H$34),'Bonding Program'!$AA$34,0)-IF(BF$3&lt;='Bonding Program'!$C$8,IF(AND('Bonding Program'!$K$34&lt;&gt;"",BF$3='Bonding Program'!$K$34),'Bonding Program'!$J$34,0)-IF(AND('Bonding Program'!$M$34&lt;&gt;"",BF$3='Bonding Program'!$M$34),'Bonding Program'!$L$34,0)-IF(AND('Bonding Program'!$P$34&lt;&gt;"",BF$3='Bonding Program'!$P$34),'Bonding Program'!$O$34,0)-IF(AND('Bonding Program'!$R$34&lt;&gt;"",BF$3='Bonding Program'!$R$34),'Bonding Program'!$Q$34,0),0)</f>
        <v>0</v>
      </c>
      <c r="BG175" s="19" t="n">
        <f aca="false">IF(AND('Bonding Program'!$S$34=1,BG$3='Bonding Program'!$H$34),'Bonding Program'!$AA$34,0)-IF(BG$3&lt;='Bonding Program'!$C$8,IF(AND('Bonding Program'!$K$34&lt;&gt;"",BG$3='Bonding Program'!$K$34),'Bonding Program'!$J$34,0)-IF(AND('Bonding Program'!$M$34&lt;&gt;"",BG$3='Bonding Program'!$M$34),'Bonding Program'!$L$34,0)-IF(AND('Bonding Program'!$P$34&lt;&gt;"",BG$3='Bonding Program'!$P$34),'Bonding Program'!$O$34,0)-IF(AND('Bonding Program'!$R$34&lt;&gt;"",BG$3='Bonding Program'!$R$34),'Bonding Program'!$Q$34,0),0)</f>
        <v>0</v>
      </c>
      <c r="BH175" s="19" t="n">
        <f aca="false">IF(AND('Bonding Program'!$S$34=1,BH$3='Bonding Program'!$H$34),'Bonding Program'!$AA$34,0)-IF(BH$3&lt;='Bonding Program'!$C$8,IF(AND('Bonding Program'!$K$34&lt;&gt;"",BH$3='Bonding Program'!$K$34),'Bonding Program'!$J$34,0)-IF(AND('Bonding Program'!$M$34&lt;&gt;"",BH$3='Bonding Program'!$M$34),'Bonding Program'!$L$34,0)-IF(AND('Bonding Program'!$P$34&lt;&gt;"",BH$3='Bonding Program'!$P$34),'Bonding Program'!$O$34,0)-IF(AND('Bonding Program'!$R$34&lt;&gt;"",BH$3='Bonding Program'!$R$34),'Bonding Program'!$Q$34,0),0)</f>
        <v>0</v>
      </c>
      <c r="BI175" s="19" t="n">
        <f aca="false">IF(AND('Bonding Program'!$S$34=1,BI$3='Bonding Program'!$H$34),'Bonding Program'!$AA$34,0)-IF(BI$3&lt;='Bonding Program'!$C$8,IF(AND('Bonding Program'!$K$34&lt;&gt;"",BI$3='Bonding Program'!$K$34),'Bonding Program'!$J$34,0)-IF(AND('Bonding Program'!$M$34&lt;&gt;"",BI$3='Bonding Program'!$M$34),'Bonding Program'!$L$34,0)-IF(AND('Bonding Program'!$P$34&lt;&gt;"",BI$3='Bonding Program'!$P$34),'Bonding Program'!$O$34,0)-IF(AND('Bonding Program'!$R$34&lt;&gt;"",BI$3='Bonding Program'!$R$34),'Bonding Program'!$Q$34,0),0)</f>
        <v>0</v>
      </c>
      <c r="BJ175" s="19" t="n">
        <f aca="false">IF(AND('Bonding Program'!$S$34=1,BJ$3='Bonding Program'!$H$34),'Bonding Program'!$AA$34,0)-IF(BJ$3&lt;='Bonding Program'!$C$8,IF(AND('Bonding Program'!$K$34&lt;&gt;"",BJ$3='Bonding Program'!$K$34),'Bonding Program'!$J$34,0)-IF(AND('Bonding Program'!$M$34&lt;&gt;"",BJ$3='Bonding Program'!$M$34),'Bonding Program'!$L$34,0)-IF(AND('Bonding Program'!$P$34&lt;&gt;"",BJ$3='Bonding Program'!$P$34),'Bonding Program'!$O$34,0)-IF(AND('Bonding Program'!$R$34&lt;&gt;"",BJ$3='Bonding Program'!$R$34),'Bonding Program'!$Q$34,0),0)</f>
        <v>0</v>
      </c>
      <c r="BK175" s="19" t="n">
        <f aca="false">IF(AND('Bonding Program'!$S$34=1,BK$3='Bonding Program'!$H$34),'Bonding Program'!$AA$34,0)-IF(BK$3&lt;='Bonding Program'!$C$8,IF(AND('Bonding Program'!$K$34&lt;&gt;"",BK$3='Bonding Program'!$K$34),'Bonding Program'!$J$34,0)-IF(AND('Bonding Program'!$M$34&lt;&gt;"",BK$3='Bonding Program'!$M$34),'Bonding Program'!$L$34,0)-IF(AND('Bonding Program'!$P$34&lt;&gt;"",BK$3='Bonding Program'!$P$34),'Bonding Program'!$O$34,0)-IF(AND('Bonding Program'!$R$34&lt;&gt;"",BK$3='Bonding Program'!$R$34),'Bonding Program'!$Q$34,0),0)</f>
        <v>0</v>
      </c>
      <c r="BL175" s="19" t="n">
        <f aca="false">IF(AND('Bonding Program'!$S$34=1,BL$3='Bonding Program'!$H$34),'Bonding Program'!$AA$34,0)-IF(BL$3&lt;='Bonding Program'!$C$8,IF(AND('Bonding Program'!$K$34&lt;&gt;"",BL$3='Bonding Program'!$K$34),'Bonding Program'!$J$34,0)-IF(AND('Bonding Program'!$M$34&lt;&gt;"",BL$3='Bonding Program'!$M$34),'Bonding Program'!$L$34,0)-IF(AND('Bonding Program'!$P$34&lt;&gt;"",BL$3='Bonding Program'!$P$34),'Bonding Program'!$O$34,0)-IF(AND('Bonding Program'!$R$34&lt;&gt;"",BL$3='Bonding Program'!$R$34),'Bonding Program'!$Q$34,0),0)</f>
        <v>0</v>
      </c>
      <c r="BM175" s="19" t="n">
        <f aca="false">IF(AND('Bonding Program'!$S$34=1,BM$3='Bonding Program'!$H$34),'Bonding Program'!$AA$34,0)-IF(BM$3&lt;='Bonding Program'!$C$8,IF(AND('Bonding Program'!$K$34&lt;&gt;"",BM$3='Bonding Program'!$K$34),'Bonding Program'!$J$34,0)-IF(AND('Bonding Program'!$M$34&lt;&gt;"",BM$3='Bonding Program'!$M$34),'Bonding Program'!$L$34,0)-IF(AND('Bonding Program'!$P$34&lt;&gt;"",BM$3='Bonding Program'!$P$34),'Bonding Program'!$O$34,0)-IF(AND('Bonding Program'!$R$34&lt;&gt;"",BM$3='Bonding Program'!$R$34),'Bonding Program'!$Q$34,0),0)</f>
        <v>0</v>
      </c>
      <c r="BN175" s="19" t="n">
        <f aca="false">IF(AND('Bonding Program'!$S$34=1,BN$3='Bonding Program'!$H$34),'Bonding Program'!$AA$34,0)-IF(BN$3&lt;='Bonding Program'!$C$8,IF(AND('Bonding Program'!$K$34&lt;&gt;"",BN$3='Bonding Program'!$K$34),'Bonding Program'!$J$34,0)-IF(AND('Bonding Program'!$M$34&lt;&gt;"",BN$3='Bonding Program'!$M$34),'Bonding Program'!$L$34,0)-IF(AND('Bonding Program'!$P$34&lt;&gt;"",BN$3='Bonding Program'!$P$34),'Bonding Program'!$O$34,0)-IF(AND('Bonding Program'!$R$34&lt;&gt;"",BN$3='Bonding Program'!$R$34),'Bonding Program'!$Q$34,0),0)</f>
        <v>0</v>
      </c>
      <c r="BO175" s="19" t="n">
        <f aca="false">IF(AND('Bonding Program'!$S$34=1,BO$3='Bonding Program'!$H$34),'Bonding Program'!$AA$34,0)-IF(BO$3&lt;='Bonding Program'!$C$8,IF(AND('Bonding Program'!$K$34&lt;&gt;"",BO$3='Bonding Program'!$K$34),'Bonding Program'!$J$34,0)-IF(AND('Bonding Program'!$M$34&lt;&gt;"",BO$3='Bonding Program'!$M$34),'Bonding Program'!$L$34,0)-IF(AND('Bonding Program'!$P$34&lt;&gt;"",BO$3='Bonding Program'!$P$34),'Bonding Program'!$O$34,0)-IF(AND('Bonding Program'!$R$34&lt;&gt;"",BO$3='Bonding Program'!$R$34),'Bonding Program'!$Q$34,0),0)</f>
        <v>0</v>
      </c>
      <c r="BP175" s="19" t="n">
        <f aca="false">IF(AND('Bonding Program'!$S$34=1,BP$3='Bonding Program'!$H$34),'Bonding Program'!$AA$34,0)-IF(BP$3&lt;='Bonding Program'!$C$8,IF(AND('Bonding Program'!$K$34&lt;&gt;"",BP$3='Bonding Program'!$K$34),'Bonding Program'!$J$34,0)-IF(AND('Bonding Program'!$M$34&lt;&gt;"",BP$3='Bonding Program'!$M$34),'Bonding Program'!$L$34,0)-IF(AND('Bonding Program'!$P$34&lt;&gt;"",BP$3='Bonding Program'!$P$34),'Bonding Program'!$O$34,0)-IF(AND('Bonding Program'!$R$34&lt;&gt;"",BP$3='Bonding Program'!$R$34),'Bonding Program'!$Q$34,0),0)</f>
        <v>0</v>
      </c>
      <c r="BQ175" s="19" t="n">
        <f aca="false">IF(AND('Bonding Program'!$S$34=1,BQ$3='Bonding Program'!$H$34),'Bonding Program'!$AA$34,0)-IF(BQ$3&lt;='Bonding Program'!$C$8,IF(AND('Bonding Program'!$K$34&lt;&gt;"",BQ$3='Bonding Program'!$K$34),'Bonding Program'!$J$34,0)-IF(AND('Bonding Program'!$M$34&lt;&gt;"",BQ$3='Bonding Program'!$M$34),'Bonding Program'!$L$34,0)-IF(AND('Bonding Program'!$P$34&lt;&gt;"",BQ$3='Bonding Program'!$P$34),'Bonding Program'!$O$34,0)-IF(AND('Bonding Program'!$R$34&lt;&gt;"",BQ$3='Bonding Program'!$R$34),'Bonding Program'!$Q$34,0),0)</f>
        <v>0</v>
      </c>
      <c r="BR175" s="19" t="n">
        <f aca="false">IF(AND('Bonding Program'!$S$34=1,BR$3='Bonding Program'!$H$34),'Bonding Program'!$AA$34,0)-IF(BR$3&lt;='Bonding Program'!$C$8,IF(AND('Bonding Program'!$K$34&lt;&gt;"",BR$3='Bonding Program'!$K$34),'Bonding Program'!$J$34,0)-IF(AND('Bonding Program'!$M$34&lt;&gt;"",BR$3='Bonding Program'!$M$34),'Bonding Program'!$L$34,0)-IF(AND('Bonding Program'!$P$34&lt;&gt;"",BR$3='Bonding Program'!$P$34),'Bonding Program'!$O$34,0)-IF(AND('Bonding Program'!$R$34&lt;&gt;"",BR$3='Bonding Program'!$R$34),'Bonding Program'!$Q$34,0),0)</f>
        <v>0</v>
      </c>
      <c r="BS175" s="19" t="n">
        <f aca="false">IF(AND('Bonding Program'!$S$34=1,BS$3='Bonding Program'!$H$34),'Bonding Program'!$AA$34,0)-IF(BS$3&lt;='Bonding Program'!$C$8,IF(AND('Bonding Program'!$K$34&lt;&gt;"",BS$3='Bonding Program'!$K$34),'Bonding Program'!$J$34,0)-IF(AND('Bonding Program'!$M$34&lt;&gt;"",BS$3='Bonding Program'!$M$34),'Bonding Program'!$L$34,0)-IF(AND('Bonding Program'!$P$34&lt;&gt;"",BS$3='Bonding Program'!$P$34),'Bonding Program'!$O$34,0)-IF(AND('Bonding Program'!$R$34&lt;&gt;"",BS$3='Bonding Program'!$R$34),'Bonding Program'!$Q$34,0),0)</f>
        <v>0</v>
      </c>
      <c r="BT175" s="19" t="n">
        <f aca="false">IF(AND('Bonding Program'!$S$34=1,BT$3='Bonding Program'!$H$34),'Bonding Program'!$AA$34,0)-IF(BT$3&lt;='Bonding Program'!$C$8,IF(AND('Bonding Program'!$K$34&lt;&gt;"",BT$3='Bonding Program'!$K$34),'Bonding Program'!$J$34,0)-IF(AND('Bonding Program'!$M$34&lt;&gt;"",BT$3='Bonding Program'!$M$34),'Bonding Program'!$L$34,0)-IF(AND('Bonding Program'!$P$34&lt;&gt;"",BT$3='Bonding Program'!$P$34),'Bonding Program'!$O$34,0)-IF(AND('Bonding Program'!$R$34&lt;&gt;"",BT$3='Bonding Program'!$R$34),'Bonding Program'!$Q$34,0),0)</f>
        <v>0</v>
      </c>
      <c r="BU175" s="19" t="n">
        <f aca="false">IF(AND('Bonding Program'!$S$34=1,BU$3='Bonding Program'!$H$34),'Bonding Program'!$AA$34,0)-IF(BU$3&lt;='Bonding Program'!$C$8,IF(AND('Bonding Program'!$K$34&lt;&gt;"",BU$3='Bonding Program'!$K$34),'Bonding Program'!$J$34,0)-IF(AND('Bonding Program'!$M$34&lt;&gt;"",BU$3='Bonding Program'!$M$34),'Bonding Program'!$L$34,0)-IF(AND('Bonding Program'!$P$34&lt;&gt;"",BU$3='Bonding Program'!$P$34),'Bonding Program'!$O$34,0)-IF(AND('Bonding Program'!$R$34&lt;&gt;"",BU$3='Bonding Program'!$R$34),'Bonding Program'!$Q$34,0),0)</f>
        <v>0</v>
      </c>
      <c r="BV175" s="19" t="n">
        <f aca="false">IF(AND('Bonding Program'!$S$34=1,BV$3='Bonding Program'!$H$34),'Bonding Program'!$AA$34,0)-IF(BV$3&lt;='Bonding Program'!$C$8,IF(AND('Bonding Program'!$K$34&lt;&gt;"",BV$3='Bonding Program'!$K$34),'Bonding Program'!$J$34,0)-IF(AND('Bonding Program'!$M$34&lt;&gt;"",BV$3='Bonding Program'!$M$34),'Bonding Program'!$L$34,0)-IF(AND('Bonding Program'!$P$34&lt;&gt;"",BV$3='Bonding Program'!$P$34),'Bonding Program'!$O$34,0)-IF(AND('Bonding Program'!$R$34&lt;&gt;"",BV$3='Bonding Program'!$R$34),'Bonding Program'!$Q$34,0),0)</f>
        <v>0</v>
      </c>
      <c r="BW175" s="19" t="n">
        <f aca="false">IF(AND('Bonding Program'!$S$34=1,BW$3='Bonding Program'!$H$34),'Bonding Program'!$AA$34,0)-IF(BW$3&lt;='Bonding Program'!$C$8,IF(AND('Bonding Program'!$K$34&lt;&gt;"",BW$3='Bonding Program'!$K$34),'Bonding Program'!$J$34,0)-IF(AND('Bonding Program'!$M$34&lt;&gt;"",BW$3='Bonding Program'!$M$34),'Bonding Program'!$L$34,0)-IF(AND('Bonding Program'!$P$34&lt;&gt;"",BW$3='Bonding Program'!$P$34),'Bonding Program'!$O$34,0)-IF(AND('Bonding Program'!$R$34&lt;&gt;"",BW$3='Bonding Program'!$R$34),'Bonding Program'!$Q$34,0),0)</f>
        <v>0</v>
      </c>
      <c r="BX175" s="19" t="n">
        <f aca="false">IF(AND('Bonding Program'!$S$34=1,BX$3='Bonding Program'!$H$34),'Bonding Program'!$AA$34,0)-IF(BX$3&lt;='Bonding Program'!$C$8,IF(AND('Bonding Program'!$K$34&lt;&gt;"",BX$3='Bonding Program'!$K$34),'Bonding Program'!$J$34,0)-IF(AND('Bonding Program'!$M$34&lt;&gt;"",BX$3='Bonding Program'!$M$34),'Bonding Program'!$L$34,0)-IF(AND('Bonding Program'!$P$34&lt;&gt;"",BX$3='Bonding Program'!$P$34),'Bonding Program'!$O$34,0)-IF(AND('Bonding Program'!$R$34&lt;&gt;"",BX$3='Bonding Program'!$R$34),'Bonding Program'!$Q$34,0),0)</f>
        <v>0</v>
      </c>
      <c r="BY175" s="19" t="n">
        <f aca="false">IF(AND('Bonding Program'!$S$34=1,BY$3='Bonding Program'!$H$34),'Bonding Program'!$AA$34,0)-IF(BY$3&lt;='Bonding Program'!$C$8,IF(AND('Bonding Program'!$K$34&lt;&gt;"",BY$3='Bonding Program'!$K$34),'Bonding Program'!$J$34,0)-IF(AND('Bonding Program'!$M$34&lt;&gt;"",BY$3='Bonding Program'!$M$34),'Bonding Program'!$L$34,0)-IF(AND('Bonding Program'!$P$34&lt;&gt;"",BY$3='Bonding Program'!$P$34),'Bonding Program'!$O$34,0)-IF(AND('Bonding Program'!$R$34&lt;&gt;"",BY$3='Bonding Program'!$R$34),'Bonding Program'!$Q$34,0),0)</f>
        <v>0</v>
      </c>
      <c r="BZ175" s="19" t="n">
        <f aca="false">IF(AND('Bonding Program'!$S$34=1,BZ$3='Bonding Program'!$H$34),'Bonding Program'!$AA$34,0)-IF(BZ$3&lt;='Bonding Program'!$C$8,IF(AND('Bonding Program'!$K$34&lt;&gt;"",BZ$3='Bonding Program'!$K$34),'Bonding Program'!$J$34,0)-IF(AND('Bonding Program'!$M$34&lt;&gt;"",BZ$3='Bonding Program'!$M$34),'Bonding Program'!$L$34,0)-IF(AND('Bonding Program'!$P$34&lt;&gt;"",BZ$3='Bonding Program'!$P$34),'Bonding Program'!$O$34,0)-IF(AND('Bonding Program'!$R$34&lt;&gt;"",BZ$3='Bonding Program'!$R$34),'Bonding Program'!$Q$34,0),0)</f>
        <v>0</v>
      </c>
      <c r="CA175" s="19" t="n">
        <f aca="false">IF(AND('Bonding Program'!$S$34=1,CA$3='Bonding Program'!$H$34),'Bonding Program'!$AA$34,0)-IF(CA$3&lt;='Bonding Program'!$C$8,IF(AND('Bonding Program'!$K$34&lt;&gt;"",CA$3='Bonding Program'!$K$34),'Bonding Program'!$J$34,0)-IF(AND('Bonding Program'!$M$34&lt;&gt;"",CA$3='Bonding Program'!$M$34),'Bonding Program'!$L$34,0)-IF(AND('Bonding Program'!$P$34&lt;&gt;"",CA$3='Bonding Program'!$P$34),'Bonding Program'!$O$34,0)-IF(AND('Bonding Program'!$R$34&lt;&gt;"",CA$3='Bonding Program'!$R$34),'Bonding Program'!$Q$34,0),0)</f>
        <v>0</v>
      </c>
      <c r="CB175" s="19" t="n">
        <f aca="false">IF(AND('Bonding Program'!$S$34=1,CB$3='Bonding Program'!$H$34),'Bonding Program'!$AA$34,0)-IF(CB$3&lt;='Bonding Program'!$C$8,IF(AND('Bonding Program'!$K$34&lt;&gt;"",CB$3='Bonding Program'!$K$34),'Bonding Program'!$J$34,0)-IF(AND('Bonding Program'!$M$34&lt;&gt;"",CB$3='Bonding Program'!$M$34),'Bonding Program'!$L$34,0)-IF(AND('Bonding Program'!$P$34&lt;&gt;"",CB$3='Bonding Program'!$P$34),'Bonding Program'!$O$34,0)-IF(AND('Bonding Program'!$R$34&lt;&gt;"",CB$3='Bonding Program'!$R$34),'Bonding Program'!$Q$34,0),0)</f>
        <v>0</v>
      </c>
      <c r="CC175" s="19" t="n">
        <f aca="false">IF(AND('Bonding Program'!$S$34=1,CC$3='Bonding Program'!$H$34),'Bonding Program'!$AA$34,0)-IF(CC$3&lt;='Bonding Program'!$C$8,IF(AND('Bonding Program'!$K$34&lt;&gt;"",CC$3='Bonding Program'!$K$34),'Bonding Program'!$J$34,0)-IF(AND('Bonding Program'!$M$34&lt;&gt;"",CC$3='Bonding Program'!$M$34),'Bonding Program'!$L$34,0)-IF(AND('Bonding Program'!$P$34&lt;&gt;"",CC$3='Bonding Program'!$P$34),'Bonding Program'!$O$34,0)-IF(AND('Bonding Program'!$R$34&lt;&gt;"",CC$3='Bonding Program'!$R$34),'Bonding Program'!$Q$34,0),0)</f>
        <v>0</v>
      </c>
      <c r="CD175" s="19" t="n">
        <f aca="false">IF(AND('Bonding Program'!$S$34=1,CD$3='Bonding Program'!$H$34),'Bonding Program'!$AA$34,0)-IF(CD$3&lt;='Bonding Program'!$C$8,IF(AND('Bonding Program'!$K$34&lt;&gt;"",CD$3='Bonding Program'!$K$34),'Bonding Program'!$J$34,0)-IF(AND('Bonding Program'!$M$34&lt;&gt;"",CD$3='Bonding Program'!$M$34),'Bonding Program'!$L$34,0)-IF(AND('Bonding Program'!$P$34&lt;&gt;"",CD$3='Bonding Program'!$P$34),'Bonding Program'!$O$34,0)-IF(AND('Bonding Program'!$R$34&lt;&gt;"",CD$3='Bonding Program'!$R$34),'Bonding Program'!$Q$34,0),0)</f>
        <v>0</v>
      </c>
      <c r="CE175" s="19" t="n">
        <f aca="false">IF(AND('Bonding Program'!$S$34=1,CE$3='Bonding Program'!$H$34),'Bonding Program'!$AA$34,0)-IF(CE$3&lt;='Bonding Program'!$C$8,IF(AND('Bonding Program'!$K$34&lt;&gt;"",CE$3='Bonding Program'!$K$34),'Bonding Program'!$J$34,0)-IF(AND('Bonding Program'!$M$34&lt;&gt;"",CE$3='Bonding Program'!$M$34),'Bonding Program'!$L$34,0)-IF(AND('Bonding Program'!$P$34&lt;&gt;"",CE$3='Bonding Program'!$P$34),'Bonding Program'!$O$34,0)-IF(AND('Bonding Program'!$R$34&lt;&gt;"",CE$3='Bonding Program'!$R$34),'Bonding Program'!$Q$34,0),0)</f>
        <v>0</v>
      </c>
      <c r="CF175" s="19" t="n">
        <f aca="false">IF(AND('Bonding Program'!$S$34=1,CF$3='Bonding Program'!$H$34),'Bonding Program'!$AA$34,0)-IF(CF$3&lt;='Bonding Program'!$C$8,IF(AND('Bonding Program'!$K$34&lt;&gt;"",CF$3='Bonding Program'!$K$34),'Bonding Program'!$J$34,0)-IF(AND('Bonding Program'!$M$34&lt;&gt;"",CF$3='Bonding Program'!$M$34),'Bonding Program'!$L$34,0)-IF(AND('Bonding Program'!$P$34&lt;&gt;"",CF$3='Bonding Program'!$P$34),'Bonding Program'!$O$34,0)-IF(AND('Bonding Program'!$R$34&lt;&gt;"",CF$3='Bonding Program'!$R$34),'Bonding Program'!$Q$34,0),0)</f>
        <v>0</v>
      </c>
      <c r="CG175" s="19" t="n">
        <f aca="false">IF(AND('Bonding Program'!$S$34=1,CG$3='Bonding Program'!$H$34),'Bonding Program'!$AA$34,0)-IF(CG$3&lt;='Bonding Program'!$C$8,IF(AND('Bonding Program'!$K$34&lt;&gt;"",CG$3='Bonding Program'!$K$34),'Bonding Program'!$J$34,0)-IF(AND('Bonding Program'!$M$34&lt;&gt;"",CG$3='Bonding Program'!$M$34),'Bonding Program'!$L$34,0)-IF(AND('Bonding Program'!$P$34&lt;&gt;"",CG$3='Bonding Program'!$P$34),'Bonding Program'!$O$34,0)-IF(AND('Bonding Program'!$R$34&lt;&gt;"",CG$3='Bonding Program'!$R$34),'Bonding Program'!$Q$34,0),0)</f>
        <v>0</v>
      </c>
      <c r="CH175" s="19" t="n">
        <f aca="false">IF(AND('Bonding Program'!$S$34=1,CH$3='Bonding Program'!$H$34),'Bonding Program'!$AA$34,0)-IF(CH$3&lt;='Bonding Program'!$C$8,IF(AND('Bonding Program'!$K$34&lt;&gt;"",CH$3='Bonding Program'!$K$34),'Bonding Program'!$J$34,0)-IF(AND('Bonding Program'!$M$34&lt;&gt;"",CH$3='Bonding Program'!$M$34),'Bonding Program'!$L$34,0)-IF(AND('Bonding Program'!$P$34&lt;&gt;"",CH$3='Bonding Program'!$P$34),'Bonding Program'!$O$34,0)-IF(AND('Bonding Program'!$R$34&lt;&gt;"",CH$3='Bonding Program'!$R$34),'Bonding Program'!$Q$34,0),0)</f>
        <v>0</v>
      </c>
      <c r="CI175" s="19" t="n">
        <f aca="false">IF(AND('Bonding Program'!$S$34=1,CI$3='Bonding Program'!$H$34),'Bonding Program'!$AA$34,0)-IF(CI$3&lt;='Bonding Program'!$C$8,IF(AND('Bonding Program'!$K$34&lt;&gt;"",CI$3='Bonding Program'!$K$34),'Bonding Program'!$J$34,0)-IF(AND('Bonding Program'!$M$34&lt;&gt;"",CI$3='Bonding Program'!$M$34),'Bonding Program'!$L$34,0)-IF(AND('Bonding Program'!$P$34&lt;&gt;"",CI$3='Bonding Program'!$P$34),'Bonding Program'!$O$34,0)-IF(AND('Bonding Program'!$R$34&lt;&gt;"",CI$3='Bonding Program'!$R$34),'Bonding Program'!$Q$34,0),0)</f>
        <v>0</v>
      </c>
      <c r="CJ175" s="19" t="n">
        <f aca="false">IF(AND('Bonding Program'!$S$34=1,CJ$3='Bonding Program'!$H$34),'Bonding Program'!$AA$34,0)-IF(CJ$3&lt;='Bonding Program'!$C$8,IF(AND('Bonding Program'!$K$34&lt;&gt;"",CJ$3='Bonding Program'!$K$34),'Bonding Program'!$J$34,0)-IF(AND('Bonding Program'!$M$34&lt;&gt;"",CJ$3='Bonding Program'!$M$34),'Bonding Program'!$L$34,0)-IF(AND('Bonding Program'!$P$34&lt;&gt;"",CJ$3='Bonding Program'!$P$34),'Bonding Program'!$O$34,0)-IF(AND('Bonding Program'!$R$34&lt;&gt;"",CJ$3='Bonding Program'!$R$34),'Bonding Program'!$Q$34,0),0)</f>
        <v>0</v>
      </c>
      <c r="CK175" s="19" t="n">
        <f aca="false">IF(AND('Bonding Program'!$S$34=1,CK$3='Bonding Program'!$H$34),'Bonding Program'!$AA$34,0)-IF(CK$3&lt;='Bonding Program'!$C$8,IF(AND('Bonding Program'!$K$34&lt;&gt;"",CK$3='Bonding Program'!$K$34),'Bonding Program'!$J$34,0)-IF(AND('Bonding Program'!$M$34&lt;&gt;"",CK$3='Bonding Program'!$M$34),'Bonding Program'!$L$34,0)-IF(AND('Bonding Program'!$P$34&lt;&gt;"",CK$3='Bonding Program'!$P$34),'Bonding Program'!$O$34,0)-IF(AND('Bonding Program'!$R$34&lt;&gt;"",CK$3='Bonding Program'!$R$34),'Bonding Program'!$Q$34,0),0)</f>
        <v>0</v>
      </c>
      <c r="CL175" s="19" t="n">
        <f aca="false">IF(AND('Bonding Program'!$S$34=1,CL$3='Bonding Program'!$H$34),'Bonding Program'!$AA$34,0)-IF(CL$3&lt;='Bonding Program'!$C$8,IF(AND('Bonding Program'!$K$34&lt;&gt;"",CL$3='Bonding Program'!$K$34),'Bonding Program'!$J$34,0)-IF(AND('Bonding Program'!$M$34&lt;&gt;"",CL$3='Bonding Program'!$M$34),'Bonding Program'!$L$34,0)-IF(AND('Bonding Program'!$P$34&lt;&gt;"",CL$3='Bonding Program'!$P$34),'Bonding Program'!$O$34,0)-IF(AND('Bonding Program'!$R$34&lt;&gt;"",CL$3='Bonding Program'!$R$34),'Bonding Program'!$Q$34,0),0)</f>
        <v>0</v>
      </c>
      <c r="CM175" s="19" t="n">
        <f aca="false">IF(AND('Bonding Program'!$S$34=1,CM$3='Bonding Program'!$H$34),'Bonding Program'!$AA$34,0)-IF(CM$3&lt;='Bonding Program'!$C$8,IF(AND('Bonding Program'!$K$34&lt;&gt;"",CM$3='Bonding Program'!$K$34),'Bonding Program'!$J$34,0)-IF(AND('Bonding Program'!$M$34&lt;&gt;"",CM$3='Bonding Program'!$M$34),'Bonding Program'!$L$34,0)-IF(AND('Bonding Program'!$P$34&lt;&gt;"",CM$3='Bonding Program'!$P$34),'Bonding Program'!$O$34,0)-IF(AND('Bonding Program'!$R$34&lt;&gt;"",CM$3='Bonding Program'!$R$34),'Bonding Program'!$Q$34,0),0)</f>
        <v>0</v>
      </c>
      <c r="CN175" s="19" t="n">
        <f aca="false">IF(AND('Bonding Program'!$S$34=1,CN$3='Bonding Program'!$H$34),'Bonding Program'!$AA$34,0)-IF(CN$3&lt;='Bonding Program'!$C$8,IF(AND('Bonding Program'!$K$34&lt;&gt;"",CN$3='Bonding Program'!$K$34),'Bonding Program'!$J$34,0)-IF(AND('Bonding Program'!$M$34&lt;&gt;"",CN$3='Bonding Program'!$M$34),'Bonding Program'!$L$34,0)-IF(AND('Bonding Program'!$P$34&lt;&gt;"",CN$3='Bonding Program'!$P$34),'Bonding Program'!$O$34,0)-IF(AND('Bonding Program'!$R$34&lt;&gt;"",CN$3='Bonding Program'!$R$34),'Bonding Program'!$Q$34,0),0)</f>
        <v>0</v>
      </c>
      <c r="CO175" s="19" t="n">
        <f aca="false">IF(AND('Bonding Program'!$S$34=1,CO$3='Bonding Program'!$H$34),'Bonding Program'!$AA$34,0)-IF(CO$3&lt;='Bonding Program'!$C$8,IF(AND('Bonding Program'!$K$34&lt;&gt;"",CO$3='Bonding Program'!$K$34),'Bonding Program'!$J$34,0)-IF(AND('Bonding Program'!$M$34&lt;&gt;"",CO$3='Bonding Program'!$M$34),'Bonding Program'!$L$34,0)-IF(AND('Bonding Program'!$P$34&lt;&gt;"",CO$3='Bonding Program'!$P$34),'Bonding Program'!$O$34,0)-IF(AND('Bonding Program'!$R$34&lt;&gt;"",CO$3='Bonding Program'!$R$34),'Bonding Program'!$Q$34,0),0)</f>
        <v>0</v>
      </c>
      <c r="CP175" s="19" t="n">
        <f aca="false">IF(AND('Bonding Program'!$S$34=1,CP$3='Bonding Program'!$H$34),'Bonding Program'!$AA$34,0)-IF(CP$3&lt;='Bonding Program'!$C$8,IF(AND('Bonding Program'!$K$34&lt;&gt;"",CP$3='Bonding Program'!$K$34),'Bonding Program'!$J$34,0)-IF(AND('Bonding Program'!$M$34&lt;&gt;"",CP$3='Bonding Program'!$M$34),'Bonding Program'!$L$34,0)-IF(AND('Bonding Program'!$P$34&lt;&gt;"",CP$3='Bonding Program'!$P$34),'Bonding Program'!$O$34,0)-IF(AND('Bonding Program'!$R$34&lt;&gt;"",CP$3='Bonding Program'!$R$34),'Bonding Program'!$Q$34,0),0)</f>
        <v>0</v>
      </c>
      <c r="CQ175" s="19" t="n">
        <f aca="false">IF(AND('Bonding Program'!$S$34=1,CQ$3='Bonding Program'!$H$34),'Bonding Program'!$AA$34,0)-IF(CQ$3&lt;='Bonding Program'!$C$8,IF(AND('Bonding Program'!$K$34&lt;&gt;"",CQ$3='Bonding Program'!$K$34),'Bonding Program'!$J$34,0)-IF(AND('Bonding Program'!$M$34&lt;&gt;"",CQ$3='Bonding Program'!$M$34),'Bonding Program'!$L$34,0)-IF(AND('Bonding Program'!$P$34&lt;&gt;"",CQ$3='Bonding Program'!$P$34),'Bonding Program'!$O$34,0)-IF(AND('Bonding Program'!$R$34&lt;&gt;"",CQ$3='Bonding Program'!$R$34),'Bonding Program'!$Q$34,0),0)</f>
        <v>0</v>
      </c>
      <c r="CR175" s="19" t="n">
        <f aca="false">IF(AND('Bonding Program'!$S$34=1,CR$3='Bonding Program'!$H$34),'Bonding Program'!$AA$34,0)-IF(CR$3&lt;='Bonding Program'!$C$8,IF(AND('Bonding Program'!$K$34&lt;&gt;"",CR$3='Bonding Program'!$K$34),'Bonding Program'!$J$34,0)-IF(AND('Bonding Program'!$M$34&lt;&gt;"",CR$3='Bonding Program'!$M$34),'Bonding Program'!$L$34,0)-IF(AND('Bonding Program'!$P$34&lt;&gt;"",CR$3='Bonding Program'!$P$34),'Bonding Program'!$O$34,0)-IF(AND('Bonding Program'!$R$34&lt;&gt;"",CR$3='Bonding Program'!$R$34),'Bonding Program'!$Q$34,0),0)</f>
        <v>0</v>
      </c>
      <c r="CS175" s="19" t="n">
        <f aca="false">IF(AND('Bonding Program'!$S$34=1,CS$3='Bonding Program'!$H$34),'Bonding Program'!$AA$34,0)-IF(CS$3&lt;='Bonding Program'!$C$8,IF(AND('Bonding Program'!$K$34&lt;&gt;"",CS$3='Bonding Program'!$K$34),'Bonding Program'!$J$34,0)-IF(AND('Bonding Program'!$M$34&lt;&gt;"",CS$3='Bonding Program'!$M$34),'Bonding Program'!$L$34,0)-IF(AND('Bonding Program'!$P$34&lt;&gt;"",CS$3='Bonding Program'!$P$34),'Bonding Program'!$O$34,0)-IF(AND('Bonding Program'!$R$34&lt;&gt;"",CS$3='Bonding Program'!$R$34),'Bonding Program'!$Q$34,0),0)</f>
        <v>0</v>
      </c>
      <c r="CT175" s="19" t="n">
        <f aca="false">IF(AND('Bonding Program'!$S$34=1,CT$3='Bonding Program'!$H$34),'Bonding Program'!$AA$34,0)-IF(CT$3&lt;='Bonding Program'!$C$8,IF(AND('Bonding Program'!$K$34&lt;&gt;"",CT$3='Bonding Program'!$K$34),'Bonding Program'!$J$34,0)-IF(AND('Bonding Program'!$M$34&lt;&gt;"",CT$3='Bonding Program'!$M$34),'Bonding Program'!$L$34,0)-IF(AND('Bonding Program'!$P$34&lt;&gt;"",CT$3='Bonding Program'!$P$34),'Bonding Program'!$O$34,0)-IF(AND('Bonding Program'!$R$34&lt;&gt;"",CT$3='Bonding Program'!$R$34),'Bonding Program'!$Q$34,0),0)</f>
        <v>0</v>
      </c>
      <c r="CU175" s="19" t="n">
        <f aca="false">IF(AND('Bonding Program'!$S$34=1,CU$3='Bonding Program'!$H$34),'Bonding Program'!$AA$34,0)-IF(CU$3&lt;='Bonding Program'!$C$8,IF(AND('Bonding Program'!$K$34&lt;&gt;"",CU$3='Bonding Program'!$K$34),'Bonding Program'!$J$34,0)-IF(AND('Bonding Program'!$M$34&lt;&gt;"",CU$3='Bonding Program'!$M$34),'Bonding Program'!$L$34,0)-IF(AND('Bonding Program'!$P$34&lt;&gt;"",CU$3='Bonding Program'!$P$34),'Bonding Program'!$O$34,0)-IF(AND('Bonding Program'!$R$34&lt;&gt;"",CU$3='Bonding Program'!$R$34),'Bonding Program'!$Q$34,0),0)</f>
        <v>0</v>
      </c>
      <c r="CV175" s="19" t="n">
        <f aca="false">IF(AND('Bonding Program'!$S$34=1,CV$3='Bonding Program'!$H$34),'Bonding Program'!$AA$34,0)-IF(CV$3&lt;='Bonding Program'!$C$8,IF(AND('Bonding Program'!$K$34&lt;&gt;"",CV$3='Bonding Program'!$K$34),'Bonding Program'!$J$34,0)-IF(AND('Bonding Program'!$M$34&lt;&gt;"",CV$3='Bonding Program'!$M$34),'Bonding Program'!$L$34,0)-IF(AND('Bonding Program'!$P$34&lt;&gt;"",CV$3='Bonding Program'!$P$34),'Bonding Program'!$O$34,0)-IF(AND('Bonding Program'!$R$34&lt;&gt;"",CV$3='Bonding Program'!$R$34),'Bonding Program'!$Q$34,0),0)</f>
        <v>0</v>
      </c>
      <c r="CW175" s="19" t="n">
        <f aca="false">IF(AND('Bonding Program'!$S$34=1,CW$3='Bonding Program'!$H$34),'Bonding Program'!$AA$34,0)-IF(CW$3&lt;='Bonding Program'!$C$8,IF(AND('Bonding Program'!$K$34&lt;&gt;"",CW$3='Bonding Program'!$K$34),'Bonding Program'!$J$34,0)-IF(AND('Bonding Program'!$M$34&lt;&gt;"",CW$3='Bonding Program'!$M$34),'Bonding Program'!$L$34,0)-IF(AND('Bonding Program'!$P$34&lt;&gt;"",CW$3='Bonding Program'!$P$34),'Bonding Program'!$O$34,0)-IF(AND('Bonding Program'!$R$34&lt;&gt;"",CW$3='Bonding Program'!$R$34),'Bonding Program'!$Q$34,0),0)</f>
        <v>0</v>
      </c>
      <c r="CX175" s="19" t="n">
        <f aca="false">IF(AND('Bonding Program'!$S$34=1,CX$3='Bonding Program'!$H$34),'Bonding Program'!$AA$34,0)-IF(CX$3&lt;='Bonding Program'!$C$8,IF(AND('Bonding Program'!$K$34&lt;&gt;"",CX$3='Bonding Program'!$K$34),'Bonding Program'!$J$34,0)-IF(AND('Bonding Program'!$M$34&lt;&gt;"",CX$3='Bonding Program'!$M$34),'Bonding Program'!$L$34,0)-IF(AND('Bonding Program'!$P$34&lt;&gt;"",CX$3='Bonding Program'!$P$34),'Bonding Program'!$O$34,0)-IF(AND('Bonding Program'!$R$34&lt;&gt;"",CX$3='Bonding Program'!$R$34),'Bonding Program'!$Q$34,0),0)</f>
        <v>0</v>
      </c>
      <c r="CY175" s="19" t="n">
        <f aca="false">IF(AND('Bonding Program'!$S$34=1,CY$3='Bonding Program'!$H$34),'Bonding Program'!$AA$34,0)-IF(CY$3&lt;='Bonding Program'!$C$8,IF(AND('Bonding Program'!$K$34&lt;&gt;"",CY$3='Bonding Program'!$K$34),'Bonding Program'!$J$34,0)-IF(AND('Bonding Program'!$M$34&lt;&gt;"",CY$3='Bonding Program'!$M$34),'Bonding Program'!$L$34,0)-IF(AND('Bonding Program'!$P$34&lt;&gt;"",CY$3='Bonding Program'!$P$34),'Bonding Program'!$O$34,0)-IF(AND('Bonding Program'!$R$34&lt;&gt;"",CY$3='Bonding Program'!$R$34),'Bonding Program'!$Q$34,0),0)</f>
        <v>0</v>
      </c>
      <c r="CZ175" s="19" t="n">
        <f aca="false">IF(AND('Bonding Program'!$S$34=1,CZ$3='Bonding Program'!$H$34),'Bonding Program'!$AA$34,0)-IF(CZ$3&lt;='Bonding Program'!$C$8,IF(AND('Bonding Program'!$K$34&lt;&gt;"",CZ$3='Bonding Program'!$K$34),'Bonding Program'!$J$34,0)-IF(AND('Bonding Program'!$M$34&lt;&gt;"",CZ$3='Bonding Program'!$M$34),'Bonding Program'!$L$34,0)-IF(AND('Bonding Program'!$P$34&lt;&gt;"",CZ$3='Bonding Program'!$P$34),'Bonding Program'!$O$34,0)-IF(AND('Bonding Program'!$R$34&lt;&gt;"",CZ$3='Bonding Program'!$R$34),'Bonding Program'!$Q$34,0),0)</f>
        <v>0</v>
      </c>
      <c r="DA175" s="19" t="n">
        <f aca="false">IF(AND('Bonding Program'!$S$34=1,DA$3='Bonding Program'!$H$34),'Bonding Program'!$AA$34,0)-IF(DA$3&lt;='Bonding Program'!$C$8,IF(AND('Bonding Program'!$K$34&lt;&gt;"",DA$3='Bonding Program'!$K$34),'Bonding Program'!$J$34,0)-IF(AND('Bonding Program'!$M$34&lt;&gt;"",DA$3='Bonding Program'!$M$34),'Bonding Program'!$L$34,0)-IF(AND('Bonding Program'!$P$34&lt;&gt;"",DA$3='Bonding Program'!$P$34),'Bonding Program'!$O$34,0)-IF(AND('Bonding Program'!$R$34&lt;&gt;"",DA$3='Bonding Program'!$R$34),'Bonding Program'!$Q$34,0),0)</f>
        <v>0</v>
      </c>
      <c r="DB175" s="19" t="n">
        <f aca="false">IF(AND('Bonding Program'!$S$34=1,DB$3='Bonding Program'!$H$34),'Bonding Program'!$AA$34,0)-IF(DB$3&lt;='Bonding Program'!$C$8,IF(AND('Bonding Program'!$K$34&lt;&gt;"",DB$3='Bonding Program'!$K$34),'Bonding Program'!$J$34,0)-IF(AND('Bonding Program'!$M$34&lt;&gt;"",DB$3='Bonding Program'!$M$34),'Bonding Program'!$L$34,0)-IF(AND('Bonding Program'!$P$34&lt;&gt;"",DB$3='Bonding Program'!$P$34),'Bonding Program'!$O$34,0)-IF(AND('Bonding Program'!$R$34&lt;&gt;"",DB$3='Bonding Program'!$R$34),'Bonding Program'!$Q$34,0),0)</f>
        <v>0</v>
      </c>
      <c r="DC175" s="19" t="n">
        <f aca="false">IF(AND('Bonding Program'!$S$34=1,DC$3='Bonding Program'!$H$34),'Bonding Program'!$AA$34,0)-IF(DC$3&lt;='Bonding Program'!$C$8,IF(AND('Bonding Program'!$K$34&lt;&gt;"",DC$3='Bonding Program'!$K$34),'Bonding Program'!$J$34,0)-IF(AND('Bonding Program'!$M$34&lt;&gt;"",DC$3='Bonding Program'!$M$34),'Bonding Program'!$L$34,0)-IF(AND('Bonding Program'!$P$34&lt;&gt;"",DC$3='Bonding Program'!$P$34),'Bonding Program'!$O$34,0)-IF(AND('Bonding Program'!$R$34&lt;&gt;"",DC$3='Bonding Program'!$R$34),'Bonding Program'!$Q$34,0),0)</f>
        <v>0</v>
      </c>
      <c r="DD175" s="19" t="n">
        <f aca="false">IF(AND('Bonding Program'!$S$34=1,DD$3='Bonding Program'!$H$34),'Bonding Program'!$AA$34,0)-IF(DD$3&lt;='Bonding Program'!$C$8,IF(AND('Bonding Program'!$K$34&lt;&gt;"",DD$3='Bonding Program'!$K$34),'Bonding Program'!$J$34,0)-IF(AND('Bonding Program'!$M$34&lt;&gt;"",DD$3='Bonding Program'!$M$34),'Bonding Program'!$L$34,0)-IF(AND('Bonding Program'!$P$34&lt;&gt;"",DD$3='Bonding Program'!$P$34),'Bonding Program'!$O$34,0)-IF(AND('Bonding Program'!$R$34&lt;&gt;"",DD$3='Bonding Program'!$R$34),'Bonding Program'!$Q$34,0),0)</f>
        <v>0</v>
      </c>
      <c r="DE175" s="19" t="n">
        <f aca="false">IF(AND('Bonding Program'!$S$34=1,DE$3='Bonding Program'!$H$34),'Bonding Program'!$AA$34,0)-IF(DE$3&lt;='Bonding Program'!$C$8,IF(AND('Bonding Program'!$K$34&lt;&gt;"",DE$3='Bonding Program'!$K$34),'Bonding Program'!$J$34,0)-IF(AND('Bonding Program'!$M$34&lt;&gt;"",DE$3='Bonding Program'!$M$34),'Bonding Program'!$L$34,0)-IF(AND('Bonding Program'!$P$34&lt;&gt;"",DE$3='Bonding Program'!$P$34),'Bonding Program'!$O$34,0)-IF(AND('Bonding Program'!$R$34&lt;&gt;"",DE$3='Bonding Program'!$R$34),'Bonding Program'!$Q$34,0),0)</f>
        <v>0</v>
      </c>
    </row>
    <row r="176" customFormat="false" ht="15" hidden="false" customHeight="true" outlineLevel="1" collapsed="false">
      <c r="A176" s="28" t="s">
        <v>31</v>
      </c>
      <c r="B176" s="19" t="n">
        <f aca="false">IF(AND('Bonding Program'!$S$35=1,B$3='Bonding Program'!$H$35),'Bonding Program'!$AA$35,0)-IF(B$3&lt;='Bonding Program'!$C$8,IF(AND('Bonding Program'!$K$35&lt;&gt;"",B$3='Bonding Program'!$K$35),'Bonding Program'!$J$35,0)-IF(AND('Bonding Program'!$M$35&lt;&gt;"",B$3='Bonding Program'!$M$35),'Bonding Program'!$L$35,0)-IF(AND('Bonding Program'!$P$35&lt;&gt;"",B$3='Bonding Program'!$P$35),'Bonding Program'!$O$35,0)-IF(AND('Bonding Program'!$R$35&lt;&gt;"",B$3='Bonding Program'!$R$35),'Bonding Program'!$Q$35,0),0)</f>
        <v>0</v>
      </c>
      <c r="C176" s="19" t="n">
        <f aca="false">IF(AND('Bonding Program'!$S$35=1,C$3='Bonding Program'!$H$35),'Bonding Program'!$AA$35,0)-IF(C$3&lt;='Bonding Program'!$C$8,IF(AND('Bonding Program'!$K$35&lt;&gt;"",C$3='Bonding Program'!$K$35),'Bonding Program'!$J$35,0)-IF(AND('Bonding Program'!$M$35&lt;&gt;"",C$3='Bonding Program'!$M$35),'Bonding Program'!$L$35,0)-IF(AND('Bonding Program'!$P$35&lt;&gt;"",C$3='Bonding Program'!$P$35),'Bonding Program'!$O$35,0)-IF(AND('Bonding Program'!$R$35&lt;&gt;"",C$3='Bonding Program'!$R$35),'Bonding Program'!$Q$35,0),0)</f>
        <v>0</v>
      </c>
      <c r="D176" s="19" t="n">
        <f aca="false">IF(AND('Bonding Program'!$S$35=1,D$3='Bonding Program'!$H$35),'Bonding Program'!$AA$35,0)-IF(D$3&lt;='Bonding Program'!$C$8,IF(AND('Bonding Program'!$K$35&lt;&gt;"",D$3='Bonding Program'!$K$35),'Bonding Program'!$J$35,0)-IF(AND('Bonding Program'!$M$35&lt;&gt;"",D$3='Bonding Program'!$M$35),'Bonding Program'!$L$35,0)-IF(AND('Bonding Program'!$P$35&lt;&gt;"",D$3='Bonding Program'!$P$35),'Bonding Program'!$O$35,0)-IF(AND('Bonding Program'!$R$35&lt;&gt;"",D$3='Bonding Program'!$R$35),'Bonding Program'!$Q$35,0),0)</f>
        <v>0</v>
      </c>
      <c r="E176" s="19" t="n">
        <f aca="false">IF(AND('Bonding Program'!$S$35=1,E$3='Bonding Program'!$H$35),'Bonding Program'!$AA$35,0)-IF(E$3&lt;='Bonding Program'!$C$8,IF(AND('Bonding Program'!$K$35&lt;&gt;"",E$3='Bonding Program'!$K$35),'Bonding Program'!$J$35,0)-IF(AND('Bonding Program'!$M$35&lt;&gt;"",E$3='Bonding Program'!$M$35),'Bonding Program'!$L$35,0)-IF(AND('Bonding Program'!$P$35&lt;&gt;"",E$3='Bonding Program'!$P$35),'Bonding Program'!$O$35,0)-IF(AND('Bonding Program'!$R$35&lt;&gt;"",E$3='Bonding Program'!$R$35),'Bonding Program'!$Q$35,0),0)</f>
        <v>0</v>
      </c>
      <c r="F176" s="19" t="n">
        <f aca="false">IF(AND('Bonding Program'!$S$35=1,F$3='Bonding Program'!$H$35),'Bonding Program'!$AA$35,0)-IF(F$3&lt;='Bonding Program'!$C$8,IF(AND('Bonding Program'!$K$35&lt;&gt;"",F$3='Bonding Program'!$K$35),'Bonding Program'!$J$35,0)-IF(AND('Bonding Program'!$M$35&lt;&gt;"",F$3='Bonding Program'!$M$35),'Bonding Program'!$L$35,0)-IF(AND('Bonding Program'!$P$35&lt;&gt;"",F$3='Bonding Program'!$P$35),'Bonding Program'!$O$35,0)-IF(AND('Bonding Program'!$R$35&lt;&gt;"",F$3='Bonding Program'!$R$35),'Bonding Program'!$Q$35,0),0)</f>
        <v>0</v>
      </c>
      <c r="G176" s="19" t="n">
        <f aca="false">IF(AND('Bonding Program'!$S$35=1,G$3='Bonding Program'!$H$35),'Bonding Program'!$AA$35,0)-IF(G$3&lt;='Bonding Program'!$C$8,IF(AND('Bonding Program'!$K$35&lt;&gt;"",G$3='Bonding Program'!$K$35),'Bonding Program'!$J$35,0)-IF(AND('Bonding Program'!$M$35&lt;&gt;"",G$3='Bonding Program'!$M$35),'Bonding Program'!$L$35,0)-IF(AND('Bonding Program'!$P$35&lt;&gt;"",G$3='Bonding Program'!$P$35),'Bonding Program'!$O$35,0)-IF(AND('Bonding Program'!$R$35&lt;&gt;"",G$3='Bonding Program'!$R$35),'Bonding Program'!$Q$35,0),0)</f>
        <v>0</v>
      </c>
      <c r="H176" s="19" t="n">
        <f aca="false">IF(AND('Bonding Program'!$S$35=1,H$3='Bonding Program'!$H$35),'Bonding Program'!$AA$35,0)-IF(H$3&lt;='Bonding Program'!$C$8,IF(AND('Bonding Program'!$K$35&lt;&gt;"",H$3='Bonding Program'!$K$35),'Bonding Program'!$J$35,0)-IF(AND('Bonding Program'!$M$35&lt;&gt;"",H$3='Bonding Program'!$M$35),'Bonding Program'!$L$35,0)-IF(AND('Bonding Program'!$P$35&lt;&gt;"",H$3='Bonding Program'!$P$35),'Bonding Program'!$O$35,0)-IF(AND('Bonding Program'!$R$35&lt;&gt;"",H$3='Bonding Program'!$R$35),'Bonding Program'!$Q$35,0),0)</f>
        <v>0</v>
      </c>
      <c r="I176" s="19" t="n">
        <f aca="false">IF(AND('Bonding Program'!$S$35=1,I$3='Bonding Program'!$H$35),'Bonding Program'!$AA$35,0)-IF(I$3&lt;='Bonding Program'!$C$8,IF(AND('Bonding Program'!$K$35&lt;&gt;"",I$3='Bonding Program'!$K$35),'Bonding Program'!$J$35,0)-IF(AND('Bonding Program'!$M$35&lt;&gt;"",I$3='Bonding Program'!$M$35),'Bonding Program'!$L$35,0)-IF(AND('Bonding Program'!$P$35&lt;&gt;"",I$3='Bonding Program'!$P$35),'Bonding Program'!$O$35,0)-IF(AND('Bonding Program'!$R$35&lt;&gt;"",I$3='Bonding Program'!$R$35),'Bonding Program'!$Q$35,0),0)</f>
        <v>0</v>
      </c>
      <c r="J176" s="19" t="n">
        <f aca="false">IF(AND('Bonding Program'!$S$35=1,J$3='Bonding Program'!$H$35),'Bonding Program'!$AA$35,0)-IF(J$3&lt;='Bonding Program'!$C$8,IF(AND('Bonding Program'!$K$35&lt;&gt;"",J$3='Bonding Program'!$K$35),'Bonding Program'!$J$35,0)-IF(AND('Bonding Program'!$M$35&lt;&gt;"",J$3='Bonding Program'!$M$35),'Bonding Program'!$L$35,0)-IF(AND('Bonding Program'!$P$35&lt;&gt;"",J$3='Bonding Program'!$P$35),'Bonding Program'!$O$35,0)-IF(AND('Bonding Program'!$R$35&lt;&gt;"",J$3='Bonding Program'!$R$35),'Bonding Program'!$Q$35,0),0)</f>
        <v>0</v>
      </c>
      <c r="K176" s="19" t="n">
        <f aca="false">IF(AND('Bonding Program'!$S$35=1,K$3='Bonding Program'!$H$35),'Bonding Program'!$AA$35,0)-IF(K$3&lt;='Bonding Program'!$C$8,IF(AND('Bonding Program'!$K$35&lt;&gt;"",K$3='Bonding Program'!$K$35),'Bonding Program'!$J$35,0)-IF(AND('Bonding Program'!$M$35&lt;&gt;"",K$3='Bonding Program'!$M$35),'Bonding Program'!$L$35,0)-IF(AND('Bonding Program'!$P$35&lt;&gt;"",K$3='Bonding Program'!$P$35),'Bonding Program'!$O$35,0)-IF(AND('Bonding Program'!$R$35&lt;&gt;"",K$3='Bonding Program'!$R$35),'Bonding Program'!$Q$35,0),0)</f>
        <v>0</v>
      </c>
      <c r="L176" s="19" t="n">
        <f aca="false">IF(AND('Bonding Program'!$S$35=1,L$3='Bonding Program'!$H$35),'Bonding Program'!$AA$35,0)-IF(L$3&lt;='Bonding Program'!$C$8,IF(AND('Bonding Program'!$K$35&lt;&gt;"",L$3='Bonding Program'!$K$35),'Bonding Program'!$J$35,0)-IF(AND('Bonding Program'!$M$35&lt;&gt;"",L$3='Bonding Program'!$M$35),'Bonding Program'!$L$35,0)-IF(AND('Bonding Program'!$P$35&lt;&gt;"",L$3='Bonding Program'!$P$35),'Bonding Program'!$O$35,0)-IF(AND('Bonding Program'!$R$35&lt;&gt;"",L$3='Bonding Program'!$R$35),'Bonding Program'!$Q$35,0),0)</f>
        <v>0</v>
      </c>
      <c r="M176" s="19" t="n">
        <f aca="false">IF(AND('Bonding Program'!$S$35=1,M$3='Bonding Program'!$H$35),'Bonding Program'!$AA$35,0)-IF(M$3&lt;='Bonding Program'!$C$8,IF(AND('Bonding Program'!$K$35&lt;&gt;"",M$3='Bonding Program'!$K$35),'Bonding Program'!$J$35,0)-IF(AND('Bonding Program'!$M$35&lt;&gt;"",M$3='Bonding Program'!$M$35),'Bonding Program'!$L$35,0)-IF(AND('Bonding Program'!$P$35&lt;&gt;"",M$3='Bonding Program'!$P$35),'Bonding Program'!$O$35,0)-IF(AND('Bonding Program'!$R$35&lt;&gt;"",M$3='Bonding Program'!$R$35),'Bonding Program'!$Q$35,0),0)</f>
        <v>0</v>
      </c>
      <c r="N176" s="19" t="n">
        <f aca="false">IF(AND('Bonding Program'!$S$35=1,N$3='Bonding Program'!$H$35),'Bonding Program'!$AA$35,0)-IF(N$3&lt;='Bonding Program'!$C$8,IF(AND('Bonding Program'!$K$35&lt;&gt;"",N$3='Bonding Program'!$K$35),'Bonding Program'!$J$35,0)-IF(AND('Bonding Program'!$M$35&lt;&gt;"",N$3='Bonding Program'!$M$35),'Bonding Program'!$L$35,0)-IF(AND('Bonding Program'!$P$35&lt;&gt;"",N$3='Bonding Program'!$P$35),'Bonding Program'!$O$35,0)-IF(AND('Bonding Program'!$R$35&lt;&gt;"",N$3='Bonding Program'!$R$35),'Bonding Program'!$Q$35,0),0)</f>
        <v>0</v>
      </c>
      <c r="O176" s="19" t="n">
        <f aca="false">IF(AND('Bonding Program'!$S$35=1,O$3='Bonding Program'!$H$35),'Bonding Program'!$AA$35,0)-IF(O$3&lt;='Bonding Program'!$C$8,IF(AND('Bonding Program'!$K$35&lt;&gt;"",O$3='Bonding Program'!$K$35),'Bonding Program'!$J$35,0)-IF(AND('Bonding Program'!$M$35&lt;&gt;"",O$3='Bonding Program'!$M$35),'Bonding Program'!$L$35,0)-IF(AND('Bonding Program'!$P$35&lt;&gt;"",O$3='Bonding Program'!$P$35),'Bonding Program'!$O$35,0)-IF(AND('Bonding Program'!$R$35&lt;&gt;"",O$3='Bonding Program'!$R$35),'Bonding Program'!$Q$35,0),0)</f>
        <v>0</v>
      </c>
      <c r="P176" s="19" t="n">
        <f aca="false">IF(AND('Bonding Program'!$S$35=1,P$3='Bonding Program'!$H$35),'Bonding Program'!$AA$35,0)-IF(P$3&lt;='Bonding Program'!$C$8,IF(AND('Bonding Program'!$K$35&lt;&gt;"",P$3='Bonding Program'!$K$35),'Bonding Program'!$J$35,0)-IF(AND('Bonding Program'!$M$35&lt;&gt;"",P$3='Bonding Program'!$M$35),'Bonding Program'!$L$35,0)-IF(AND('Bonding Program'!$P$35&lt;&gt;"",P$3='Bonding Program'!$P$35),'Bonding Program'!$O$35,0)-IF(AND('Bonding Program'!$R$35&lt;&gt;"",P$3='Bonding Program'!$R$35),'Bonding Program'!$Q$35,0),0)</f>
        <v>0</v>
      </c>
      <c r="Q176" s="19" t="n">
        <f aca="false">IF(AND('Bonding Program'!$S$35=1,Q$3='Bonding Program'!$H$35),'Bonding Program'!$AA$35,0)-IF(Q$3&lt;='Bonding Program'!$C$8,IF(AND('Bonding Program'!$K$35&lt;&gt;"",Q$3='Bonding Program'!$K$35),'Bonding Program'!$J$35,0)-IF(AND('Bonding Program'!$M$35&lt;&gt;"",Q$3='Bonding Program'!$M$35),'Bonding Program'!$L$35,0)-IF(AND('Bonding Program'!$P$35&lt;&gt;"",Q$3='Bonding Program'!$P$35),'Bonding Program'!$O$35,0)-IF(AND('Bonding Program'!$R$35&lt;&gt;"",Q$3='Bonding Program'!$R$35),'Bonding Program'!$Q$35,0),0)</f>
        <v>0</v>
      </c>
      <c r="R176" s="19" t="n">
        <f aca="false">IF(AND('Bonding Program'!$S$35=1,R$3='Bonding Program'!$H$35),'Bonding Program'!$AA$35,0)-IF(R$3&lt;='Bonding Program'!$C$8,IF(AND('Bonding Program'!$K$35&lt;&gt;"",R$3='Bonding Program'!$K$35),'Bonding Program'!$J$35,0)-IF(AND('Bonding Program'!$M$35&lt;&gt;"",R$3='Bonding Program'!$M$35),'Bonding Program'!$L$35,0)-IF(AND('Bonding Program'!$P$35&lt;&gt;"",R$3='Bonding Program'!$P$35),'Bonding Program'!$O$35,0)-IF(AND('Bonding Program'!$R$35&lt;&gt;"",R$3='Bonding Program'!$R$35),'Bonding Program'!$Q$35,0),0)</f>
        <v>0</v>
      </c>
      <c r="S176" s="19" t="n">
        <f aca="false">IF(AND('Bonding Program'!$S$35=1,S$3='Bonding Program'!$H$35),'Bonding Program'!$AA$35,0)-IF(S$3&lt;='Bonding Program'!$C$8,IF(AND('Bonding Program'!$K$35&lt;&gt;"",S$3='Bonding Program'!$K$35),'Bonding Program'!$J$35,0)-IF(AND('Bonding Program'!$M$35&lt;&gt;"",S$3='Bonding Program'!$M$35),'Bonding Program'!$L$35,0)-IF(AND('Bonding Program'!$P$35&lt;&gt;"",S$3='Bonding Program'!$P$35),'Bonding Program'!$O$35,0)-IF(AND('Bonding Program'!$R$35&lt;&gt;"",S$3='Bonding Program'!$R$35),'Bonding Program'!$Q$35,0),0)</f>
        <v>0</v>
      </c>
      <c r="T176" s="19" t="n">
        <f aca="false">IF(AND('Bonding Program'!$S$35=1,T$3='Bonding Program'!$H$35),'Bonding Program'!$AA$35,0)-IF(T$3&lt;='Bonding Program'!$C$8,IF(AND('Bonding Program'!$K$35&lt;&gt;"",T$3='Bonding Program'!$K$35),'Bonding Program'!$J$35,0)-IF(AND('Bonding Program'!$M$35&lt;&gt;"",T$3='Bonding Program'!$M$35),'Bonding Program'!$L$35,0)-IF(AND('Bonding Program'!$P$35&lt;&gt;"",T$3='Bonding Program'!$P$35),'Bonding Program'!$O$35,0)-IF(AND('Bonding Program'!$R$35&lt;&gt;"",T$3='Bonding Program'!$R$35),'Bonding Program'!$Q$35,0),0)</f>
        <v>0</v>
      </c>
      <c r="U176" s="19" t="n">
        <f aca="false">IF(AND('Bonding Program'!$S$35=1,U$3='Bonding Program'!$H$35),'Bonding Program'!$AA$35,0)-IF(U$3&lt;='Bonding Program'!$C$8,IF(AND('Bonding Program'!$K$35&lt;&gt;"",U$3='Bonding Program'!$K$35),'Bonding Program'!$J$35,0)-IF(AND('Bonding Program'!$M$35&lt;&gt;"",U$3='Bonding Program'!$M$35),'Bonding Program'!$L$35,0)-IF(AND('Bonding Program'!$P$35&lt;&gt;"",U$3='Bonding Program'!$P$35),'Bonding Program'!$O$35,0)-IF(AND('Bonding Program'!$R$35&lt;&gt;"",U$3='Bonding Program'!$R$35),'Bonding Program'!$Q$35,0),0)</f>
        <v>0</v>
      </c>
      <c r="V176" s="19" t="n">
        <f aca="false">IF(AND('Bonding Program'!$S$35=1,V$3='Bonding Program'!$H$35),'Bonding Program'!$AA$35,0)-IF(V$3&lt;='Bonding Program'!$C$8,IF(AND('Bonding Program'!$K$35&lt;&gt;"",V$3='Bonding Program'!$K$35),'Bonding Program'!$J$35,0)-IF(AND('Bonding Program'!$M$35&lt;&gt;"",V$3='Bonding Program'!$M$35),'Bonding Program'!$L$35,0)-IF(AND('Bonding Program'!$P$35&lt;&gt;"",V$3='Bonding Program'!$P$35),'Bonding Program'!$O$35,0)-IF(AND('Bonding Program'!$R$35&lt;&gt;"",V$3='Bonding Program'!$R$35),'Bonding Program'!$Q$35,0),0)</f>
        <v>0</v>
      </c>
      <c r="W176" s="19" t="n">
        <f aca="false">IF(AND('Bonding Program'!$S$35=1,W$3='Bonding Program'!$H$35),'Bonding Program'!$AA$35,0)-IF(W$3&lt;='Bonding Program'!$C$8,IF(AND('Bonding Program'!$K$35&lt;&gt;"",W$3='Bonding Program'!$K$35),'Bonding Program'!$J$35,0)-IF(AND('Bonding Program'!$M$35&lt;&gt;"",W$3='Bonding Program'!$M$35),'Bonding Program'!$L$35,0)-IF(AND('Bonding Program'!$P$35&lt;&gt;"",W$3='Bonding Program'!$P$35),'Bonding Program'!$O$35,0)-IF(AND('Bonding Program'!$R$35&lt;&gt;"",W$3='Bonding Program'!$R$35),'Bonding Program'!$Q$35,0),0)</f>
        <v>0</v>
      </c>
      <c r="X176" s="19" t="n">
        <f aca="false">IF(AND('Bonding Program'!$S$35=1,X$3='Bonding Program'!$H$35),'Bonding Program'!$AA$35,0)-IF(X$3&lt;='Bonding Program'!$C$8,IF(AND('Bonding Program'!$K$35&lt;&gt;"",X$3='Bonding Program'!$K$35),'Bonding Program'!$J$35,0)-IF(AND('Bonding Program'!$M$35&lt;&gt;"",X$3='Bonding Program'!$M$35),'Bonding Program'!$L$35,0)-IF(AND('Bonding Program'!$P$35&lt;&gt;"",X$3='Bonding Program'!$P$35),'Bonding Program'!$O$35,0)-IF(AND('Bonding Program'!$R$35&lt;&gt;"",X$3='Bonding Program'!$R$35),'Bonding Program'!$Q$35,0),0)</f>
        <v>0</v>
      </c>
      <c r="Y176" s="19" t="n">
        <f aca="false">IF(AND('Bonding Program'!$S$35=1,Y$3='Bonding Program'!$H$35),'Bonding Program'!$AA$35,0)-IF(Y$3&lt;='Bonding Program'!$C$8,IF(AND('Bonding Program'!$K$35&lt;&gt;"",Y$3='Bonding Program'!$K$35),'Bonding Program'!$J$35,0)-IF(AND('Bonding Program'!$M$35&lt;&gt;"",Y$3='Bonding Program'!$M$35),'Bonding Program'!$L$35,0)-IF(AND('Bonding Program'!$P$35&lt;&gt;"",Y$3='Bonding Program'!$P$35),'Bonding Program'!$O$35,0)-IF(AND('Bonding Program'!$R$35&lt;&gt;"",Y$3='Bonding Program'!$R$35),'Bonding Program'!$Q$35,0),0)</f>
        <v>0</v>
      </c>
      <c r="Z176" s="19" t="n">
        <f aca="false">IF(AND('Bonding Program'!$S$35=1,Z$3='Bonding Program'!$H$35),'Bonding Program'!$AA$35,0)-IF(Z$3&lt;='Bonding Program'!$C$8,IF(AND('Bonding Program'!$K$35&lt;&gt;"",Z$3='Bonding Program'!$K$35),'Bonding Program'!$J$35,0)-IF(AND('Bonding Program'!$M$35&lt;&gt;"",Z$3='Bonding Program'!$M$35),'Bonding Program'!$L$35,0)-IF(AND('Bonding Program'!$P$35&lt;&gt;"",Z$3='Bonding Program'!$P$35),'Bonding Program'!$O$35,0)-IF(AND('Bonding Program'!$R$35&lt;&gt;"",Z$3='Bonding Program'!$R$35),'Bonding Program'!$Q$35,0),0)</f>
        <v>0</v>
      </c>
      <c r="AA176" s="19" t="n">
        <f aca="false">IF(AND('Bonding Program'!$S$35=1,AA$3='Bonding Program'!$H$35),'Bonding Program'!$AA$35,0)-IF(AA$3&lt;='Bonding Program'!$C$8,IF(AND('Bonding Program'!$K$35&lt;&gt;"",AA$3='Bonding Program'!$K$35),'Bonding Program'!$J$35,0)-IF(AND('Bonding Program'!$M$35&lt;&gt;"",AA$3='Bonding Program'!$M$35),'Bonding Program'!$L$35,0)-IF(AND('Bonding Program'!$P$35&lt;&gt;"",AA$3='Bonding Program'!$P$35),'Bonding Program'!$O$35,0)-IF(AND('Bonding Program'!$R$35&lt;&gt;"",AA$3='Bonding Program'!$R$35),'Bonding Program'!$Q$35,0),0)</f>
        <v>0</v>
      </c>
      <c r="AB176" s="19" t="n">
        <f aca="false">IF(AND('Bonding Program'!$S$35=1,AB$3='Bonding Program'!$H$35),'Bonding Program'!$AA$35,0)-IF(AB$3&lt;='Bonding Program'!$C$8,IF(AND('Bonding Program'!$K$35&lt;&gt;"",AB$3='Bonding Program'!$K$35),'Bonding Program'!$J$35,0)-IF(AND('Bonding Program'!$M$35&lt;&gt;"",AB$3='Bonding Program'!$M$35),'Bonding Program'!$L$35,0)-IF(AND('Bonding Program'!$P$35&lt;&gt;"",AB$3='Bonding Program'!$P$35),'Bonding Program'!$O$35,0)-IF(AND('Bonding Program'!$R$35&lt;&gt;"",AB$3='Bonding Program'!$R$35),'Bonding Program'!$Q$35,0),0)</f>
        <v>0</v>
      </c>
      <c r="AC176" s="19" t="n">
        <f aca="false">IF(AND('Bonding Program'!$S$35=1,AC$3='Bonding Program'!$H$35),'Bonding Program'!$AA$35,0)-IF(AC$3&lt;='Bonding Program'!$C$8,IF(AND('Bonding Program'!$K$35&lt;&gt;"",AC$3='Bonding Program'!$K$35),'Bonding Program'!$J$35,0)-IF(AND('Bonding Program'!$M$35&lt;&gt;"",AC$3='Bonding Program'!$M$35),'Bonding Program'!$L$35,0)-IF(AND('Bonding Program'!$P$35&lt;&gt;"",AC$3='Bonding Program'!$P$35),'Bonding Program'!$O$35,0)-IF(AND('Bonding Program'!$R$35&lt;&gt;"",AC$3='Bonding Program'!$R$35),'Bonding Program'!$Q$35,0),0)</f>
        <v>0</v>
      </c>
      <c r="AD176" s="19" t="n">
        <f aca="false">IF(AND('Bonding Program'!$S$35=1,AD$3='Bonding Program'!$H$35),'Bonding Program'!$AA$35,0)-IF(AD$3&lt;='Bonding Program'!$C$8,IF(AND('Bonding Program'!$K$35&lt;&gt;"",AD$3='Bonding Program'!$K$35),'Bonding Program'!$J$35,0)-IF(AND('Bonding Program'!$M$35&lt;&gt;"",AD$3='Bonding Program'!$M$35),'Bonding Program'!$L$35,0)-IF(AND('Bonding Program'!$P$35&lt;&gt;"",AD$3='Bonding Program'!$P$35),'Bonding Program'!$O$35,0)-IF(AND('Bonding Program'!$R$35&lt;&gt;"",AD$3='Bonding Program'!$R$35),'Bonding Program'!$Q$35,0),0)</f>
        <v>0</v>
      </c>
      <c r="AE176" s="19" t="n">
        <f aca="false">IF(AND('Bonding Program'!$S$35=1,AE$3='Bonding Program'!$H$35),'Bonding Program'!$AA$35,0)-IF(AE$3&lt;='Bonding Program'!$C$8,IF(AND('Bonding Program'!$K$35&lt;&gt;"",AE$3='Bonding Program'!$K$35),'Bonding Program'!$J$35,0)-IF(AND('Bonding Program'!$M$35&lt;&gt;"",AE$3='Bonding Program'!$M$35),'Bonding Program'!$L$35,0)-IF(AND('Bonding Program'!$P$35&lt;&gt;"",AE$3='Bonding Program'!$P$35),'Bonding Program'!$O$35,0)-IF(AND('Bonding Program'!$R$35&lt;&gt;"",AE$3='Bonding Program'!$R$35),'Bonding Program'!$Q$35,0),0)</f>
        <v>0</v>
      </c>
      <c r="AF176" s="19" t="n">
        <f aca="false">IF(AND('Bonding Program'!$S$35=1,AF$3='Bonding Program'!$H$35),'Bonding Program'!$AA$35,0)-IF(AF$3&lt;='Bonding Program'!$C$8,IF(AND('Bonding Program'!$K$35&lt;&gt;"",AF$3='Bonding Program'!$K$35),'Bonding Program'!$J$35,0)-IF(AND('Bonding Program'!$M$35&lt;&gt;"",AF$3='Bonding Program'!$M$35),'Bonding Program'!$L$35,0)-IF(AND('Bonding Program'!$P$35&lt;&gt;"",AF$3='Bonding Program'!$P$35),'Bonding Program'!$O$35,0)-IF(AND('Bonding Program'!$R$35&lt;&gt;"",AF$3='Bonding Program'!$R$35),'Bonding Program'!$Q$35,0),0)</f>
        <v>0</v>
      </c>
      <c r="AG176" s="19" t="n">
        <f aca="false">IF(AND('Bonding Program'!$S$35=1,AG$3='Bonding Program'!$H$35),'Bonding Program'!$AA$35,0)-IF(AG$3&lt;='Bonding Program'!$C$8,IF(AND('Bonding Program'!$K$35&lt;&gt;"",AG$3='Bonding Program'!$K$35),'Bonding Program'!$J$35,0)-IF(AND('Bonding Program'!$M$35&lt;&gt;"",AG$3='Bonding Program'!$M$35),'Bonding Program'!$L$35,0)-IF(AND('Bonding Program'!$P$35&lt;&gt;"",AG$3='Bonding Program'!$P$35),'Bonding Program'!$O$35,0)-IF(AND('Bonding Program'!$R$35&lt;&gt;"",AG$3='Bonding Program'!$R$35),'Bonding Program'!$Q$35,0),0)</f>
        <v>0</v>
      </c>
      <c r="AH176" s="19" t="n">
        <f aca="false">IF(AND('Bonding Program'!$S$35=1,AH$3='Bonding Program'!$H$35),'Bonding Program'!$AA$35,0)-IF(AH$3&lt;='Bonding Program'!$C$8,IF(AND('Bonding Program'!$K$35&lt;&gt;"",AH$3='Bonding Program'!$K$35),'Bonding Program'!$J$35,0)-IF(AND('Bonding Program'!$M$35&lt;&gt;"",AH$3='Bonding Program'!$M$35),'Bonding Program'!$L$35,0)-IF(AND('Bonding Program'!$P$35&lt;&gt;"",AH$3='Bonding Program'!$P$35),'Bonding Program'!$O$35,0)-IF(AND('Bonding Program'!$R$35&lt;&gt;"",AH$3='Bonding Program'!$R$35),'Bonding Program'!$Q$35,0),0)</f>
        <v>0</v>
      </c>
      <c r="AI176" s="19" t="n">
        <f aca="false">IF(AND('Bonding Program'!$S$35=1,AI$3='Bonding Program'!$H$35),'Bonding Program'!$AA$35,0)-IF(AI$3&lt;='Bonding Program'!$C$8,IF(AND('Bonding Program'!$K$35&lt;&gt;"",AI$3='Bonding Program'!$K$35),'Bonding Program'!$J$35,0)-IF(AND('Bonding Program'!$M$35&lt;&gt;"",AI$3='Bonding Program'!$M$35),'Bonding Program'!$L$35,0)-IF(AND('Bonding Program'!$P$35&lt;&gt;"",AI$3='Bonding Program'!$P$35),'Bonding Program'!$O$35,0)-IF(AND('Bonding Program'!$R$35&lt;&gt;"",AI$3='Bonding Program'!$R$35),'Bonding Program'!$Q$35,0),0)</f>
        <v>0</v>
      </c>
      <c r="AJ176" s="19" t="n">
        <f aca="false">IF(AND('Bonding Program'!$S$35=1,AJ$3='Bonding Program'!$H$35),'Bonding Program'!$AA$35,0)-IF(AJ$3&lt;='Bonding Program'!$C$8,IF(AND('Bonding Program'!$K$35&lt;&gt;"",AJ$3='Bonding Program'!$K$35),'Bonding Program'!$J$35,0)-IF(AND('Bonding Program'!$M$35&lt;&gt;"",AJ$3='Bonding Program'!$M$35),'Bonding Program'!$L$35,0)-IF(AND('Bonding Program'!$P$35&lt;&gt;"",AJ$3='Bonding Program'!$P$35),'Bonding Program'!$O$35,0)-IF(AND('Bonding Program'!$R$35&lt;&gt;"",AJ$3='Bonding Program'!$R$35),'Bonding Program'!$Q$35,0),0)</f>
        <v>0</v>
      </c>
      <c r="AK176" s="19" t="n">
        <f aca="false">IF(AND('Bonding Program'!$S$35=1,AK$3='Bonding Program'!$H$35),'Bonding Program'!$AA$35,0)-IF(AK$3&lt;='Bonding Program'!$C$8,IF(AND('Bonding Program'!$K$35&lt;&gt;"",AK$3='Bonding Program'!$K$35),'Bonding Program'!$J$35,0)-IF(AND('Bonding Program'!$M$35&lt;&gt;"",AK$3='Bonding Program'!$M$35),'Bonding Program'!$L$35,0)-IF(AND('Bonding Program'!$P$35&lt;&gt;"",AK$3='Bonding Program'!$P$35),'Bonding Program'!$O$35,0)-IF(AND('Bonding Program'!$R$35&lt;&gt;"",AK$3='Bonding Program'!$R$35),'Bonding Program'!$Q$35,0),0)</f>
        <v>0</v>
      </c>
      <c r="AL176" s="19" t="n">
        <f aca="false">IF(AND('Bonding Program'!$S$35=1,AL$3='Bonding Program'!$H$35),'Bonding Program'!$AA$35,0)-IF(AL$3&lt;='Bonding Program'!$C$8,IF(AND('Bonding Program'!$K$35&lt;&gt;"",AL$3='Bonding Program'!$K$35),'Bonding Program'!$J$35,0)-IF(AND('Bonding Program'!$M$35&lt;&gt;"",AL$3='Bonding Program'!$M$35),'Bonding Program'!$L$35,0)-IF(AND('Bonding Program'!$P$35&lt;&gt;"",AL$3='Bonding Program'!$P$35),'Bonding Program'!$O$35,0)-IF(AND('Bonding Program'!$R$35&lt;&gt;"",AL$3='Bonding Program'!$R$35),'Bonding Program'!$Q$35,0),0)</f>
        <v>0</v>
      </c>
      <c r="AM176" s="19" t="n">
        <f aca="false">IF(AND('Bonding Program'!$S$35=1,AM$3='Bonding Program'!$H$35),'Bonding Program'!$AA$35,0)-IF(AM$3&lt;='Bonding Program'!$C$8,IF(AND('Bonding Program'!$K$35&lt;&gt;"",AM$3='Bonding Program'!$K$35),'Bonding Program'!$J$35,0)-IF(AND('Bonding Program'!$M$35&lt;&gt;"",AM$3='Bonding Program'!$M$35),'Bonding Program'!$L$35,0)-IF(AND('Bonding Program'!$P$35&lt;&gt;"",AM$3='Bonding Program'!$P$35),'Bonding Program'!$O$35,0)-IF(AND('Bonding Program'!$R$35&lt;&gt;"",AM$3='Bonding Program'!$R$35),'Bonding Program'!$Q$35,0),0)</f>
        <v>0</v>
      </c>
      <c r="AN176" s="19" t="n">
        <f aca="false">IF(AND('Bonding Program'!$S$35=1,AN$3='Bonding Program'!$H$35),'Bonding Program'!$AA$35,0)-IF(AN$3&lt;='Bonding Program'!$C$8,IF(AND('Bonding Program'!$K$35&lt;&gt;"",AN$3='Bonding Program'!$K$35),'Bonding Program'!$J$35,0)-IF(AND('Bonding Program'!$M$35&lt;&gt;"",AN$3='Bonding Program'!$M$35),'Bonding Program'!$L$35,0)-IF(AND('Bonding Program'!$P$35&lt;&gt;"",AN$3='Bonding Program'!$P$35),'Bonding Program'!$O$35,0)-IF(AND('Bonding Program'!$R$35&lt;&gt;"",AN$3='Bonding Program'!$R$35),'Bonding Program'!$Q$35,0),0)</f>
        <v>0</v>
      </c>
      <c r="AO176" s="19" t="n">
        <f aca="false">IF(AND('Bonding Program'!$S$35=1,AO$3='Bonding Program'!$H$35),'Bonding Program'!$AA$35,0)-IF(AO$3&lt;='Bonding Program'!$C$8,IF(AND('Bonding Program'!$K$35&lt;&gt;"",AO$3='Bonding Program'!$K$35),'Bonding Program'!$J$35,0)-IF(AND('Bonding Program'!$M$35&lt;&gt;"",AO$3='Bonding Program'!$M$35),'Bonding Program'!$L$35,0)-IF(AND('Bonding Program'!$P$35&lt;&gt;"",AO$3='Bonding Program'!$P$35),'Bonding Program'!$O$35,0)-IF(AND('Bonding Program'!$R$35&lt;&gt;"",AO$3='Bonding Program'!$R$35),'Bonding Program'!$Q$35,0),0)</f>
        <v>0</v>
      </c>
      <c r="AP176" s="19" t="n">
        <f aca="false">IF(AND('Bonding Program'!$S$35=1,AP$3='Bonding Program'!$H$35),'Bonding Program'!$AA$35,0)-IF(AP$3&lt;='Bonding Program'!$C$8,IF(AND('Bonding Program'!$K$35&lt;&gt;"",AP$3='Bonding Program'!$K$35),'Bonding Program'!$J$35,0)-IF(AND('Bonding Program'!$M$35&lt;&gt;"",AP$3='Bonding Program'!$M$35),'Bonding Program'!$L$35,0)-IF(AND('Bonding Program'!$P$35&lt;&gt;"",AP$3='Bonding Program'!$P$35),'Bonding Program'!$O$35,0)-IF(AND('Bonding Program'!$R$35&lt;&gt;"",AP$3='Bonding Program'!$R$35),'Bonding Program'!$Q$35,0),0)</f>
        <v>0</v>
      </c>
      <c r="AQ176" s="19" t="n">
        <f aca="false">IF(AND('Bonding Program'!$S$35=1,AQ$3='Bonding Program'!$H$35),'Bonding Program'!$AA$35,0)-IF(AQ$3&lt;='Bonding Program'!$C$8,IF(AND('Bonding Program'!$K$35&lt;&gt;"",AQ$3='Bonding Program'!$K$35),'Bonding Program'!$J$35,0)-IF(AND('Bonding Program'!$M$35&lt;&gt;"",AQ$3='Bonding Program'!$M$35),'Bonding Program'!$L$35,0)-IF(AND('Bonding Program'!$P$35&lt;&gt;"",AQ$3='Bonding Program'!$P$35),'Bonding Program'!$O$35,0)-IF(AND('Bonding Program'!$R$35&lt;&gt;"",AQ$3='Bonding Program'!$R$35),'Bonding Program'!$Q$35,0),0)</f>
        <v>0</v>
      </c>
      <c r="AR176" s="19" t="n">
        <f aca="false">IF(AND('Bonding Program'!$S$35=1,AR$3='Bonding Program'!$H$35),'Bonding Program'!$AA$35,0)-IF(AR$3&lt;='Bonding Program'!$C$8,IF(AND('Bonding Program'!$K$35&lt;&gt;"",AR$3='Bonding Program'!$K$35),'Bonding Program'!$J$35,0)-IF(AND('Bonding Program'!$M$35&lt;&gt;"",AR$3='Bonding Program'!$M$35),'Bonding Program'!$L$35,0)-IF(AND('Bonding Program'!$P$35&lt;&gt;"",AR$3='Bonding Program'!$P$35),'Bonding Program'!$O$35,0)-IF(AND('Bonding Program'!$R$35&lt;&gt;"",AR$3='Bonding Program'!$R$35),'Bonding Program'!$Q$35,0),0)</f>
        <v>0</v>
      </c>
      <c r="AS176" s="19" t="n">
        <f aca="false">IF(AND('Bonding Program'!$S$35=1,AS$3='Bonding Program'!$H$35),'Bonding Program'!$AA$35,0)-IF(AS$3&lt;='Bonding Program'!$C$8,IF(AND('Bonding Program'!$K$35&lt;&gt;"",AS$3='Bonding Program'!$K$35),'Bonding Program'!$J$35,0)-IF(AND('Bonding Program'!$M$35&lt;&gt;"",AS$3='Bonding Program'!$M$35),'Bonding Program'!$L$35,0)-IF(AND('Bonding Program'!$P$35&lt;&gt;"",AS$3='Bonding Program'!$P$35),'Bonding Program'!$O$35,0)-IF(AND('Bonding Program'!$R$35&lt;&gt;"",AS$3='Bonding Program'!$R$35),'Bonding Program'!$Q$35,0),0)</f>
        <v>0</v>
      </c>
      <c r="AT176" s="19" t="n">
        <f aca="false">IF(AND('Bonding Program'!$S$35=1,AT$3='Bonding Program'!$H$35),'Bonding Program'!$AA$35,0)-IF(AT$3&lt;='Bonding Program'!$C$8,IF(AND('Bonding Program'!$K$35&lt;&gt;"",AT$3='Bonding Program'!$K$35),'Bonding Program'!$J$35,0)-IF(AND('Bonding Program'!$M$35&lt;&gt;"",AT$3='Bonding Program'!$M$35),'Bonding Program'!$L$35,0)-IF(AND('Bonding Program'!$P$35&lt;&gt;"",AT$3='Bonding Program'!$P$35),'Bonding Program'!$O$35,0)-IF(AND('Bonding Program'!$R$35&lt;&gt;"",AT$3='Bonding Program'!$R$35),'Bonding Program'!$Q$35,0),0)</f>
        <v>0</v>
      </c>
      <c r="AU176" s="19" t="n">
        <f aca="false">IF(AND('Bonding Program'!$S$35=1,AU$3='Bonding Program'!$H$35),'Bonding Program'!$AA$35,0)-IF(AU$3&lt;='Bonding Program'!$C$8,IF(AND('Bonding Program'!$K$35&lt;&gt;"",AU$3='Bonding Program'!$K$35),'Bonding Program'!$J$35,0)-IF(AND('Bonding Program'!$M$35&lt;&gt;"",AU$3='Bonding Program'!$M$35),'Bonding Program'!$L$35,0)-IF(AND('Bonding Program'!$P$35&lt;&gt;"",AU$3='Bonding Program'!$P$35),'Bonding Program'!$O$35,0)-IF(AND('Bonding Program'!$R$35&lt;&gt;"",AU$3='Bonding Program'!$R$35),'Bonding Program'!$Q$35,0),0)</f>
        <v>0</v>
      </c>
      <c r="AV176" s="19" t="n">
        <f aca="false">IF(AND('Bonding Program'!$S$35=1,AV$3='Bonding Program'!$H$35),'Bonding Program'!$AA$35,0)-IF(AV$3&lt;='Bonding Program'!$C$8,IF(AND('Bonding Program'!$K$35&lt;&gt;"",AV$3='Bonding Program'!$K$35),'Bonding Program'!$J$35,0)-IF(AND('Bonding Program'!$M$35&lt;&gt;"",AV$3='Bonding Program'!$M$35),'Bonding Program'!$L$35,0)-IF(AND('Bonding Program'!$P$35&lt;&gt;"",AV$3='Bonding Program'!$P$35),'Bonding Program'!$O$35,0)-IF(AND('Bonding Program'!$R$35&lt;&gt;"",AV$3='Bonding Program'!$R$35),'Bonding Program'!$Q$35,0),0)</f>
        <v>0</v>
      </c>
      <c r="AW176" s="19" t="n">
        <f aca="false">IF(AND('Bonding Program'!$S$35=1,AW$3='Bonding Program'!$H$35),'Bonding Program'!$AA$35,0)-IF(AW$3&lt;='Bonding Program'!$C$8,IF(AND('Bonding Program'!$K$35&lt;&gt;"",AW$3='Bonding Program'!$K$35),'Bonding Program'!$J$35,0)-IF(AND('Bonding Program'!$M$35&lt;&gt;"",AW$3='Bonding Program'!$M$35),'Bonding Program'!$L$35,0)-IF(AND('Bonding Program'!$P$35&lt;&gt;"",AW$3='Bonding Program'!$P$35),'Bonding Program'!$O$35,0)-IF(AND('Bonding Program'!$R$35&lt;&gt;"",AW$3='Bonding Program'!$R$35),'Bonding Program'!$Q$35,0),0)</f>
        <v>0</v>
      </c>
      <c r="AX176" s="19" t="n">
        <f aca="false">IF(AND('Bonding Program'!$S$35=1,AX$3='Bonding Program'!$H$35),'Bonding Program'!$AA$35,0)-IF(AX$3&lt;='Bonding Program'!$C$8,IF(AND('Bonding Program'!$K$35&lt;&gt;"",AX$3='Bonding Program'!$K$35),'Bonding Program'!$J$35,0)-IF(AND('Bonding Program'!$M$35&lt;&gt;"",AX$3='Bonding Program'!$M$35),'Bonding Program'!$L$35,0)-IF(AND('Bonding Program'!$P$35&lt;&gt;"",AX$3='Bonding Program'!$P$35),'Bonding Program'!$O$35,0)-IF(AND('Bonding Program'!$R$35&lt;&gt;"",AX$3='Bonding Program'!$R$35),'Bonding Program'!$Q$35,0),0)</f>
        <v>0</v>
      </c>
      <c r="AY176" s="19" t="n">
        <f aca="false">IF(AND('Bonding Program'!$S$35=1,AY$3='Bonding Program'!$H$35),'Bonding Program'!$AA$35,0)-IF(AY$3&lt;='Bonding Program'!$C$8,IF(AND('Bonding Program'!$K$35&lt;&gt;"",AY$3='Bonding Program'!$K$35),'Bonding Program'!$J$35,0)-IF(AND('Bonding Program'!$M$35&lt;&gt;"",AY$3='Bonding Program'!$M$35),'Bonding Program'!$L$35,0)-IF(AND('Bonding Program'!$P$35&lt;&gt;"",AY$3='Bonding Program'!$P$35),'Bonding Program'!$O$35,0)-IF(AND('Bonding Program'!$R$35&lt;&gt;"",AY$3='Bonding Program'!$R$35),'Bonding Program'!$Q$35,0),0)</f>
        <v>0</v>
      </c>
      <c r="AZ176" s="19" t="n">
        <f aca="false">IF(AND('Bonding Program'!$S$35=1,AZ$3='Bonding Program'!$H$35),'Bonding Program'!$AA$35,0)-IF(AZ$3&lt;='Bonding Program'!$C$8,IF(AND('Bonding Program'!$K$35&lt;&gt;"",AZ$3='Bonding Program'!$K$35),'Bonding Program'!$J$35,0)-IF(AND('Bonding Program'!$M$35&lt;&gt;"",AZ$3='Bonding Program'!$M$35),'Bonding Program'!$L$35,0)-IF(AND('Bonding Program'!$P$35&lt;&gt;"",AZ$3='Bonding Program'!$P$35),'Bonding Program'!$O$35,0)-IF(AND('Bonding Program'!$R$35&lt;&gt;"",AZ$3='Bonding Program'!$R$35),'Bonding Program'!$Q$35,0),0)</f>
        <v>0</v>
      </c>
      <c r="BA176" s="19" t="n">
        <f aca="false">IF(AND('Bonding Program'!$S$35=1,BA$3='Bonding Program'!$H$35),'Bonding Program'!$AA$35,0)-IF(BA$3&lt;='Bonding Program'!$C$8,IF(AND('Bonding Program'!$K$35&lt;&gt;"",BA$3='Bonding Program'!$K$35),'Bonding Program'!$J$35,0)-IF(AND('Bonding Program'!$M$35&lt;&gt;"",BA$3='Bonding Program'!$M$35),'Bonding Program'!$L$35,0)-IF(AND('Bonding Program'!$P$35&lt;&gt;"",BA$3='Bonding Program'!$P$35),'Bonding Program'!$O$35,0)-IF(AND('Bonding Program'!$R$35&lt;&gt;"",BA$3='Bonding Program'!$R$35),'Bonding Program'!$Q$35,0),0)</f>
        <v>0</v>
      </c>
      <c r="BB176" s="19" t="n">
        <f aca="false">IF(AND('Bonding Program'!$S$35=1,BB$3='Bonding Program'!$H$35),'Bonding Program'!$AA$35,0)-IF(BB$3&lt;='Bonding Program'!$C$8,IF(AND('Bonding Program'!$K$35&lt;&gt;"",BB$3='Bonding Program'!$K$35),'Bonding Program'!$J$35,0)-IF(AND('Bonding Program'!$M$35&lt;&gt;"",BB$3='Bonding Program'!$M$35),'Bonding Program'!$L$35,0)-IF(AND('Bonding Program'!$P$35&lt;&gt;"",BB$3='Bonding Program'!$P$35),'Bonding Program'!$O$35,0)-IF(AND('Bonding Program'!$R$35&lt;&gt;"",BB$3='Bonding Program'!$R$35),'Bonding Program'!$Q$35,0),0)</f>
        <v>0</v>
      </c>
      <c r="BC176" s="19" t="n">
        <f aca="false">IF(AND('Bonding Program'!$S$35=1,BC$3='Bonding Program'!$H$35),'Bonding Program'!$AA$35,0)-IF(BC$3&lt;='Bonding Program'!$C$8,IF(AND('Bonding Program'!$K$35&lt;&gt;"",BC$3='Bonding Program'!$K$35),'Bonding Program'!$J$35,0)-IF(AND('Bonding Program'!$M$35&lt;&gt;"",BC$3='Bonding Program'!$M$35),'Bonding Program'!$L$35,0)-IF(AND('Bonding Program'!$P$35&lt;&gt;"",BC$3='Bonding Program'!$P$35),'Bonding Program'!$O$35,0)-IF(AND('Bonding Program'!$R$35&lt;&gt;"",BC$3='Bonding Program'!$R$35),'Bonding Program'!$Q$35,0),0)</f>
        <v>0</v>
      </c>
      <c r="BD176" s="19" t="n">
        <f aca="false">IF(AND('Bonding Program'!$S$35=1,BD$3='Bonding Program'!$H$35),'Bonding Program'!$AA$35,0)-IF(BD$3&lt;='Bonding Program'!$C$8,IF(AND('Bonding Program'!$K$35&lt;&gt;"",BD$3='Bonding Program'!$K$35),'Bonding Program'!$J$35,0)-IF(AND('Bonding Program'!$M$35&lt;&gt;"",BD$3='Bonding Program'!$M$35),'Bonding Program'!$L$35,0)-IF(AND('Bonding Program'!$P$35&lt;&gt;"",BD$3='Bonding Program'!$P$35),'Bonding Program'!$O$35,0)-IF(AND('Bonding Program'!$R$35&lt;&gt;"",BD$3='Bonding Program'!$R$35),'Bonding Program'!$Q$35,0),0)</f>
        <v>0</v>
      </c>
      <c r="BE176" s="19" t="n">
        <f aca="false">IF(AND('Bonding Program'!$S$35=1,BE$3='Bonding Program'!$H$35),'Bonding Program'!$AA$35,0)-IF(BE$3&lt;='Bonding Program'!$C$8,IF(AND('Bonding Program'!$K$35&lt;&gt;"",BE$3='Bonding Program'!$K$35),'Bonding Program'!$J$35,0)-IF(AND('Bonding Program'!$M$35&lt;&gt;"",BE$3='Bonding Program'!$M$35),'Bonding Program'!$L$35,0)-IF(AND('Bonding Program'!$P$35&lt;&gt;"",BE$3='Bonding Program'!$P$35),'Bonding Program'!$O$35,0)-IF(AND('Bonding Program'!$R$35&lt;&gt;"",BE$3='Bonding Program'!$R$35),'Bonding Program'!$Q$35,0),0)</f>
        <v>0</v>
      </c>
      <c r="BF176" s="19" t="n">
        <f aca="false">IF(AND('Bonding Program'!$S$35=1,BF$3='Bonding Program'!$H$35),'Bonding Program'!$AA$35,0)-IF(BF$3&lt;='Bonding Program'!$C$8,IF(AND('Bonding Program'!$K$35&lt;&gt;"",BF$3='Bonding Program'!$K$35),'Bonding Program'!$J$35,0)-IF(AND('Bonding Program'!$M$35&lt;&gt;"",BF$3='Bonding Program'!$M$35),'Bonding Program'!$L$35,0)-IF(AND('Bonding Program'!$P$35&lt;&gt;"",BF$3='Bonding Program'!$P$35),'Bonding Program'!$O$35,0)-IF(AND('Bonding Program'!$R$35&lt;&gt;"",BF$3='Bonding Program'!$R$35),'Bonding Program'!$Q$35,0),0)</f>
        <v>0</v>
      </c>
      <c r="BG176" s="19" t="n">
        <f aca="false">IF(AND('Bonding Program'!$S$35=1,BG$3='Bonding Program'!$H$35),'Bonding Program'!$AA$35,0)-IF(BG$3&lt;='Bonding Program'!$C$8,IF(AND('Bonding Program'!$K$35&lt;&gt;"",BG$3='Bonding Program'!$K$35),'Bonding Program'!$J$35,0)-IF(AND('Bonding Program'!$M$35&lt;&gt;"",BG$3='Bonding Program'!$M$35),'Bonding Program'!$L$35,0)-IF(AND('Bonding Program'!$P$35&lt;&gt;"",BG$3='Bonding Program'!$P$35),'Bonding Program'!$O$35,0)-IF(AND('Bonding Program'!$R$35&lt;&gt;"",BG$3='Bonding Program'!$R$35),'Bonding Program'!$Q$35,0),0)</f>
        <v>0</v>
      </c>
      <c r="BH176" s="19" t="n">
        <f aca="false">IF(AND('Bonding Program'!$S$35=1,BH$3='Bonding Program'!$H$35),'Bonding Program'!$AA$35,0)-IF(BH$3&lt;='Bonding Program'!$C$8,IF(AND('Bonding Program'!$K$35&lt;&gt;"",BH$3='Bonding Program'!$K$35),'Bonding Program'!$J$35,0)-IF(AND('Bonding Program'!$M$35&lt;&gt;"",BH$3='Bonding Program'!$M$35),'Bonding Program'!$L$35,0)-IF(AND('Bonding Program'!$P$35&lt;&gt;"",BH$3='Bonding Program'!$P$35),'Bonding Program'!$O$35,0)-IF(AND('Bonding Program'!$R$35&lt;&gt;"",BH$3='Bonding Program'!$R$35),'Bonding Program'!$Q$35,0),0)</f>
        <v>0</v>
      </c>
      <c r="BI176" s="19" t="n">
        <f aca="false">IF(AND('Bonding Program'!$S$35=1,BI$3='Bonding Program'!$H$35),'Bonding Program'!$AA$35,0)-IF(BI$3&lt;='Bonding Program'!$C$8,IF(AND('Bonding Program'!$K$35&lt;&gt;"",BI$3='Bonding Program'!$K$35),'Bonding Program'!$J$35,0)-IF(AND('Bonding Program'!$M$35&lt;&gt;"",BI$3='Bonding Program'!$M$35),'Bonding Program'!$L$35,0)-IF(AND('Bonding Program'!$P$35&lt;&gt;"",BI$3='Bonding Program'!$P$35),'Bonding Program'!$O$35,0)-IF(AND('Bonding Program'!$R$35&lt;&gt;"",BI$3='Bonding Program'!$R$35),'Bonding Program'!$Q$35,0),0)</f>
        <v>0</v>
      </c>
      <c r="BJ176" s="19" t="n">
        <f aca="false">IF(AND('Bonding Program'!$S$35=1,BJ$3='Bonding Program'!$H$35),'Bonding Program'!$AA$35,0)-IF(BJ$3&lt;='Bonding Program'!$C$8,IF(AND('Bonding Program'!$K$35&lt;&gt;"",BJ$3='Bonding Program'!$K$35),'Bonding Program'!$J$35,0)-IF(AND('Bonding Program'!$M$35&lt;&gt;"",BJ$3='Bonding Program'!$M$35),'Bonding Program'!$L$35,0)-IF(AND('Bonding Program'!$P$35&lt;&gt;"",BJ$3='Bonding Program'!$P$35),'Bonding Program'!$O$35,0)-IF(AND('Bonding Program'!$R$35&lt;&gt;"",BJ$3='Bonding Program'!$R$35),'Bonding Program'!$Q$35,0),0)</f>
        <v>0</v>
      </c>
      <c r="BK176" s="19" t="n">
        <f aca="false">IF(AND('Bonding Program'!$S$35=1,BK$3='Bonding Program'!$H$35),'Bonding Program'!$AA$35,0)-IF(BK$3&lt;='Bonding Program'!$C$8,IF(AND('Bonding Program'!$K$35&lt;&gt;"",BK$3='Bonding Program'!$K$35),'Bonding Program'!$J$35,0)-IF(AND('Bonding Program'!$M$35&lt;&gt;"",BK$3='Bonding Program'!$M$35),'Bonding Program'!$L$35,0)-IF(AND('Bonding Program'!$P$35&lt;&gt;"",BK$3='Bonding Program'!$P$35),'Bonding Program'!$O$35,0)-IF(AND('Bonding Program'!$R$35&lt;&gt;"",BK$3='Bonding Program'!$R$35),'Bonding Program'!$Q$35,0),0)</f>
        <v>0</v>
      </c>
      <c r="BL176" s="19" t="n">
        <f aca="false">IF(AND('Bonding Program'!$S$35=1,BL$3='Bonding Program'!$H$35),'Bonding Program'!$AA$35,0)-IF(BL$3&lt;='Bonding Program'!$C$8,IF(AND('Bonding Program'!$K$35&lt;&gt;"",BL$3='Bonding Program'!$K$35),'Bonding Program'!$J$35,0)-IF(AND('Bonding Program'!$M$35&lt;&gt;"",BL$3='Bonding Program'!$M$35),'Bonding Program'!$L$35,0)-IF(AND('Bonding Program'!$P$35&lt;&gt;"",BL$3='Bonding Program'!$P$35),'Bonding Program'!$O$35,0)-IF(AND('Bonding Program'!$R$35&lt;&gt;"",BL$3='Bonding Program'!$R$35),'Bonding Program'!$Q$35,0),0)</f>
        <v>0</v>
      </c>
      <c r="BM176" s="19" t="n">
        <f aca="false">IF(AND('Bonding Program'!$S$35=1,BM$3='Bonding Program'!$H$35),'Bonding Program'!$AA$35,0)-IF(BM$3&lt;='Bonding Program'!$C$8,IF(AND('Bonding Program'!$K$35&lt;&gt;"",BM$3='Bonding Program'!$K$35),'Bonding Program'!$J$35,0)-IF(AND('Bonding Program'!$M$35&lt;&gt;"",BM$3='Bonding Program'!$M$35),'Bonding Program'!$L$35,0)-IF(AND('Bonding Program'!$P$35&lt;&gt;"",BM$3='Bonding Program'!$P$35),'Bonding Program'!$O$35,0)-IF(AND('Bonding Program'!$R$35&lt;&gt;"",BM$3='Bonding Program'!$R$35),'Bonding Program'!$Q$35,0),0)</f>
        <v>0</v>
      </c>
      <c r="BN176" s="19" t="n">
        <f aca="false">IF(AND('Bonding Program'!$S$35=1,BN$3='Bonding Program'!$H$35),'Bonding Program'!$AA$35,0)-IF(BN$3&lt;='Bonding Program'!$C$8,IF(AND('Bonding Program'!$K$35&lt;&gt;"",BN$3='Bonding Program'!$K$35),'Bonding Program'!$J$35,0)-IF(AND('Bonding Program'!$M$35&lt;&gt;"",BN$3='Bonding Program'!$M$35),'Bonding Program'!$L$35,0)-IF(AND('Bonding Program'!$P$35&lt;&gt;"",BN$3='Bonding Program'!$P$35),'Bonding Program'!$O$35,0)-IF(AND('Bonding Program'!$R$35&lt;&gt;"",BN$3='Bonding Program'!$R$35),'Bonding Program'!$Q$35,0),0)</f>
        <v>0</v>
      </c>
      <c r="BO176" s="19" t="n">
        <f aca="false">IF(AND('Bonding Program'!$S$35=1,BO$3='Bonding Program'!$H$35),'Bonding Program'!$AA$35,0)-IF(BO$3&lt;='Bonding Program'!$C$8,IF(AND('Bonding Program'!$K$35&lt;&gt;"",BO$3='Bonding Program'!$K$35),'Bonding Program'!$J$35,0)-IF(AND('Bonding Program'!$M$35&lt;&gt;"",BO$3='Bonding Program'!$M$35),'Bonding Program'!$L$35,0)-IF(AND('Bonding Program'!$P$35&lt;&gt;"",BO$3='Bonding Program'!$P$35),'Bonding Program'!$O$35,0)-IF(AND('Bonding Program'!$R$35&lt;&gt;"",BO$3='Bonding Program'!$R$35),'Bonding Program'!$Q$35,0),0)</f>
        <v>0</v>
      </c>
      <c r="BP176" s="19" t="n">
        <f aca="false">IF(AND('Bonding Program'!$S$35=1,BP$3='Bonding Program'!$H$35),'Bonding Program'!$AA$35,0)-IF(BP$3&lt;='Bonding Program'!$C$8,IF(AND('Bonding Program'!$K$35&lt;&gt;"",BP$3='Bonding Program'!$K$35),'Bonding Program'!$J$35,0)-IF(AND('Bonding Program'!$M$35&lt;&gt;"",BP$3='Bonding Program'!$M$35),'Bonding Program'!$L$35,0)-IF(AND('Bonding Program'!$P$35&lt;&gt;"",BP$3='Bonding Program'!$P$35),'Bonding Program'!$O$35,0)-IF(AND('Bonding Program'!$R$35&lt;&gt;"",BP$3='Bonding Program'!$R$35),'Bonding Program'!$Q$35,0),0)</f>
        <v>0</v>
      </c>
      <c r="BQ176" s="19" t="n">
        <f aca="false">IF(AND('Bonding Program'!$S$35=1,BQ$3='Bonding Program'!$H$35),'Bonding Program'!$AA$35,0)-IF(BQ$3&lt;='Bonding Program'!$C$8,IF(AND('Bonding Program'!$K$35&lt;&gt;"",BQ$3='Bonding Program'!$K$35),'Bonding Program'!$J$35,0)-IF(AND('Bonding Program'!$M$35&lt;&gt;"",BQ$3='Bonding Program'!$M$35),'Bonding Program'!$L$35,0)-IF(AND('Bonding Program'!$P$35&lt;&gt;"",BQ$3='Bonding Program'!$P$35),'Bonding Program'!$O$35,0)-IF(AND('Bonding Program'!$R$35&lt;&gt;"",BQ$3='Bonding Program'!$R$35),'Bonding Program'!$Q$35,0),0)</f>
        <v>0</v>
      </c>
      <c r="BR176" s="19" t="n">
        <f aca="false">IF(AND('Bonding Program'!$S$35=1,BR$3='Bonding Program'!$H$35),'Bonding Program'!$AA$35,0)-IF(BR$3&lt;='Bonding Program'!$C$8,IF(AND('Bonding Program'!$K$35&lt;&gt;"",BR$3='Bonding Program'!$K$35),'Bonding Program'!$J$35,0)-IF(AND('Bonding Program'!$M$35&lt;&gt;"",BR$3='Bonding Program'!$M$35),'Bonding Program'!$L$35,0)-IF(AND('Bonding Program'!$P$35&lt;&gt;"",BR$3='Bonding Program'!$P$35),'Bonding Program'!$O$35,0)-IF(AND('Bonding Program'!$R$35&lt;&gt;"",BR$3='Bonding Program'!$R$35),'Bonding Program'!$Q$35,0),0)</f>
        <v>0</v>
      </c>
      <c r="BS176" s="19" t="n">
        <f aca="false">IF(AND('Bonding Program'!$S$35=1,BS$3='Bonding Program'!$H$35),'Bonding Program'!$AA$35,0)-IF(BS$3&lt;='Bonding Program'!$C$8,IF(AND('Bonding Program'!$K$35&lt;&gt;"",BS$3='Bonding Program'!$K$35),'Bonding Program'!$J$35,0)-IF(AND('Bonding Program'!$M$35&lt;&gt;"",BS$3='Bonding Program'!$M$35),'Bonding Program'!$L$35,0)-IF(AND('Bonding Program'!$P$35&lt;&gt;"",BS$3='Bonding Program'!$P$35),'Bonding Program'!$O$35,0)-IF(AND('Bonding Program'!$R$35&lt;&gt;"",BS$3='Bonding Program'!$R$35),'Bonding Program'!$Q$35,0),0)</f>
        <v>0</v>
      </c>
      <c r="BT176" s="19" t="n">
        <f aca="false">IF(AND('Bonding Program'!$S$35=1,BT$3='Bonding Program'!$H$35),'Bonding Program'!$AA$35,0)-IF(BT$3&lt;='Bonding Program'!$C$8,IF(AND('Bonding Program'!$K$35&lt;&gt;"",BT$3='Bonding Program'!$K$35),'Bonding Program'!$J$35,0)-IF(AND('Bonding Program'!$M$35&lt;&gt;"",BT$3='Bonding Program'!$M$35),'Bonding Program'!$L$35,0)-IF(AND('Bonding Program'!$P$35&lt;&gt;"",BT$3='Bonding Program'!$P$35),'Bonding Program'!$O$35,0)-IF(AND('Bonding Program'!$R$35&lt;&gt;"",BT$3='Bonding Program'!$R$35),'Bonding Program'!$Q$35,0),0)</f>
        <v>0</v>
      </c>
      <c r="BU176" s="19" t="n">
        <f aca="false">IF(AND('Bonding Program'!$S$35=1,BU$3='Bonding Program'!$H$35),'Bonding Program'!$AA$35,0)-IF(BU$3&lt;='Bonding Program'!$C$8,IF(AND('Bonding Program'!$K$35&lt;&gt;"",BU$3='Bonding Program'!$K$35),'Bonding Program'!$J$35,0)-IF(AND('Bonding Program'!$M$35&lt;&gt;"",BU$3='Bonding Program'!$M$35),'Bonding Program'!$L$35,0)-IF(AND('Bonding Program'!$P$35&lt;&gt;"",BU$3='Bonding Program'!$P$35),'Bonding Program'!$O$35,0)-IF(AND('Bonding Program'!$R$35&lt;&gt;"",BU$3='Bonding Program'!$R$35),'Bonding Program'!$Q$35,0),0)</f>
        <v>0</v>
      </c>
      <c r="BV176" s="19" t="n">
        <f aca="false">IF(AND('Bonding Program'!$S$35=1,BV$3='Bonding Program'!$H$35),'Bonding Program'!$AA$35,0)-IF(BV$3&lt;='Bonding Program'!$C$8,IF(AND('Bonding Program'!$K$35&lt;&gt;"",BV$3='Bonding Program'!$K$35),'Bonding Program'!$J$35,0)-IF(AND('Bonding Program'!$M$35&lt;&gt;"",BV$3='Bonding Program'!$M$35),'Bonding Program'!$L$35,0)-IF(AND('Bonding Program'!$P$35&lt;&gt;"",BV$3='Bonding Program'!$P$35),'Bonding Program'!$O$35,0)-IF(AND('Bonding Program'!$R$35&lt;&gt;"",BV$3='Bonding Program'!$R$35),'Bonding Program'!$Q$35,0),0)</f>
        <v>0</v>
      </c>
      <c r="BW176" s="19" t="n">
        <f aca="false">IF(AND('Bonding Program'!$S$35=1,BW$3='Bonding Program'!$H$35),'Bonding Program'!$AA$35,0)-IF(BW$3&lt;='Bonding Program'!$C$8,IF(AND('Bonding Program'!$K$35&lt;&gt;"",BW$3='Bonding Program'!$K$35),'Bonding Program'!$J$35,0)-IF(AND('Bonding Program'!$M$35&lt;&gt;"",BW$3='Bonding Program'!$M$35),'Bonding Program'!$L$35,0)-IF(AND('Bonding Program'!$P$35&lt;&gt;"",BW$3='Bonding Program'!$P$35),'Bonding Program'!$O$35,0)-IF(AND('Bonding Program'!$R$35&lt;&gt;"",BW$3='Bonding Program'!$R$35),'Bonding Program'!$Q$35,0),0)</f>
        <v>0</v>
      </c>
      <c r="BX176" s="19" t="n">
        <f aca="false">IF(AND('Bonding Program'!$S$35=1,BX$3='Bonding Program'!$H$35),'Bonding Program'!$AA$35,0)-IF(BX$3&lt;='Bonding Program'!$C$8,IF(AND('Bonding Program'!$K$35&lt;&gt;"",BX$3='Bonding Program'!$K$35),'Bonding Program'!$J$35,0)-IF(AND('Bonding Program'!$M$35&lt;&gt;"",BX$3='Bonding Program'!$M$35),'Bonding Program'!$L$35,0)-IF(AND('Bonding Program'!$P$35&lt;&gt;"",BX$3='Bonding Program'!$P$35),'Bonding Program'!$O$35,0)-IF(AND('Bonding Program'!$R$35&lt;&gt;"",BX$3='Bonding Program'!$R$35),'Bonding Program'!$Q$35,0),0)</f>
        <v>0</v>
      </c>
      <c r="BY176" s="19" t="n">
        <f aca="false">IF(AND('Bonding Program'!$S$35=1,BY$3='Bonding Program'!$H$35),'Bonding Program'!$AA$35,0)-IF(BY$3&lt;='Bonding Program'!$C$8,IF(AND('Bonding Program'!$K$35&lt;&gt;"",BY$3='Bonding Program'!$K$35),'Bonding Program'!$J$35,0)-IF(AND('Bonding Program'!$M$35&lt;&gt;"",BY$3='Bonding Program'!$M$35),'Bonding Program'!$L$35,0)-IF(AND('Bonding Program'!$P$35&lt;&gt;"",BY$3='Bonding Program'!$P$35),'Bonding Program'!$O$35,0)-IF(AND('Bonding Program'!$R$35&lt;&gt;"",BY$3='Bonding Program'!$R$35),'Bonding Program'!$Q$35,0),0)</f>
        <v>0</v>
      </c>
      <c r="BZ176" s="19" t="n">
        <f aca="false">IF(AND('Bonding Program'!$S$35=1,BZ$3='Bonding Program'!$H$35),'Bonding Program'!$AA$35,0)-IF(BZ$3&lt;='Bonding Program'!$C$8,IF(AND('Bonding Program'!$K$35&lt;&gt;"",BZ$3='Bonding Program'!$K$35),'Bonding Program'!$J$35,0)-IF(AND('Bonding Program'!$M$35&lt;&gt;"",BZ$3='Bonding Program'!$M$35),'Bonding Program'!$L$35,0)-IF(AND('Bonding Program'!$P$35&lt;&gt;"",BZ$3='Bonding Program'!$P$35),'Bonding Program'!$O$35,0)-IF(AND('Bonding Program'!$R$35&lt;&gt;"",BZ$3='Bonding Program'!$R$35),'Bonding Program'!$Q$35,0),0)</f>
        <v>0</v>
      </c>
      <c r="CA176" s="19" t="n">
        <f aca="false">IF(AND('Bonding Program'!$S$35=1,CA$3='Bonding Program'!$H$35),'Bonding Program'!$AA$35,0)-IF(CA$3&lt;='Bonding Program'!$C$8,IF(AND('Bonding Program'!$K$35&lt;&gt;"",CA$3='Bonding Program'!$K$35),'Bonding Program'!$J$35,0)-IF(AND('Bonding Program'!$M$35&lt;&gt;"",CA$3='Bonding Program'!$M$35),'Bonding Program'!$L$35,0)-IF(AND('Bonding Program'!$P$35&lt;&gt;"",CA$3='Bonding Program'!$P$35),'Bonding Program'!$O$35,0)-IF(AND('Bonding Program'!$R$35&lt;&gt;"",CA$3='Bonding Program'!$R$35),'Bonding Program'!$Q$35,0),0)</f>
        <v>0</v>
      </c>
      <c r="CB176" s="19" t="n">
        <f aca="false">IF(AND('Bonding Program'!$S$35=1,CB$3='Bonding Program'!$H$35),'Bonding Program'!$AA$35,0)-IF(CB$3&lt;='Bonding Program'!$C$8,IF(AND('Bonding Program'!$K$35&lt;&gt;"",CB$3='Bonding Program'!$K$35),'Bonding Program'!$J$35,0)-IF(AND('Bonding Program'!$M$35&lt;&gt;"",CB$3='Bonding Program'!$M$35),'Bonding Program'!$L$35,0)-IF(AND('Bonding Program'!$P$35&lt;&gt;"",CB$3='Bonding Program'!$P$35),'Bonding Program'!$O$35,0)-IF(AND('Bonding Program'!$R$35&lt;&gt;"",CB$3='Bonding Program'!$R$35),'Bonding Program'!$Q$35,0),0)</f>
        <v>0</v>
      </c>
      <c r="CC176" s="19" t="n">
        <f aca="false">IF(AND('Bonding Program'!$S$35=1,CC$3='Bonding Program'!$H$35),'Bonding Program'!$AA$35,0)-IF(CC$3&lt;='Bonding Program'!$C$8,IF(AND('Bonding Program'!$K$35&lt;&gt;"",CC$3='Bonding Program'!$K$35),'Bonding Program'!$J$35,0)-IF(AND('Bonding Program'!$M$35&lt;&gt;"",CC$3='Bonding Program'!$M$35),'Bonding Program'!$L$35,0)-IF(AND('Bonding Program'!$P$35&lt;&gt;"",CC$3='Bonding Program'!$P$35),'Bonding Program'!$O$35,0)-IF(AND('Bonding Program'!$R$35&lt;&gt;"",CC$3='Bonding Program'!$R$35),'Bonding Program'!$Q$35,0),0)</f>
        <v>0</v>
      </c>
      <c r="CD176" s="19" t="n">
        <f aca="false">IF(AND('Bonding Program'!$S$35=1,CD$3='Bonding Program'!$H$35),'Bonding Program'!$AA$35,0)-IF(CD$3&lt;='Bonding Program'!$C$8,IF(AND('Bonding Program'!$K$35&lt;&gt;"",CD$3='Bonding Program'!$K$35),'Bonding Program'!$J$35,0)-IF(AND('Bonding Program'!$M$35&lt;&gt;"",CD$3='Bonding Program'!$M$35),'Bonding Program'!$L$35,0)-IF(AND('Bonding Program'!$P$35&lt;&gt;"",CD$3='Bonding Program'!$P$35),'Bonding Program'!$O$35,0)-IF(AND('Bonding Program'!$R$35&lt;&gt;"",CD$3='Bonding Program'!$R$35),'Bonding Program'!$Q$35,0),0)</f>
        <v>0</v>
      </c>
      <c r="CE176" s="19" t="n">
        <f aca="false">IF(AND('Bonding Program'!$S$35=1,CE$3='Bonding Program'!$H$35),'Bonding Program'!$AA$35,0)-IF(CE$3&lt;='Bonding Program'!$C$8,IF(AND('Bonding Program'!$K$35&lt;&gt;"",CE$3='Bonding Program'!$K$35),'Bonding Program'!$J$35,0)-IF(AND('Bonding Program'!$M$35&lt;&gt;"",CE$3='Bonding Program'!$M$35),'Bonding Program'!$L$35,0)-IF(AND('Bonding Program'!$P$35&lt;&gt;"",CE$3='Bonding Program'!$P$35),'Bonding Program'!$O$35,0)-IF(AND('Bonding Program'!$R$35&lt;&gt;"",CE$3='Bonding Program'!$R$35),'Bonding Program'!$Q$35,0),0)</f>
        <v>0</v>
      </c>
      <c r="CF176" s="19" t="n">
        <f aca="false">IF(AND('Bonding Program'!$S$35=1,CF$3='Bonding Program'!$H$35),'Bonding Program'!$AA$35,0)-IF(CF$3&lt;='Bonding Program'!$C$8,IF(AND('Bonding Program'!$K$35&lt;&gt;"",CF$3='Bonding Program'!$K$35),'Bonding Program'!$J$35,0)-IF(AND('Bonding Program'!$M$35&lt;&gt;"",CF$3='Bonding Program'!$M$35),'Bonding Program'!$L$35,0)-IF(AND('Bonding Program'!$P$35&lt;&gt;"",CF$3='Bonding Program'!$P$35),'Bonding Program'!$O$35,0)-IF(AND('Bonding Program'!$R$35&lt;&gt;"",CF$3='Bonding Program'!$R$35),'Bonding Program'!$Q$35,0),0)</f>
        <v>0</v>
      </c>
      <c r="CG176" s="19" t="n">
        <f aca="false">IF(AND('Bonding Program'!$S$35=1,CG$3='Bonding Program'!$H$35),'Bonding Program'!$AA$35,0)-IF(CG$3&lt;='Bonding Program'!$C$8,IF(AND('Bonding Program'!$K$35&lt;&gt;"",CG$3='Bonding Program'!$K$35),'Bonding Program'!$J$35,0)-IF(AND('Bonding Program'!$M$35&lt;&gt;"",CG$3='Bonding Program'!$M$35),'Bonding Program'!$L$35,0)-IF(AND('Bonding Program'!$P$35&lt;&gt;"",CG$3='Bonding Program'!$P$35),'Bonding Program'!$O$35,0)-IF(AND('Bonding Program'!$R$35&lt;&gt;"",CG$3='Bonding Program'!$R$35),'Bonding Program'!$Q$35,0),0)</f>
        <v>0</v>
      </c>
      <c r="CH176" s="19" t="n">
        <f aca="false">IF(AND('Bonding Program'!$S$35=1,CH$3='Bonding Program'!$H$35),'Bonding Program'!$AA$35,0)-IF(CH$3&lt;='Bonding Program'!$C$8,IF(AND('Bonding Program'!$K$35&lt;&gt;"",CH$3='Bonding Program'!$K$35),'Bonding Program'!$J$35,0)-IF(AND('Bonding Program'!$M$35&lt;&gt;"",CH$3='Bonding Program'!$M$35),'Bonding Program'!$L$35,0)-IF(AND('Bonding Program'!$P$35&lt;&gt;"",CH$3='Bonding Program'!$P$35),'Bonding Program'!$O$35,0)-IF(AND('Bonding Program'!$R$35&lt;&gt;"",CH$3='Bonding Program'!$R$35),'Bonding Program'!$Q$35,0),0)</f>
        <v>0</v>
      </c>
      <c r="CI176" s="19" t="n">
        <f aca="false">IF(AND('Bonding Program'!$S$35=1,CI$3='Bonding Program'!$H$35),'Bonding Program'!$AA$35,0)-IF(CI$3&lt;='Bonding Program'!$C$8,IF(AND('Bonding Program'!$K$35&lt;&gt;"",CI$3='Bonding Program'!$K$35),'Bonding Program'!$J$35,0)-IF(AND('Bonding Program'!$M$35&lt;&gt;"",CI$3='Bonding Program'!$M$35),'Bonding Program'!$L$35,0)-IF(AND('Bonding Program'!$P$35&lt;&gt;"",CI$3='Bonding Program'!$P$35),'Bonding Program'!$O$35,0)-IF(AND('Bonding Program'!$R$35&lt;&gt;"",CI$3='Bonding Program'!$R$35),'Bonding Program'!$Q$35,0),0)</f>
        <v>0</v>
      </c>
      <c r="CJ176" s="19" t="n">
        <f aca="false">IF(AND('Bonding Program'!$S$35=1,CJ$3='Bonding Program'!$H$35),'Bonding Program'!$AA$35,0)-IF(CJ$3&lt;='Bonding Program'!$C$8,IF(AND('Bonding Program'!$K$35&lt;&gt;"",CJ$3='Bonding Program'!$K$35),'Bonding Program'!$J$35,0)-IF(AND('Bonding Program'!$M$35&lt;&gt;"",CJ$3='Bonding Program'!$M$35),'Bonding Program'!$L$35,0)-IF(AND('Bonding Program'!$P$35&lt;&gt;"",CJ$3='Bonding Program'!$P$35),'Bonding Program'!$O$35,0)-IF(AND('Bonding Program'!$R$35&lt;&gt;"",CJ$3='Bonding Program'!$R$35),'Bonding Program'!$Q$35,0),0)</f>
        <v>0</v>
      </c>
      <c r="CK176" s="19" t="n">
        <f aca="false">IF(AND('Bonding Program'!$S$35=1,CK$3='Bonding Program'!$H$35),'Bonding Program'!$AA$35,0)-IF(CK$3&lt;='Bonding Program'!$C$8,IF(AND('Bonding Program'!$K$35&lt;&gt;"",CK$3='Bonding Program'!$K$35),'Bonding Program'!$J$35,0)-IF(AND('Bonding Program'!$M$35&lt;&gt;"",CK$3='Bonding Program'!$M$35),'Bonding Program'!$L$35,0)-IF(AND('Bonding Program'!$P$35&lt;&gt;"",CK$3='Bonding Program'!$P$35),'Bonding Program'!$O$35,0)-IF(AND('Bonding Program'!$R$35&lt;&gt;"",CK$3='Bonding Program'!$R$35),'Bonding Program'!$Q$35,0),0)</f>
        <v>0</v>
      </c>
      <c r="CL176" s="19" t="n">
        <f aca="false">IF(AND('Bonding Program'!$S$35=1,CL$3='Bonding Program'!$H$35),'Bonding Program'!$AA$35,0)-IF(CL$3&lt;='Bonding Program'!$C$8,IF(AND('Bonding Program'!$K$35&lt;&gt;"",CL$3='Bonding Program'!$K$35),'Bonding Program'!$J$35,0)-IF(AND('Bonding Program'!$M$35&lt;&gt;"",CL$3='Bonding Program'!$M$35),'Bonding Program'!$L$35,0)-IF(AND('Bonding Program'!$P$35&lt;&gt;"",CL$3='Bonding Program'!$P$35),'Bonding Program'!$O$35,0)-IF(AND('Bonding Program'!$R$35&lt;&gt;"",CL$3='Bonding Program'!$R$35),'Bonding Program'!$Q$35,0),0)</f>
        <v>0</v>
      </c>
      <c r="CM176" s="19" t="n">
        <f aca="false">IF(AND('Bonding Program'!$S$35=1,CM$3='Bonding Program'!$H$35),'Bonding Program'!$AA$35,0)-IF(CM$3&lt;='Bonding Program'!$C$8,IF(AND('Bonding Program'!$K$35&lt;&gt;"",CM$3='Bonding Program'!$K$35),'Bonding Program'!$J$35,0)-IF(AND('Bonding Program'!$M$35&lt;&gt;"",CM$3='Bonding Program'!$M$35),'Bonding Program'!$L$35,0)-IF(AND('Bonding Program'!$P$35&lt;&gt;"",CM$3='Bonding Program'!$P$35),'Bonding Program'!$O$35,0)-IF(AND('Bonding Program'!$R$35&lt;&gt;"",CM$3='Bonding Program'!$R$35),'Bonding Program'!$Q$35,0),0)</f>
        <v>0</v>
      </c>
      <c r="CN176" s="19" t="n">
        <f aca="false">IF(AND('Bonding Program'!$S$35=1,CN$3='Bonding Program'!$H$35),'Bonding Program'!$AA$35,0)-IF(CN$3&lt;='Bonding Program'!$C$8,IF(AND('Bonding Program'!$K$35&lt;&gt;"",CN$3='Bonding Program'!$K$35),'Bonding Program'!$J$35,0)-IF(AND('Bonding Program'!$M$35&lt;&gt;"",CN$3='Bonding Program'!$M$35),'Bonding Program'!$L$35,0)-IF(AND('Bonding Program'!$P$35&lt;&gt;"",CN$3='Bonding Program'!$P$35),'Bonding Program'!$O$35,0)-IF(AND('Bonding Program'!$R$35&lt;&gt;"",CN$3='Bonding Program'!$R$35),'Bonding Program'!$Q$35,0),0)</f>
        <v>0</v>
      </c>
      <c r="CO176" s="19" t="n">
        <f aca="false">IF(AND('Bonding Program'!$S$35=1,CO$3='Bonding Program'!$H$35),'Bonding Program'!$AA$35,0)-IF(CO$3&lt;='Bonding Program'!$C$8,IF(AND('Bonding Program'!$K$35&lt;&gt;"",CO$3='Bonding Program'!$K$35),'Bonding Program'!$J$35,0)-IF(AND('Bonding Program'!$M$35&lt;&gt;"",CO$3='Bonding Program'!$M$35),'Bonding Program'!$L$35,0)-IF(AND('Bonding Program'!$P$35&lt;&gt;"",CO$3='Bonding Program'!$P$35),'Bonding Program'!$O$35,0)-IF(AND('Bonding Program'!$R$35&lt;&gt;"",CO$3='Bonding Program'!$R$35),'Bonding Program'!$Q$35,0),0)</f>
        <v>0</v>
      </c>
      <c r="CP176" s="19" t="n">
        <f aca="false">IF(AND('Bonding Program'!$S$35=1,CP$3='Bonding Program'!$H$35),'Bonding Program'!$AA$35,0)-IF(CP$3&lt;='Bonding Program'!$C$8,IF(AND('Bonding Program'!$K$35&lt;&gt;"",CP$3='Bonding Program'!$K$35),'Bonding Program'!$J$35,0)-IF(AND('Bonding Program'!$M$35&lt;&gt;"",CP$3='Bonding Program'!$M$35),'Bonding Program'!$L$35,0)-IF(AND('Bonding Program'!$P$35&lt;&gt;"",CP$3='Bonding Program'!$P$35),'Bonding Program'!$O$35,0)-IF(AND('Bonding Program'!$R$35&lt;&gt;"",CP$3='Bonding Program'!$R$35),'Bonding Program'!$Q$35,0),0)</f>
        <v>0</v>
      </c>
      <c r="CQ176" s="19" t="n">
        <f aca="false">IF(AND('Bonding Program'!$S$35=1,CQ$3='Bonding Program'!$H$35),'Bonding Program'!$AA$35,0)-IF(CQ$3&lt;='Bonding Program'!$C$8,IF(AND('Bonding Program'!$K$35&lt;&gt;"",CQ$3='Bonding Program'!$K$35),'Bonding Program'!$J$35,0)-IF(AND('Bonding Program'!$M$35&lt;&gt;"",CQ$3='Bonding Program'!$M$35),'Bonding Program'!$L$35,0)-IF(AND('Bonding Program'!$P$35&lt;&gt;"",CQ$3='Bonding Program'!$P$35),'Bonding Program'!$O$35,0)-IF(AND('Bonding Program'!$R$35&lt;&gt;"",CQ$3='Bonding Program'!$R$35),'Bonding Program'!$Q$35,0),0)</f>
        <v>0</v>
      </c>
      <c r="CR176" s="19" t="n">
        <f aca="false">IF(AND('Bonding Program'!$S$35=1,CR$3='Bonding Program'!$H$35),'Bonding Program'!$AA$35,0)-IF(CR$3&lt;='Bonding Program'!$C$8,IF(AND('Bonding Program'!$K$35&lt;&gt;"",CR$3='Bonding Program'!$K$35),'Bonding Program'!$J$35,0)-IF(AND('Bonding Program'!$M$35&lt;&gt;"",CR$3='Bonding Program'!$M$35),'Bonding Program'!$L$35,0)-IF(AND('Bonding Program'!$P$35&lt;&gt;"",CR$3='Bonding Program'!$P$35),'Bonding Program'!$O$35,0)-IF(AND('Bonding Program'!$R$35&lt;&gt;"",CR$3='Bonding Program'!$R$35),'Bonding Program'!$Q$35,0),0)</f>
        <v>0</v>
      </c>
      <c r="CS176" s="19" t="n">
        <f aca="false">IF(AND('Bonding Program'!$S$35=1,CS$3='Bonding Program'!$H$35),'Bonding Program'!$AA$35,0)-IF(CS$3&lt;='Bonding Program'!$C$8,IF(AND('Bonding Program'!$K$35&lt;&gt;"",CS$3='Bonding Program'!$K$35),'Bonding Program'!$J$35,0)-IF(AND('Bonding Program'!$M$35&lt;&gt;"",CS$3='Bonding Program'!$M$35),'Bonding Program'!$L$35,0)-IF(AND('Bonding Program'!$P$35&lt;&gt;"",CS$3='Bonding Program'!$P$35),'Bonding Program'!$O$35,0)-IF(AND('Bonding Program'!$R$35&lt;&gt;"",CS$3='Bonding Program'!$R$35),'Bonding Program'!$Q$35,0),0)</f>
        <v>0</v>
      </c>
      <c r="CT176" s="19" t="n">
        <f aca="false">IF(AND('Bonding Program'!$S$35=1,CT$3='Bonding Program'!$H$35),'Bonding Program'!$AA$35,0)-IF(CT$3&lt;='Bonding Program'!$C$8,IF(AND('Bonding Program'!$K$35&lt;&gt;"",CT$3='Bonding Program'!$K$35),'Bonding Program'!$J$35,0)-IF(AND('Bonding Program'!$M$35&lt;&gt;"",CT$3='Bonding Program'!$M$35),'Bonding Program'!$L$35,0)-IF(AND('Bonding Program'!$P$35&lt;&gt;"",CT$3='Bonding Program'!$P$35),'Bonding Program'!$O$35,0)-IF(AND('Bonding Program'!$R$35&lt;&gt;"",CT$3='Bonding Program'!$R$35),'Bonding Program'!$Q$35,0),0)</f>
        <v>0</v>
      </c>
      <c r="CU176" s="19" t="n">
        <f aca="false">IF(AND('Bonding Program'!$S$35=1,CU$3='Bonding Program'!$H$35),'Bonding Program'!$AA$35,0)-IF(CU$3&lt;='Bonding Program'!$C$8,IF(AND('Bonding Program'!$K$35&lt;&gt;"",CU$3='Bonding Program'!$K$35),'Bonding Program'!$J$35,0)-IF(AND('Bonding Program'!$M$35&lt;&gt;"",CU$3='Bonding Program'!$M$35),'Bonding Program'!$L$35,0)-IF(AND('Bonding Program'!$P$35&lt;&gt;"",CU$3='Bonding Program'!$P$35),'Bonding Program'!$O$35,0)-IF(AND('Bonding Program'!$R$35&lt;&gt;"",CU$3='Bonding Program'!$R$35),'Bonding Program'!$Q$35,0),0)</f>
        <v>0</v>
      </c>
      <c r="CV176" s="19" t="n">
        <f aca="false">IF(AND('Bonding Program'!$S$35=1,CV$3='Bonding Program'!$H$35),'Bonding Program'!$AA$35,0)-IF(CV$3&lt;='Bonding Program'!$C$8,IF(AND('Bonding Program'!$K$35&lt;&gt;"",CV$3='Bonding Program'!$K$35),'Bonding Program'!$J$35,0)-IF(AND('Bonding Program'!$M$35&lt;&gt;"",CV$3='Bonding Program'!$M$35),'Bonding Program'!$L$35,0)-IF(AND('Bonding Program'!$P$35&lt;&gt;"",CV$3='Bonding Program'!$P$35),'Bonding Program'!$O$35,0)-IF(AND('Bonding Program'!$R$35&lt;&gt;"",CV$3='Bonding Program'!$R$35),'Bonding Program'!$Q$35,0),0)</f>
        <v>0</v>
      </c>
      <c r="CW176" s="19" t="n">
        <f aca="false">IF(AND('Bonding Program'!$S$35=1,CW$3='Bonding Program'!$H$35),'Bonding Program'!$AA$35,0)-IF(CW$3&lt;='Bonding Program'!$C$8,IF(AND('Bonding Program'!$K$35&lt;&gt;"",CW$3='Bonding Program'!$K$35),'Bonding Program'!$J$35,0)-IF(AND('Bonding Program'!$M$35&lt;&gt;"",CW$3='Bonding Program'!$M$35),'Bonding Program'!$L$35,0)-IF(AND('Bonding Program'!$P$35&lt;&gt;"",CW$3='Bonding Program'!$P$35),'Bonding Program'!$O$35,0)-IF(AND('Bonding Program'!$R$35&lt;&gt;"",CW$3='Bonding Program'!$R$35),'Bonding Program'!$Q$35,0),0)</f>
        <v>0</v>
      </c>
      <c r="CX176" s="19" t="n">
        <f aca="false">IF(AND('Bonding Program'!$S$35=1,CX$3='Bonding Program'!$H$35),'Bonding Program'!$AA$35,0)-IF(CX$3&lt;='Bonding Program'!$C$8,IF(AND('Bonding Program'!$K$35&lt;&gt;"",CX$3='Bonding Program'!$K$35),'Bonding Program'!$J$35,0)-IF(AND('Bonding Program'!$M$35&lt;&gt;"",CX$3='Bonding Program'!$M$35),'Bonding Program'!$L$35,0)-IF(AND('Bonding Program'!$P$35&lt;&gt;"",CX$3='Bonding Program'!$P$35),'Bonding Program'!$O$35,0)-IF(AND('Bonding Program'!$R$35&lt;&gt;"",CX$3='Bonding Program'!$R$35),'Bonding Program'!$Q$35,0),0)</f>
        <v>0</v>
      </c>
      <c r="CY176" s="19" t="n">
        <f aca="false">IF(AND('Bonding Program'!$S$35=1,CY$3='Bonding Program'!$H$35),'Bonding Program'!$AA$35,0)-IF(CY$3&lt;='Bonding Program'!$C$8,IF(AND('Bonding Program'!$K$35&lt;&gt;"",CY$3='Bonding Program'!$K$35),'Bonding Program'!$J$35,0)-IF(AND('Bonding Program'!$M$35&lt;&gt;"",CY$3='Bonding Program'!$M$35),'Bonding Program'!$L$35,0)-IF(AND('Bonding Program'!$P$35&lt;&gt;"",CY$3='Bonding Program'!$P$35),'Bonding Program'!$O$35,0)-IF(AND('Bonding Program'!$R$35&lt;&gt;"",CY$3='Bonding Program'!$R$35),'Bonding Program'!$Q$35,0),0)</f>
        <v>0</v>
      </c>
      <c r="CZ176" s="19" t="n">
        <f aca="false">IF(AND('Bonding Program'!$S$35=1,CZ$3='Bonding Program'!$H$35),'Bonding Program'!$AA$35,0)-IF(CZ$3&lt;='Bonding Program'!$C$8,IF(AND('Bonding Program'!$K$35&lt;&gt;"",CZ$3='Bonding Program'!$K$35),'Bonding Program'!$J$35,0)-IF(AND('Bonding Program'!$M$35&lt;&gt;"",CZ$3='Bonding Program'!$M$35),'Bonding Program'!$L$35,0)-IF(AND('Bonding Program'!$P$35&lt;&gt;"",CZ$3='Bonding Program'!$P$35),'Bonding Program'!$O$35,0)-IF(AND('Bonding Program'!$R$35&lt;&gt;"",CZ$3='Bonding Program'!$R$35),'Bonding Program'!$Q$35,0),0)</f>
        <v>0</v>
      </c>
      <c r="DA176" s="19" t="n">
        <f aca="false">IF(AND('Bonding Program'!$S$35=1,DA$3='Bonding Program'!$H$35),'Bonding Program'!$AA$35,0)-IF(DA$3&lt;='Bonding Program'!$C$8,IF(AND('Bonding Program'!$K$35&lt;&gt;"",DA$3='Bonding Program'!$K$35),'Bonding Program'!$J$35,0)-IF(AND('Bonding Program'!$M$35&lt;&gt;"",DA$3='Bonding Program'!$M$35),'Bonding Program'!$L$35,0)-IF(AND('Bonding Program'!$P$35&lt;&gt;"",DA$3='Bonding Program'!$P$35),'Bonding Program'!$O$35,0)-IF(AND('Bonding Program'!$R$35&lt;&gt;"",DA$3='Bonding Program'!$R$35),'Bonding Program'!$Q$35,0),0)</f>
        <v>0</v>
      </c>
      <c r="DB176" s="19" t="n">
        <f aca="false">IF(AND('Bonding Program'!$S$35=1,DB$3='Bonding Program'!$H$35),'Bonding Program'!$AA$35,0)-IF(DB$3&lt;='Bonding Program'!$C$8,IF(AND('Bonding Program'!$K$35&lt;&gt;"",DB$3='Bonding Program'!$K$35),'Bonding Program'!$J$35,0)-IF(AND('Bonding Program'!$M$35&lt;&gt;"",DB$3='Bonding Program'!$M$35),'Bonding Program'!$L$35,0)-IF(AND('Bonding Program'!$P$35&lt;&gt;"",DB$3='Bonding Program'!$P$35),'Bonding Program'!$O$35,0)-IF(AND('Bonding Program'!$R$35&lt;&gt;"",DB$3='Bonding Program'!$R$35),'Bonding Program'!$Q$35,0),0)</f>
        <v>0</v>
      </c>
      <c r="DC176" s="19" t="n">
        <f aca="false">IF(AND('Bonding Program'!$S$35=1,DC$3='Bonding Program'!$H$35),'Bonding Program'!$AA$35,0)-IF(DC$3&lt;='Bonding Program'!$C$8,IF(AND('Bonding Program'!$K$35&lt;&gt;"",DC$3='Bonding Program'!$K$35),'Bonding Program'!$J$35,0)-IF(AND('Bonding Program'!$M$35&lt;&gt;"",DC$3='Bonding Program'!$M$35),'Bonding Program'!$L$35,0)-IF(AND('Bonding Program'!$P$35&lt;&gt;"",DC$3='Bonding Program'!$P$35),'Bonding Program'!$O$35,0)-IF(AND('Bonding Program'!$R$35&lt;&gt;"",DC$3='Bonding Program'!$R$35),'Bonding Program'!$Q$35,0),0)</f>
        <v>0</v>
      </c>
      <c r="DD176" s="19" t="n">
        <f aca="false">IF(AND('Bonding Program'!$S$35=1,DD$3='Bonding Program'!$H$35),'Bonding Program'!$AA$35,0)-IF(DD$3&lt;='Bonding Program'!$C$8,IF(AND('Bonding Program'!$K$35&lt;&gt;"",DD$3='Bonding Program'!$K$35),'Bonding Program'!$J$35,0)-IF(AND('Bonding Program'!$M$35&lt;&gt;"",DD$3='Bonding Program'!$M$35),'Bonding Program'!$L$35,0)-IF(AND('Bonding Program'!$P$35&lt;&gt;"",DD$3='Bonding Program'!$P$35),'Bonding Program'!$O$35,0)-IF(AND('Bonding Program'!$R$35&lt;&gt;"",DD$3='Bonding Program'!$R$35),'Bonding Program'!$Q$35,0),0)</f>
        <v>0</v>
      </c>
      <c r="DE176" s="19" t="n">
        <f aca="false">IF(AND('Bonding Program'!$S$35=1,DE$3='Bonding Program'!$H$35),'Bonding Program'!$AA$35,0)-IF(DE$3&lt;='Bonding Program'!$C$8,IF(AND('Bonding Program'!$K$35&lt;&gt;"",DE$3='Bonding Program'!$K$35),'Bonding Program'!$J$35,0)-IF(AND('Bonding Program'!$M$35&lt;&gt;"",DE$3='Bonding Program'!$M$35),'Bonding Program'!$L$35,0)-IF(AND('Bonding Program'!$P$35&lt;&gt;"",DE$3='Bonding Program'!$P$35),'Bonding Program'!$O$35,0)-IF(AND('Bonding Program'!$R$35&lt;&gt;"",DE$3='Bonding Program'!$R$35),'Bonding Program'!$Q$35,0),0)</f>
        <v>0</v>
      </c>
    </row>
    <row r="177" customFormat="false" ht="15" hidden="false" customHeight="true" outlineLevel="1" collapsed="false">
      <c r="A177" s="28" t="s">
        <v>32</v>
      </c>
      <c r="B177" s="19" t="n">
        <f aca="false">IF(AND('Bonding Program'!$S$36=1,B$3='Bonding Program'!$H$36),'Bonding Program'!$AA$36,0)-IF(B$3&lt;='Bonding Program'!$C$8,IF(AND('Bonding Program'!$K$36&lt;&gt;"",B$3='Bonding Program'!$K$36),'Bonding Program'!$J$36,0)-IF(AND('Bonding Program'!$M$36&lt;&gt;"",B$3='Bonding Program'!$M$36),'Bonding Program'!$L$36,0)-IF(AND('Bonding Program'!$P$36&lt;&gt;"",B$3='Bonding Program'!$P$36),'Bonding Program'!$O$36,0)-IF(AND('Bonding Program'!$R$36&lt;&gt;"",B$3='Bonding Program'!$R$36),'Bonding Program'!$Q$36,0),0)</f>
        <v>0</v>
      </c>
      <c r="C177" s="19" t="n">
        <f aca="false">IF(AND('Bonding Program'!$S$36=1,C$3='Bonding Program'!$H$36),'Bonding Program'!$AA$36,0)-IF(C$3&lt;='Bonding Program'!$C$8,IF(AND('Bonding Program'!$K$36&lt;&gt;"",C$3='Bonding Program'!$K$36),'Bonding Program'!$J$36,0)-IF(AND('Bonding Program'!$M$36&lt;&gt;"",C$3='Bonding Program'!$M$36),'Bonding Program'!$L$36,0)-IF(AND('Bonding Program'!$P$36&lt;&gt;"",C$3='Bonding Program'!$P$36),'Bonding Program'!$O$36,0)-IF(AND('Bonding Program'!$R$36&lt;&gt;"",C$3='Bonding Program'!$R$36),'Bonding Program'!$Q$36,0),0)</f>
        <v>0</v>
      </c>
      <c r="D177" s="19" t="n">
        <f aca="false">IF(AND('Bonding Program'!$S$36=1,D$3='Bonding Program'!$H$36),'Bonding Program'!$AA$36,0)-IF(D$3&lt;='Bonding Program'!$C$8,IF(AND('Bonding Program'!$K$36&lt;&gt;"",D$3='Bonding Program'!$K$36),'Bonding Program'!$J$36,0)-IF(AND('Bonding Program'!$M$36&lt;&gt;"",D$3='Bonding Program'!$M$36),'Bonding Program'!$L$36,0)-IF(AND('Bonding Program'!$P$36&lt;&gt;"",D$3='Bonding Program'!$P$36),'Bonding Program'!$O$36,0)-IF(AND('Bonding Program'!$R$36&lt;&gt;"",D$3='Bonding Program'!$R$36),'Bonding Program'!$Q$36,0),0)</f>
        <v>0</v>
      </c>
      <c r="E177" s="19" t="n">
        <f aca="false">IF(AND('Bonding Program'!$S$36=1,E$3='Bonding Program'!$H$36),'Bonding Program'!$AA$36,0)-IF(E$3&lt;='Bonding Program'!$C$8,IF(AND('Bonding Program'!$K$36&lt;&gt;"",E$3='Bonding Program'!$K$36),'Bonding Program'!$J$36,0)-IF(AND('Bonding Program'!$M$36&lt;&gt;"",E$3='Bonding Program'!$M$36),'Bonding Program'!$L$36,0)-IF(AND('Bonding Program'!$P$36&lt;&gt;"",E$3='Bonding Program'!$P$36),'Bonding Program'!$O$36,0)-IF(AND('Bonding Program'!$R$36&lt;&gt;"",E$3='Bonding Program'!$R$36),'Bonding Program'!$Q$36,0),0)</f>
        <v>0</v>
      </c>
      <c r="F177" s="19" t="n">
        <f aca="false">IF(AND('Bonding Program'!$S$36=1,F$3='Bonding Program'!$H$36),'Bonding Program'!$AA$36,0)-IF(F$3&lt;='Bonding Program'!$C$8,IF(AND('Bonding Program'!$K$36&lt;&gt;"",F$3='Bonding Program'!$K$36),'Bonding Program'!$J$36,0)-IF(AND('Bonding Program'!$M$36&lt;&gt;"",F$3='Bonding Program'!$M$36),'Bonding Program'!$L$36,0)-IF(AND('Bonding Program'!$P$36&lt;&gt;"",F$3='Bonding Program'!$P$36),'Bonding Program'!$O$36,0)-IF(AND('Bonding Program'!$R$36&lt;&gt;"",F$3='Bonding Program'!$R$36),'Bonding Program'!$Q$36,0),0)</f>
        <v>0</v>
      </c>
      <c r="G177" s="19" t="n">
        <f aca="false">IF(AND('Bonding Program'!$S$36=1,G$3='Bonding Program'!$H$36),'Bonding Program'!$AA$36,0)-IF(G$3&lt;='Bonding Program'!$C$8,IF(AND('Bonding Program'!$K$36&lt;&gt;"",G$3='Bonding Program'!$K$36),'Bonding Program'!$J$36,0)-IF(AND('Bonding Program'!$M$36&lt;&gt;"",G$3='Bonding Program'!$M$36),'Bonding Program'!$L$36,0)-IF(AND('Bonding Program'!$P$36&lt;&gt;"",G$3='Bonding Program'!$P$36),'Bonding Program'!$O$36,0)-IF(AND('Bonding Program'!$R$36&lt;&gt;"",G$3='Bonding Program'!$R$36),'Bonding Program'!$Q$36,0),0)</f>
        <v>0</v>
      </c>
      <c r="H177" s="19" t="n">
        <f aca="false">IF(AND('Bonding Program'!$S$36=1,H$3='Bonding Program'!$H$36),'Bonding Program'!$AA$36,0)-IF(H$3&lt;='Bonding Program'!$C$8,IF(AND('Bonding Program'!$K$36&lt;&gt;"",H$3='Bonding Program'!$K$36),'Bonding Program'!$J$36,0)-IF(AND('Bonding Program'!$M$36&lt;&gt;"",H$3='Bonding Program'!$M$36),'Bonding Program'!$L$36,0)-IF(AND('Bonding Program'!$P$36&lt;&gt;"",H$3='Bonding Program'!$P$36),'Bonding Program'!$O$36,0)-IF(AND('Bonding Program'!$R$36&lt;&gt;"",H$3='Bonding Program'!$R$36),'Bonding Program'!$Q$36,0),0)</f>
        <v>0</v>
      </c>
      <c r="I177" s="19" t="n">
        <f aca="false">IF(AND('Bonding Program'!$S$36=1,I$3='Bonding Program'!$H$36),'Bonding Program'!$AA$36,0)-IF(I$3&lt;='Bonding Program'!$C$8,IF(AND('Bonding Program'!$K$36&lt;&gt;"",I$3='Bonding Program'!$K$36),'Bonding Program'!$J$36,0)-IF(AND('Bonding Program'!$M$36&lt;&gt;"",I$3='Bonding Program'!$M$36),'Bonding Program'!$L$36,0)-IF(AND('Bonding Program'!$P$36&lt;&gt;"",I$3='Bonding Program'!$P$36),'Bonding Program'!$O$36,0)-IF(AND('Bonding Program'!$R$36&lt;&gt;"",I$3='Bonding Program'!$R$36),'Bonding Program'!$Q$36,0),0)</f>
        <v>0</v>
      </c>
      <c r="J177" s="19" t="n">
        <f aca="false">IF(AND('Bonding Program'!$S$36=1,J$3='Bonding Program'!$H$36),'Bonding Program'!$AA$36,0)-IF(J$3&lt;='Bonding Program'!$C$8,IF(AND('Bonding Program'!$K$36&lt;&gt;"",J$3='Bonding Program'!$K$36),'Bonding Program'!$J$36,0)-IF(AND('Bonding Program'!$M$36&lt;&gt;"",J$3='Bonding Program'!$M$36),'Bonding Program'!$L$36,0)-IF(AND('Bonding Program'!$P$36&lt;&gt;"",J$3='Bonding Program'!$P$36),'Bonding Program'!$O$36,0)-IF(AND('Bonding Program'!$R$36&lt;&gt;"",J$3='Bonding Program'!$R$36),'Bonding Program'!$Q$36,0),0)</f>
        <v>0</v>
      </c>
      <c r="K177" s="19" t="n">
        <f aca="false">IF(AND('Bonding Program'!$S$36=1,K$3='Bonding Program'!$H$36),'Bonding Program'!$AA$36,0)-IF(K$3&lt;='Bonding Program'!$C$8,IF(AND('Bonding Program'!$K$36&lt;&gt;"",K$3='Bonding Program'!$K$36),'Bonding Program'!$J$36,0)-IF(AND('Bonding Program'!$M$36&lt;&gt;"",K$3='Bonding Program'!$M$36),'Bonding Program'!$L$36,0)-IF(AND('Bonding Program'!$P$36&lt;&gt;"",K$3='Bonding Program'!$P$36),'Bonding Program'!$O$36,0)-IF(AND('Bonding Program'!$R$36&lt;&gt;"",K$3='Bonding Program'!$R$36),'Bonding Program'!$Q$36,0),0)</f>
        <v>0</v>
      </c>
      <c r="L177" s="19" t="n">
        <f aca="false">IF(AND('Bonding Program'!$S$36=1,L$3='Bonding Program'!$H$36),'Bonding Program'!$AA$36,0)-IF(L$3&lt;='Bonding Program'!$C$8,IF(AND('Bonding Program'!$K$36&lt;&gt;"",L$3='Bonding Program'!$K$36),'Bonding Program'!$J$36,0)-IF(AND('Bonding Program'!$M$36&lt;&gt;"",L$3='Bonding Program'!$M$36),'Bonding Program'!$L$36,0)-IF(AND('Bonding Program'!$P$36&lt;&gt;"",L$3='Bonding Program'!$P$36),'Bonding Program'!$O$36,0)-IF(AND('Bonding Program'!$R$36&lt;&gt;"",L$3='Bonding Program'!$R$36),'Bonding Program'!$Q$36,0),0)</f>
        <v>0</v>
      </c>
      <c r="M177" s="19" t="n">
        <f aca="false">IF(AND('Bonding Program'!$S$36=1,M$3='Bonding Program'!$H$36),'Bonding Program'!$AA$36,0)-IF(M$3&lt;='Bonding Program'!$C$8,IF(AND('Bonding Program'!$K$36&lt;&gt;"",M$3='Bonding Program'!$K$36),'Bonding Program'!$J$36,0)-IF(AND('Bonding Program'!$M$36&lt;&gt;"",M$3='Bonding Program'!$M$36),'Bonding Program'!$L$36,0)-IF(AND('Bonding Program'!$P$36&lt;&gt;"",M$3='Bonding Program'!$P$36),'Bonding Program'!$O$36,0)-IF(AND('Bonding Program'!$R$36&lt;&gt;"",M$3='Bonding Program'!$R$36),'Bonding Program'!$Q$36,0),0)</f>
        <v>0</v>
      </c>
      <c r="N177" s="19" t="n">
        <f aca="false">IF(AND('Bonding Program'!$S$36=1,N$3='Bonding Program'!$H$36),'Bonding Program'!$AA$36,0)-IF(N$3&lt;='Bonding Program'!$C$8,IF(AND('Bonding Program'!$K$36&lt;&gt;"",N$3='Bonding Program'!$K$36),'Bonding Program'!$J$36,0)-IF(AND('Bonding Program'!$M$36&lt;&gt;"",N$3='Bonding Program'!$M$36),'Bonding Program'!$L$36,0)-IF(AND('Bonding Program'!$P$36&lt;&gt;"",N$3='Bonding Program'!$P$36),'Bonding Program'!$O$36,0)-IF(AND('Bonding Program'!$R$36&lt;&gt;"",N$3='Bonding Program'!$R$36),'Bonding Program'!$Q$36,0),0)</f>
        <v>0</v>
      </c>
      <c r="O177" s="19" t="n">
        <f aca="false">IF(AND('Bonding Program'!$S$36=1,O$3='Bonding Program'!$H$36),'Bonding Program'!$AA$36,0)-IF(O$3&lt;='Bonding Program'!$C$8,IF(AND('Bonding Program'!$K$36&lt;&gt;"",O$3='Bonding Program'!$K$36),'Bonding Program'!$J$36,0)-IF(AND('Bonding Program'!$M$36&lt;&gt;"",O$3='Bonding Program'!$M$36),'Bonding Program'!$L$36,0)-IF(AND('Bonding Program'!$P$36&lt;&gt;"",O$3='Bonding Program'!$P$36),'Bonding Program'!$O$36,0)-IF(AND('Bonding Program'!$R$36&lt;&gt;"",O$3='Bonding Program'!$R$36),'Bonding Program'!$Q$36,0),0)</f>
        <v>0</v>
      </c>
      <c r="P177" s="19" t="n">
        <f aca="false">IF(AND('Bonding Program'!$S$36=1,P$3='Bonding Program'!$H$36),'Bonding Program'!$AA$36,0)-IF(P$3&lt;='Bonding Program'!$C$8,IF(AND('Bonding Program'!$K$36&lt;&gt;"",P$3='Bonding Program'!$K$36),'Bonding Program'!$J$36,0)-IF(AND('Bonding Program'!$M$36&lt;&gt;"",P$3='Bonding Program'!$M$36),'Bonding Program'!$L$36,0)-IF(AND('Bonding Program'!$P$36&lt;&gt;"",P$3='Bonding Program'!$P$36),'Bonding Program'!$O$36,0)-IF(AND('Bonding Program'!$R$36&lt;&gt;"",P$3='Bonding Program'!$R$36),'Bonding Program'!$Q$36,0),0)</f>
        <v>0</v>
      </c>
      <c r="Q177" s="19" t="n">
        <f aca="false">IF(AND('Bonding Program'!$S$36=1,Q$3='Bonding Program'!$H$36),'Bonding Program'!$AA$36,0)-IF(Q$3&lt;='Bonding Program'!$C$8,IF(AND('Bonding Program'!$K$36&lt;&gt;"",Q$3='Bonding Program'!$K$36),'Bonding Program'!$J$36,0)-IF(AND('Bonding Program'!$M$36&lt;&gt;"",Q$3='Bonding Program'!$M$36),'Bonding Program'!$L$36,0)-IF(AND('Bonding Program'!$P$36&lt;&gt;"",Q$3='Bonding Program'!$P$36),'Bonding Program'!$O$36,0)-IF(AND('Bonding Program'!$R$36&lt;&gt;"",Q$3='Bonding Program'!$R$36),'Bonding Program'!$Q$36,0),0)</f>
        <v>0</v>
      </c>
      <c r="R177" s="19" t="n">
        <f aca="false">IF(AND('Bonding Program'!$S$36=1,R$3='Bonding Program'!$H$36),'Bonding Program'!$AA$36,0)-IF(R$3&lt;='Bonding Program'!$C$8,IF(AND('Bonding Program'!$K$36&lt;&gt;"",R$3='Bonding Program'!$K$36),'Bonding Program'!$J$36,0)-IF(AND('Bonding Program'!$M$36&lt;&gt;"",R$3='Bonding Program'!$M$36),'Bonding Program'!$L$36,0)-IF(AND('Bonding Program'!$P$36&lt;&gt;"",R$3='Bonding Program'!$P$36),'Bonding Program'!$O$36,0)-IF(AND('Bonding Program'!$R$36&lt;&gt;"",R$3='Bonding Program'!$R$36),'Bonding Program'!$Q$36,0),0)</f>
        <v>0</v>
      </c>
      <c r="S177" s="19" t="n">
        <f aca="false">IF(AND('Bonding Program'!$S$36=1,S$3='Bonding Program'!$H$36),'Bonding Program'!$AA$36,0)-IF(S$3&lt;='Bonding Program'!$C$8,IF(AND('Bonding Program'!$K$36&lt;&gt;"",S$3='Bonding Program'!$K$36),'Bonding Program'!$J$36,0)-IF(AND('Bonding Program'!$M$36&lt;&gt;"",S$3='Bonding Program'!$M$36),'Bonding Program'!$L$36,0)-IF(AND('Bonding Program'!$P$36&lt;&gt;"",S$3='Bonding Program'!$P$36),'Bonding Program'!$O$36,0)-IF(AND('Bonding Program'!$R$36&lt;&gt;"",S$3='Bonding Program'!$R$36),'Bonding Program'!$Q$36,0),0)</f>
        <v>0</v>
      </c>
      <c r="T177" s="19" t="n">
        <f aca="false">IF(AND('Bonding Program'!$S$36=1,T$3='Bonding Program'!$H$36),'Bonding Program'!$AA$36,0)-IF(T$3&lt;='Bonding Program'!$C$8,IF(AND('Bonding Program'!$K$36&lt;&gt;"",T$3='Bonding Program'!$K$36),'Bonding Program'!$J$36,0)-IF(AND('Bonding Program'!$M$36&lt;&gt;"",T$3='Bonding Program'!$M$36),'Bonding Program'!$L$36,0)-IF(AND('Bonding Program'!$P$36&lt;&gt;"",T$3='Bonding Program'!$P$36),'Bonding Program'!$O$36,0)-IF(AND('Bonding Program'!$R$36&lt;&gt;"",T$3='Bonding Program'!$R$36),'Bonding Program'!$Q$36,0),0)</f>
        <v>0</v>
      </c>
      <c r="U177" s="19" t="n">
        <f aca="false">IF(AND('Bonding Program'!$S$36=1,U$3='Bonding Program'!$H$36),'Bonding Program'!$AA$36,0)-IF(U$3&lt;='Bonding Program'!$C$8,IF(AND('Bonding Program'!$K$36&lt;&gt;"",U$3='Bonding Program'!$K$36),'Bonding Program'!$J$36,0)-IF(AND('Bonding Program'!$M$36&lt;&gt;"",U$3='Bonding Program'!$M$36),'Bonding Program'!$L$36,0)-IF(AND('Bonding Program'!$P$36&lt;&gt;"",U$3='Bonding Program'!$P$36),'Bonding Program'!$O$36,0)-IF(AND('Bonding Program'!$R$36&lt;&gt;"",U$3='Bonding Program'!$R$36),'Bonding Program'!$Q$36,0),0)</f>
        <v>0</v>
      </c>
      <c r="V177" s="19" t="n">
        <f aca="false">IF(AND('Bonding Program'!$S$36=1,V$3='Bonding Program'!$H$36),'Bonding Program'!$AA$36,0)-IF(V$3&lt;='Bonding Program'!$C$8,IF(AND('Bonding Program'!$K$36&lt;&gt;"",V$3='Bonding Program'!$K$36),'Bonding Program'!$J$36,0)-IF(AND('Bonding Program'!$M$36&lt;&gt;"",V$3='Bonding Program'!$M$36),'Bonding Program'!$L$36,0)-IF(AND('Bonding Program'!$P$36&lt;&gt;"",V$3='Bonding Program'!$P$36),'Bonding Program'!$O$36,0)-IF(AND('Bonding Program'!$R$36&lt;&gt;"",V$3='Bonding Program'!$R$36),'Bonding Program'!$Q$36,0),0)</f>
        <v>0</v>
      </c>
      <c r="W177" s="19" t="n">
        <f aca="false">IF(AND('Bonding Program'!$S$36=1,W$3='Bonding Program'!$H$36),'Bonding Program'!$AA$36,0)-IF(W$3&lt;='Bonding Program'!$C$8,IF(AND('Bonding Program'!$K$36&lt;&gt;"",W$3='Bonding Program'!$K$36),'Bonding Program'!$J$36,0)-IF(AND('Bonding Program'!$M$36&lt;&gt;"",W$3='Bonding Program'!$M$36),'Bonding Program'!$L$36,0)-IF(AND('Bonding Program'!$P$36&lt;&gt;"",W$3='Bonding Program'!$P$36),'Bonding Program'!$O$36,0)-IF(AND('Bonding Program'!$R$36&lt;&gt;"",W$3='Bonding Program'!$R$36),'Bonding Program'!$Q$36,0),0)</f>
        <v>0</v>
      </c>
      <c r="X177" s="19" t="n">
        <f aca="false">IF(AND('Bonding Program'!$S$36=1,X$3='Bonding Program'!$H$36),'Bonding Program'!$AA$36,0)-IF(X$3&lt;='Bonding Program'!$C$8,IF(AND('Bonding Program'!$K$36&lt;&gt;"",X$3='Bonding Program'!$K$36),'Bonding Program'!$J$36,0)-IF(AND('Bonding Program'!$M$36&lt;&gt;"",X$3='Bonding Program'!$M$36),'Bonding Program'!$L$36,0)-IF(AND('Bonding Program'!$P$36&lt;&gt;"",X$3='Bonding Program'!$P$36),'Bonding Program'!$O$36,0)-IF(AND('Bonding Program'!$R$36&lt;&gt;"",X$3='Bonding Program'!$R$36),'Bonding Program'!$Q$36,0),0)</f>
        <v>0</v>
      </c>
      <c r="Y177" s="19" t="n">
        <f aca="false">IF(AND('Bonding Program'!$S$36=1,Y$3='Bonding Program'!$H$36),'Bonding Program'!$AA$36,0)-IF(Y$3&lt;='Bonding Program'!$C$8,IF(AND('Bonding Program'!$K$36&lt;&gt;"",Y$3='Bonding Program'!$K$36),'Bonding Program'!$J$36,0)-IF(AND('Bonding Program'!$M$36&lt;&gt;"",Y$3='Bonding Program'!$M$36),'Bonding Program'!$L$36,0)-IF(AND('Bonding Program'!$P$36&lt;&gt;"",Y$3='Bonding Program'!$P$36),'Bonding Program'!$O$36,0)-IF(AND('Bonding Program'!$R$36&lt;&gt;"",Y$3='Bonding Program'!$R$36),'Bonding Program'!$Q$36,0),0)</f>
        <v>0</v>
      </c>
      <c r="Z177" s="19" t="n">
        <f aca="false">IF(AND('Bonding Program'!$S$36=1,Z$3='Bonding Program'!$H$36),'Bonding Program'!$AA$36,0)-IF(Z$3&lt;='Bonding Program'!$C$8,IF(AND('Bonding Program'!$K$36&lt;&gt;"",Z$3='Bonding Program'!$K$36),'Bonding Program'!$J$36,0)-IF(AND('Bonding Program'!$M$36&lt;&gt;"",Z$3='Bonding Program'!$M$36),'Bonding Program'!$L$36,0)-IF(AND('Bonding Program'!$P$36&lt;&gt;"",Z$3='Bonding Program'!$P$36),'Bonding Program'!$O$36,0)-IF(AND('Bonding Program'!$R$36&lt;&gt;"",Z$3='Bonding Program'!$R$36),'Bonding Program'!$Q$36,0),0)</f>
        <v>0</v>
      </c>
      <c r="AA177" s="19" t="n">
        <f aca="false">IF(AND('Bonding Program'!$S$36=1,AA$3='Bonding Program'!$H$36),'Bonding Program'!$AA$36,0)-IF(AA$3&lt;='Bonding Program'!$C$8,IF(AND('Bonding Program'!$K$36&lt;&gt;"",AA$3='Bonding Program'!$K$36),'Bonding Program'!$J$36,0)-IF(AND('Bonding Program'!$M$36&lt;&gt;"",AA$3='Bonding Program'!$M$36),'Bonding Program'!$L$36,0)-IF(AND('Bonding Program'!$P$36&lt;&gt;"",AA$3='Bonding Program'!$P$36),'Bonding Program'!$O$36,0)-IF(AND('Bonding Program'!$R$36&lt;&gt;"",AA$3='Bonding Program'!$R$36),'Bonding Program'!$Q$36,0),0)</f>
        <v>0</v>
      </c>
      <c r="AB177" s="19" t="n">
        <f aca="false">IF(AND('Bonding Program'!$S$36=1,AB$3='Bonding Program'!$H$36),'Bonding Program'!$AA$36,0)-IF(AB$3&lt;='Bonding Program'!$C$8,IF(AND('Bonding Program'!$K$36&lt;&gt;"",AB$3='Bonding Program'!$K$36),'Bonding Program'!$J$36,0)-IF(AND('Bonding Program'!$M$36&lt;&gt;"",AB$3='Bonding Program'!$M$36),'Bonding Program'!$L$36,0)-IF(AND('Bonding Program'!$P$36&lt;&gt;"",AB$3='Bonding Program'!$P$36),'Bonding Program'!$O$36,0)-IF(AND('Bonding Program'!$R$36&lt;&gt;"",AB$3='Bonding Program'!$R$36),'Bonding Program'!$Q$36,0),0)</f>
        <v>0</v>
      </c>
      <c r="AC177" s="19" t="n">
        <f aca="false">IF(AND('Bonding Program'!$S$36=1,AC$3='Bonding Program'!$H$36),'Bonding Program'!$AA$36,0)-IF(AC$3&lt;='Bonding Program'!$C$8,IF(AND('Bonding Program'!$K$36&lt;&gt;"",AC$3='Bonding Program'!$K$36),'Bonding Program'!$J$36,0)-IF(AND('Bonding Program'!$M$36&lt;&gt;"",AC$3='Bonding Program'!$M$36),'Bonding Program'!$L$36,0)-IF(AND('Bonding Program'!$P$36&lt;&gt;"",AC$3='Bonding Program'!$P$36),'Bonding Program'!$O$36,0)-IF(AND('Bonding Program'!$R$36&lt;&gt;"",AC$3='Bonding Program'!$R$36),'Bonding Program'!$Q$36,0),0)</f>
        <v>0</v>
      </c>
      <c r="AD177" s="19" t="n">
        <f aca="false">IF(AND('Bonding Program'!$S$36=1,AD$3='Bonding Program'!$H$36),'Bonding Program'!$AA$36,0)-IF(AD$3&lt;='Bonding Program'!$C$8,IF(AND('Bonding Program'!$K$36&lt;&gt;"",AD$3='Bonding Program'!$K$36),'Bonding Program'!$J$36,0)-IF(AND('Bonding Program'!$M$36&lt;&gt;"",AD$3='Bonding Program'!$M$36),'Bonding Program'!$L$36,0)-IF(AND('Bonding Program'!$P$36&lt;&gt;"",AD$3='Bonding Program'!$P$36),'Bonding Program'!$O$36,0)-IF(AND('Bonding Program'!$R$36&lt;&gt;"",AD$3='Bonding Program'!$R$36),'Bonding Program'!$Q$36,0),0)</f>
        <v>0</v>
      </c>
      <c r="AE177" s="19" t="n">
        <f aca="false">IF(AND('Bonding Program'!$S$36=1,AE$3='Bonding Program'!$H$36),'Bonding Program'!$AA$36,0)-IF(AE$3&lt;='Bonding Program'!$C$8,IF(AND('Bonding Program'!$K$36&lt;&gt;"",AE$3='Bonding Program'!$K$36),'Bonding Program'!$J$36,0)-IF(AND('Bonding Program'!$M$36&lt;&gt;"",AE$3='Bonding Program'!$M$36),'Bonding Program'!$L$36,0)-IF(AND('Bonding Program'!$P$36&lt;&gt;"",AE$3='Bonding Program'!$P$36),'Bonding Program'!$O$36,0)-IF(AND('Bonding Program'!$R$36&lt;&gt;"",AE$3='Bonding Program'!$R$36),'Bonding Program'!$Q$36,0),0)</f>
        <v>0</v>
      </c>
      <c r="AF177" s="19" t="n">
        <f aca="false">IF(AND('Bonding Program'!$S$36=1,AF$3='Bonding Program'!$H$36),'Bonding Program'!$AA$36,0)-IF(AF$3&lt;='Bonding Program'!$C$8,IF(AND('Bonding Program'!$K$36&lt;&gt;"",AF$3='Bonding Program'!$K$36),'Bonding Program'!$J$36,0)-IF(AND('Bonding Program'!$M$36&lt;&gt;"",AF$3='Bonding Program'!$M$36),'Bonding Program'!$L$36,0)-IF(AND('Bonding Program'!$P$36&lt;&gt;"",AF$3='Bonding Program'!$P$36),'Bonding Program'!$O$36,0)-IF(AND('Bonding Program'!$R$36&lt;&gt;"",AF$3='Bonding Program'!$R$36),'Bonding Program'!$Q$36,0),0)</f>
        <v>0</v>
      </c>
      <c r="AG177" s="19" t="n">
        <f aca="false">IF(AND('Bonding Program'!$S$36=1,AG$3='Bonding Program'!$H$36),'Bonding Program'!$AA$36,0)-IF(AG$3&lt;='Bonding Program'!$C$8,IF(AND('Bonding Program'!$K$36&lt;&gt;"",AG$3='Bonding Program'!$K$36),'Bonding Program'!$J$36,0)-IF(AND('Bonding Program'!$M$36&lt;&gt;"",AG$3='Bonding Program'!$M$36),'Bonding Program'!$L$36,0)-IF(AND('Bonding Program'!$P$36&lt;&gt;"",AG$3='Bonding Program'!$P$36),'Bonding Program'!$O$36,0)-IF(AND('Bonding Program'!$R$36&lt;&gt;"",AG$3='Bonding Program'!$R$36),'Bonding Program'!$Q$36,0),0)</f>
        <v>0</v>
      </c>
      <c r="AH177" s="19" t="n">
        <f aca="false">IF(AND('Bonding Program'!$S$36=1,AH$3='Bonding Program'!$H$36),'Bonding Program'!$AA$36,0)-IF(AH$3&lt;='Bonding Program'!$C$8,IF(AND('Bonding Program'!$K$36&lt;&gt;"",AH$3='Bonding Program'!$K$36),'Bonding Program'!$J$36,0)-IF(AND('Bonding Program'!$M$36&lt;&gt;"",AH$3='Bonding Program'!$M$36),'Bonding Program'!$L$36,0)-IF(AND('Bonding Program'!$P$36&lt;&gt;"",AH$3='Bonding Program'!$P$36),'Bonding Program'!$O$36,0)-IF(AND('Bonding Program'!$R$36&lt;&gt;"",AH$3='Bonding Program'!$R$36),'Bonding Program'!$Q$36,0),0)</f>
        <v>0</v>
      </c>
      <c r="AI177" s="19" t="n">
        <f aca="false">IF(AND('Bonding Program'!$S$36=1,AI$3='Bonding Program'!$H$36),'Bonding Program'!$AA$36,0)-IF(AI$3&lt;='Bonding Program'!$C$8,IF(AND('Bonding Program'!$K$36&lt;&gt;"",AI$3='Bonding Program'!$K$36),'Bonding Program'!$J$36,0)-IF(AND('Bonding Program'!$M$36&lt;&gt;"",AI$3='Bonding Program'!$M$36),'Bonding Program'!$L$36,0)-IF(AND('Bonding Program'!$P$36&lt;&gt;"",AI$3='Bonding Program'!$P$36),'Bonding Program'!$O$36,0)-IF(AND('Bonding Program'!$R$36&lt;&gt;"",AI$3='Bonding Program'!$R$36),'Bonding Program'!$Q$36,0),0)</f>
        <v>0</v>
      </c>
      <c r="AJ177" s="19" t="n">
        <f aca="false">IF(AND('Bonding Program'!$S$36=1,AJ$3='Bonding Program'!$H$36),'Bonding Program'!$AA$36,0)-IF(AJ$3&lt;='Bonding Program'!$C$8,IF(AND('Bonding Program'!$K$36&lt;&gt;"",AJ$3='Bonding Program'!$K$36),'Bonding Program'!$J$36,0)-IF(AND('Bonding Program'!$M$36&lt;&gt;"",AJ$3='Bonding Program'!$M$36),'Bonding Program'!$L$36,0)-IF(AND('Bonding Program'!$P$36&lt;&gt;"",AJ$3='Bonding Program'!$P$36),'Bonding Program'!$O$36,0)-IF(AND('Bonding Program'!$R$36&lt;&gt;"",AJ$3='Bonding Program'!$R$36),'Bonding Program'!$Q$36,0),0)</f>
        <v>0</v>
      </c>
      <c r="AK177" s="19" t="n">
        <f aca="false">IF(AND('Bonding Program'!$S$36=1,AK$3='Bonding Program'!$H$36),'Bonding Program'!$AA$36,0)-IF(AK$3&lt;='Bonding Program'!$C$8,IF(AND('Bonding Program'!$K$36&lt;&gt;"",AK$3='Bonding Program'!$K$36),'Bonding Program'!$J$36,0)-IF(AND('Bonding Program'!$M$36&lt;&gt;"",AK$3='Bonding Program'!$M$36),'Bonding Program'!$L$36,0)-IF(AND('Bonding Program'!$P$36&lt;&gt;"",AK$3='Bonding Program'!$P$36),'Bonding Program'!$O$36,0)-IF(AND('Bonding Program'!$R$36&lt;&gt;"",AK$3='Bonding Program'!$R$36),'Bonding Program'!$Q$36,0),0)</f>
        <v>0</v>
      </c>
      <c r="AL177" s="19" t="n">
        <f aca="false">IF(AND('Bonding Program'!$S$36=1,AL$3='Bonding Program'!$H$36),'Bonding Program'!$AA$36,0)-IF(AL$3&lt;='Bonding Program'!$C$8,IF(AND('Bonding Program'!$K$36&lt;&gt;"",AL$3='Bonding Program'!$K$36),'Bonding Program'!$J$36,0)-IF(AND('Bonding Program'!$M$36&lt;&gt;"",AL$3='Bonding Program'!$M$36),'Bonding Program'!$L$36,0)-IF(AND('Bonding Program'!$P$36&lt;&gt;"",AL$3='Bonding Program'!$P$36),'Bonding Program'!$O$36,0)-IF(AND('Bonding Program'!$R$36&lt;&gt;"",AL$3='Bonding Program'!$R$36),'Bonding Program'!$Q$36,0),0)</f>
        <v>0</v>
      </c>
      <c r="AM177" s="19" t="n">
        <f aca="false">IF(AND('Bonding Program'!$S$36=1,AM$3='Bonding Program'!$H$36),'Bonding Program'!$AA$36,0)-IF(AM$3&lt;='Bonding Program'!$C$8,IF(AND('Bonding Program'!$K$36&lt;&gt;"",AM$3='Bonding Program'!$K$36),'Bonding Program'!$J$36,0)-IF(AND('Bonding Program'!$M$36&lt;&gt;"",AM$3='Bonding Program'!$M$36),'Bonding Program'!$L$36,0)-IF(AND('Bonding Program'!$P$36&lt;&gt;"",AM$3='Bonding Program'!$P$36),'Bonding Program'!$O$36,0)-IF(AND('Bonding Program'!$R$36&lt;&gt;"",AM$3='Bonding Program'!$R$36),'Bonding Program'!$Q$36,0),0)</f>
        <v>0</v>
      </c>
      <c r="AN177" s="19" t="n">
        <f aca="false">IF(AND('Bonding Program'!$S$36=1,AN$3='Bonding Program'!$H$36),'Bonding Program'!$AA$36,0)-IF(AN$3&lt;='Bonding Program'!$C$8,IF(AND('Bonding Program'!$K$36&lt;&gt;"",AN$3='Bonding Program'!$K$36),'Bonding Program'!$J$36,0)-IF(AND('Bonding Program'!$M$36&lt;&gt;"",AN$3='Bonding Program'!$M$36),'Bonding Program'!$L$36,0)-IF(AND('Bonding Program'!$P$36&lt;&gt;"",AN$3='Bonding Program'!$P$36),'Bonding Program'!$O$36,0)-IF(AND('Bonding Program'!$R$36&lt;&gt;"",AN$3='Bonding Program'!$R$36),'Bonding Program'!$Q$36,0),0)</f>
        <v>0</v>
      </c>
      <c r="AO177" s="19" t="n">
        <f aca="false">IF(AND('Bonding Program'!$S$36=1,AO$3='Bonding Program'!$H$36),'Bonding Program'!$AA$36,0)-IF(AO$3&lt;='Bonding Program'!$C$8,IF(AND('Bonding Program'!$K$36&lt;&gt;"",AO$3='Bonding Program'!$K$36),'Bonding Program'!$J$36,0)-IF(AND('Bonding Program'!$M$36&lt;&gt;"",AO$3='Bonding Program'!$M$36),'Bonding Program'!$L$36,0)-IF(AND('Bonding Program'!$P$36&lt;&gt;"",AO$3='Bonding Program'!$P$36),'Bonding Program'!$O$36,0)-IF(AND('Bonding Program'!$R$36&lt;&gt;"",AO$3='Bonding Program'!$R$36),'Bonding Program'!$Q$36,0),0)</f>
        <v>0</v>
      </c>
      <c r="AP177" s="19" t="n">
        <f aca="false">IF(AND('Bonding Program'!$S$36=1,AP$3='Bonding Program'!$H$36),'Bonding Program'!$AA$36,0)-IF(AP$3&lt;='Bonding Program'!$C$8,IF(AND('Bonding Program'!$K$36&lt;&gt;"",AP$3='Bonding Program'!$K$36),'Bonding Program'!$J$36,0)-IF(AND('Bonding Program'!$M$36&lt;&gt;"",AP$3='Bonding Program'!$M$36),'Bonding Program'!$L$36,0)-IF(AND('Bonding Program'!$P$36&lt;&gt;"",AP$3='Bonding Program'!$P$36),'Bonding Program'!$O$36,0)-IF(AND('Bonding Program'!$R$36&lt;&gt;"",AP$3='Bonding Program'!$R$36),'Bonding Program'!$Q$36,0),0)</f>
        <v>0</v>
      </c>
      <c r="AQ177" s="19" t="n">
        <f aca="false">IF(AND('Bonding Program'!$S$36=1,AQ$3='Bonding Program'!$H$36),'Bonding Program'!$AA$36,0)-IF(AQ$3&lt;='Bonding Program'!$C$8,IF(AND('Bonding Program'!$K$36&lt;&gt;"",AQ$3='Bonding Program'!$K$36),'Bonding Program'!$J$36,0)-IF(AND('Bonding Program'!$M$36&lt;&gt;"",AQ$3='Bonding Program'!$M$36),'Bonding Program'!$L$36,0)-IF(AND('Bonding Program'!$P$36&lt;&gt;"",AQ$3='Bonding Program'!$P$36),'Bonding Program'!$O$36,0)-IF(AND('Bonding Program'!$R$36&lt;&gt;"",AQ$3='Bonding Program'!$R$36),'Bonding Program'!$Q$36,0),0)</f>
        <v>0</v>
      </c>
      <c r="AR177" s="19" t="n">
        <f aca="false">IF(AND('Bonding Program'!$S$36=1,AR$3='Bonding Program'!$H$36),'Bonding Program'!$AA$36,0)-IF(AR$3&lt;='Bonding Program'!$C$8,IF(AND('Bonding Program'!$K$36&lt;&gt;"",AR$3='Bonding Program'!$K$36),'Bonding Program'!$J$36,0)-IF(AND('Bonding Program'!$M$36&lt;&gt;"",AR$3='Bonding Program'!$M$36),'Bonding Program'!$L$36,0)-IF(AND('Bonding Program'!$P$36&lt;&gt;"",AR$3='Bonding Program'!$P$36),'Bonding Program'!$O$36,0)-IF(AND('Bonding Program'!$R$36&lt;&gt;"",AR$3='Bonding Program'!$R$36),'Bonding Program'!$Q$36,0),0)</f>
        <v>0</v>
      </c>
      <c r="AS177" s="19" t="n">
        <f aca="false">IF(AND('Bonding Program'!$S$36=1,AS$3='Bonding Program'!$H$36),'Bonding Program'!$AA$36,0)-IF(AS$3&lt;='Bonding Program'!$C$8,IF(AND('Bonding Program'!$K$36&lt;&gt;"",AS$3='Bonding Program'!$K$36),'Bonding Program'!$J$36,0)-IF(AND('Bonding Program'!$M$36&lt;&gt;"",AS$3='Bonding Program'!$M$36),'Bonding Program'!$L$36,0)-IF(AND('Bonding Program'!$P$36&lt;&gt;"",AS$3='Bonding Program'!$P$36),'Bonding Program'!$O$36,0)-IF(AND('Bonding Program'!$R$36&lt;&gt;"",AS$3='Bonding Program'!$R$36),'Bonding Program'!$Q$36,0),0)</f>
        <v>0</v>
      </c>
      <c r="AT177" s="19" t="n">
        <f aca="false">IF(AND('Bonding Program'!$S$36=1,AT$3='Bonding Program'!$H$36),'Bonding Program'!$AA$36,0)-IF(AT$3&lt;='Bonding Program'!$C$8,IF(AND('Bonding Program'!$K$36&lt;&gt;"",AT$3='Bonding Program'!$K$36),'Bonding Program'!$J$36,0)-IF(AND('Bonding Program'!$M$36&lt;&gt;"",AT$3='Bonding Program'!$M$36),'Bonding Program'!$L$36,0)-IF(AND('Bonding Program'!$P$36&lt;&gt;"",AT$3='Bonding Program'!$P$36),'Bonding Program'!$O$36,0)-IF(AND('Bonding Program'!$R$36&lt;&gt;"",AT$3='Bonding Program'!$R$36),'Bonding Program'!$Q$36,0),0)</f>
        <v>0</v>
      </c>
      <c r="AU177" s="19" t="n">
        <f aca="false">IF(AND('Bonding Program'!$S$36=1,AU$3='Bonding Program'!$H$36),'Bonding Program'!$AA$36,0)-IF(AU$3&lt;='Bonding Program'!$C$8,IF(AND('Bonding Program'!$K$36&lt;&gt;"",AU$3='Bonding Program'!$K$36),'Bonding Program'!$J$36,0)-IF(AND('Bonding Program'!$M$36&lt;&gt;"",AU$3='Bonding Program'!$M$36),'Bonding Program'!$L$36,0)-IF(AND('Bonding Program'!$P$36&lt;&gt;"",AU$3='Bonding Program'!$P$36),'Bonding Program'!$O$36,0)-IF(AND('Bonding Program'!$R$36&lt;&gt;"",AU$3='Bonding Program'!$R$36),'Bonding Program'!$Q$36,0),0)</f>
        <v>0</v>
      </c>
      <c r="AV177" s="19" t="n">
        <f aca="false">IF(AND('Bonding Program'!$S$36=1,AV$3='Bonding Program'!$H$36),'Bonding Program'!$AA$36,0)-IF(AV$3&lt;='Bonding Program'!$C$8,IF(AND('Bonding Program'!$K$36&lt;&gt;"",AV$3='Bonding Program'!$K$36),'Bonding Program'!$J$36,0)-IF(AND('Bonding Program'!$M$36&lt;&gt;"",AV$3='Bonding Program'!$M$36),'Bonding Program'!$L$36,0)-IF(AND('Bonding Program'!$P$36&lt;&gt;"",AV$3='Bonding Program'!$P$36),'Bonding Program'!$O$36,0)-IF(AND('Bonding Program'!$R$36&lt;&gt;"",AV$3='Bonding Program'!$R$36),'Bonding Program'!$Q$36,0),0)</f>
        <v>0</v>
      </c>
      <c r="AW177" s="19" t="n">
        <f aca="false">IF(AND('Bonding Program'!$S$36=1,AW$3='Bonding Program'!$H$36),'Bonding Program'!$AA$36,0)-IF(AW$3&lt;='Bonding Program'!$C$8,IF(AND('Bonding Program'!$K$36&lt;&gt;"",AW$3='Bonding Program'!$K$36),'Bonding Program'!$J$36,0)-IF(AND('Bonding Program'!$M$36&lt;&gt;"",AW$3='Bonding Program'!$M$36),'Bonding Program'!$L$36,0)-IF(AND('Bonding Program'!$P$36&lt;&gt;"",AW$3='Bonding Program'!$P$36),'Bonding Program'!$O$36,0)-IF(AND('Bonding Program'!$R$36&lt;&gt;"",AW$3='Bonding Program'!$R$36),'Bonding Program'!$Q$36,0),0)</f>
        <v>0</v>
      </c>
      <c r="AX177" s="19" t="n">
        <f aca="false">IF(AND('Bonding Program'!$S$36=1,AX$3='Bonding Program'!$H$36),'Bonding Program'!$AA$36,0)-IF(AX$3&lt;='Bonding Program'!$C$8,IF(AND('Bonding Program'!$K$36&lt;&gt;"",AX$3='Bonding Program'!$K$36),'Bonding Program'!$J$36,0)-IF(AND('Bonding Program'!$M$36&lt;&gt;"",AX$3='Bonding Program'!$M$36),'Bonding Program'!$L$36,0)-IF(AND('Bonding Program'!$P$36&lt;&gt;"",AX$3='Bonding Program'!$P$36),'Bonding Program'!$O$36,0)-IF(AND('Bonding Program'!$R$36&lt;&gt;"",AX$3='Bonding Program'!$R$36),'Bonding Program'!$Q$36,0),0)</f>
        <v>0</v>
      </c>
      <c r="AY177" s="19" t="n">
        <f aca="false">IF(AND('Bonding Program'!$S$36=1,AY$3='Bonding Program'!$H$36),'Bonding Program'!$AA$36,0)-IF(AY$3&lt;='Bonding Program'!$C$8,IF(AND('Bonding Program'!$K$36&lt;&gt;"",AY$3='Bonding Program'!$K$36),'Bonding Program'!$J$36,0)-IF(AND('Bonding Program'!$M$36&lt;&gt;"",AY$3='Bonding Program'!$M$36),'Bonding Program'!$L$36,0)-IF(AND('Bonding Program'!$P$36&lt;&gt;"",AY$3='Bonding Program'!$P$36),'Bonding Program'!$O$36,0)-IF(AND('Bonding Program'!$R$36&lt;&gt;"",AY$3='Bonding Program'!$R$36),'Bonding Program'!$Q$36,0),0)</f>
        <v>0</v>
      </c>
      <c r="AZ177" s="19" t="n">
        <f aca="false">IF(AND('Bonding Program'!$S$36=1,AZ$3='Bonding Program'!$H$36),'Bonding Program'!$AA$36,0)-IF(AZ$3&lt;='Bonding Program'!$C$8,IF(AND('Bonding Program'!$K$36&lt;&gt;"",AZ$3='Bonding Program'!$K$36),'Bonding Program'!$J$36,0)-IF(AND('Bonding Program'!$M$36&lt;&gt;"",AZ$3='Bonding Program'!$M$36),'Bonding Program'!$L$36,0)-IF(AND('Bonding Program'!$P$36&lt;&gt;"",AZ$3='Bonding Program'!$P$36),'Bonding Program'!$O$36,0)-IF(AND('Bonding Program'!$R$36&lt;&gt;"",AZ$3='Bonding Program'!$R$36),'Bonding Program'!$Q$36,0),0)</f>
        <v>0</v>
      </c>
      <c r="BA177" s="19" t="n">
        <f aca="false">IF(AND('Bonding Program'!$S$36=1,BA$3='Bonding Program'!$H$36),'Bonding Program'!$AA$36,0)-IF(BA$3&lt;='Bonding Program'!$C$8,IF(AND('Bonding Program'!$K$36&lt;&gt;"",BA$3='Bonding Program'!$K$36),'Bonding Program'!$J$36,0)-IF(AND('Bonding Program'!$M$36&lt;&gt;"",BA$3='Bonding Program'!$M$36),'Bonding Program'!$L$36,0)-IF(AND('Bonding Program'!$P$36&lt;&gt;"",BA$3='Bonding Program'!$P$36),'Bonding Program'!$O$36,0)-IF(AND('Bonding Program'!$R$36&lt;&gt;"",BA$3='Bonding Program'!$R$36),'Bonding Program'!$Q$36,0),0)</f>
        <v>0</v>
      </c>
      <c r="BB177" s="19" t="n">
        <f aca="false">IF(AND('Bonding Program'!$S$36=1,BB$3='Bonding Program'!$H$36),'Bonding Program'!$AA$36,0)-IF(BB$3&lt;='Bonding Program'!$C$8,IF(AND('Bonding Program'!$K$36&lt;&gt;"",BB$3='Bonding Program'!$K$36),'Bonding Program'!$J$36,0)-IF(AND('Bonding Program'!$M$36&lt;&gt;"",BB$3='Bonding Program'!$M$36),'Bonding Program'!$L$36,0)-IF(AND('Bonding Program'!$P$36&lt;&gt;"",BB$3='Bonding Program'!$P$36),'Bonding Program'!$O$36,0)-IF(AND('Bonding Program'!$R$36&lt;&gt;"",BB$3='Bonding Program'!$R$36),'Bonding Program'!$Q$36,0),0)</f>
        <v>0</v>
      </c>
      <c r="BC177" s="19" t="n">
        <f aca="false">IF(AND('Bonding Program'!$S$36=1,BC$3='Bonding Program'!$H$36),'Bonding Program'!$AA$36,0)-IF(BC$3&lt;='Bonding Program'!$C$8,IF(AND('Bonding Program'!$K$36&lt;&gt;"",BC$3='Bonding Program'!$K$36),'Bonding Program'!$J$36,0)-IF(AND('Bonding Program'!$M$36&lt;&gt;"",BC$3='Bonding Program'!$M$36),'Bonding Program'!$L$36,0)-IF(AND('Bonding Program'!$P$36&lt;&gt;"",BC$3='Bonding Program'!$P$36),'Bonding Program'!$O$36,0)-IF(AND('Bonding Program'!$R$36&lt;&gt;"",BC$3='Bonding Program'!$R$36),'Bonding Program'!$Q$36,0),0)</f>
        <v>0</v>
      </c>
      <c r="BD177" s="19" t="n">
        <f aca="false">IF(AND('Bonding Program'!$S$36=1,BD$3='Bonding Program'!$H$36),'Bonding Program'!$AA$36,0)-IF(BD$3&lt;='Bonding Program'!$C$8,IF(AND('Bonding Program'!$K$36&lt;&gt;"",BD$3='Bonding Program'!$K$36),'Bonding Program'!$J$36,0)-IF(AND('Bonding Program'!$M$36&lt;&gt;"",BD$3='Bonding Program'!$M$36),'Bonding Program'!$L$36,0)-IF(AND('Bonding Program'!$P$36&lt;&gt;"",BD$3='Bonding Program'!$P$36),'Bonding Program'!$O$36,0)-IF(AND('Bonding Program'!$R$36&lt;&gt;"",BD$3='Bonding Program'!$R$36),'Bonding Program'!$Q$36,0),0)</f>
        <v>0</v>
      </c>
      <c r="BE177" s="19" t="n">
        <f aca="false">IF(AND('Bonding Program'!$S$36=1,BE$3='Bonding Program'!$H$36),'Bonding Program'!$AA$36,0)-IF(BE$3&lt;='Bonding Program'!$C$8,IF(AND('Bonding Program'!$K$36&lt;&gt;"",BE$3='Bonding Program'!$K$36),'Bonding Program'!$J$36,0)-IF(AND('Bonding Program'!$M$36&lt;&gt;"",BE$3='Bonding Program'!$M$36),'Bonding Program'!$L$36,0)-IF(AND('Bonding Program'!$P$36&lt;&gt;"",BE$3='Bonding Program'!$P$36),'Bonding Program'!$O$36,0)-IF(AND('Bonding Program'!$R$36&lt;&gt;"",BE$3='Bonding Program'!$R$36),'Bonding Program'!$Q$36,0),0)</f>
        <v>0</v>
      </c>
      <c r="BF177" s="19" t="n">
        <f aca="false">IF(AND('Bonding Program'!$S$36=1,BF$3='Bonding Program'!$H$36),'Bonding Program'!$AA$36,0)-IF(BF$3&lt;='Bonding Program'!$C$8,IF(AND('Bonding Program'!$K$36&lt;&gt;"",BF$3='Bonding Program'!$K$36),'Bonding Program'!$J$36,0)-IF(AND('Bonding Program'!$M$36&lt;&gt;"",BF$3='Bonding Program'!$M$36),'Bonding Program'!$L$36,0)-IF(AND('Bonding Program'!$P$36&lt;&gt;"",BF$3='Bonding Program'!$P$36),'Bonding Program'!$O$36,0)-IF(AND('Bonding Program'!$R$36&lt;&gt;"",BF$3='Bonding Program'!$R$36),'Bonding Program'!$Q$36,0),0)</f>
        <v>0</v>
      </c>
      <c r="BG177" s="19" t="n">
        <f aca="false">IF(AND('Bonding Program'!$S$36=1,BG$3='Bonding Program'!$H$36),'Bonding Program'!$AA$36,0)-IF(BG$3&lt;='Bonding Program'!$C$8,IF(AND('Bonding Program'!$K$36&lt;&gt;"",BG$3='Bonding Program'!$K$36),'Bonding Program'!$J$36,0)-IF(AND('Bonding Program'!$M$36&lt;&gt;"",BG$3='Bonding Program'!$M$36),'Bonding Program'!$L$36,0)-IF(AND('Bonding Program'!$P$36&lt;&gt;"",BG$3='Bonding Program'!$P$36),'Bonding Program'!$O$36,0)-IF(AND('Bonding Program'!$R$36&lt;&gt;"",BG$3='Bonding Program'!$R$36),'Bonding Program'!$Q$36,0),0)</f>
        <v>0</v>
      </c>
      <c r="BH177" s="19" t="n">
        <f aca="false">IF(AND('Bonding Program'!$S$36=1,BH$3='Bonding Program'!$H$36),'Bonding Program'!$AA$36,0)-IF(BH$3&lt;='Bonding Program'!$C$8,IF(AND('Bonding Program'!$K$36&lt;&gt;"",BH$3='Bonding Program'!$K$36),'Bonding Program'!$J$36,0)-IF(AND('Bonding Program'!$M$36&lt;&gt;"",BH$3='Bonding Program'!$M$36),'Bonding Program'!$L$36,0)-IF(AND('Bonding Program'!$P$36&lt;&gt;"",BH$3='Bonding Program'!$P$36),'Bonding Program'!$O$36,0)-IF(AND('Bonding Program'!$R$36&lt;&gt;"",BH$3='Bonding Program'!$R$36),'Bonding Program'!$Q$36,0),0)</f>
        <v>0</v>
      </c>
      <c r="BI177" s="19" t="n">
        <f aca="false">IF(AND('Bonding Program'!$S$36=1,BI$3='Bonding Program'!$H$36),'Bonding Program'!$AA$36,0)-IF(BI$3&lt;='Bonding Program'!$C$8,IF(AND('Bonding Program'!$K$36&lt;&gt;"",BI$3='Bonding Program'!$K$36),'Bonding Program'!$J$36,0)-IF(AND('Bonding Program'!$M$36&lt;&gt;"",BI$3='Bonding Program'!$M$36),'Bonding Program'!$L$36,0)-IF(AND('Bonding Program'!$P$36&lt;&gt;"",BI$3='Bonding Program'!$P$36),'Bonding Program'!$O$36,0)-IF(AND('Bonding Program'!$R$36&lt;&gt;"",BI$3='Bonding Program'!$R$36),'Bonding Program'!$Q$36,0),0)</f>
        <v>0</v>
      </c>
      <c r="BJ177" s="19" t="n">
        <f aca="false">IF(AND('Bonding Program'!$S$36=1,BJ$3='Bonding Program'!$H$36),'Bonding Program'!$AA$36,0)-IF(BJ$3&lt;='Bonding Program'!$C$8,IF(AND('Bonding Program'!$K$36&lt;&gt;"",BJ$3='Bonding Program'!$K$36),'Bonding Program'!$J$36,0)-IF(AND('Bonding Program'!$M$36&lt;&gt;"",BJ$3='Bonding Program'!$M$36),'Bonding Program'!$L$36,0)-IF(AND('Bonding Program'!$P$36&lt;&gt;"",BJ$3='Bonding Program'!$P$36),'Bonding Program'!$O$36,0)-IF(AND('Bonding Program'!$R$36&lt;&gt;"",BJ$3='Bonding Program'!$R$36),'Bonding Program'!$Q$36,0),0)</f>
        <v>0</v>
      </c>
      <c r="BK177" s="19" t="n">
        <f aca="false">IF(AND('Bonding Program'!$S$36=1,BK$3='Bonding Program'!$H$36),'Bonding Program'!$AA$36,0)-IF(BK$3&lt;='Bonding Program'!$C$8,IF(AND('Bonding Program'!$K$36&lt;&gt;"",BK$3='Bonding Program'!$K$36),'Bonding Program'!$J$36,0)-IF(AND('Bonding Program'!$M$36&lt;&gt;"",BK$3='Bonding Program'!$M$36),'Bonding Program'!$L$36,0)-IF(AND('Bonding Program'!$P$36&lt;&gt;"",BK$3='Bonding Program'!$P$36),'Bonding Program'!$O$36,0)-IF(AND('Bonding Program'!$R$36&lt;&gt;"",BK$3='Bonding Program'!$R$36),'Bonding Program'!$Q$36,0),0)</f>
        <v>0</v>
      </c>
      <c r="BL177" s="19" t="n">
        <f aca="false">IF(AND('Bonding Program'!$S$36=1,BL$3='Bonding Program'!$H$36),'Bonding Program'!$AA$36,0)-IF(BL$3&lt;='Bonding Program'!$C$8,IF(AND('Bonding Program'!$K$36&lt;&gt;"",BL$3='Bonding Program'!$K$36),'Bonding Program'!$J$36,0)-IF(AND('Bonding Program'!$M$36&lt;&gt;"",BL$3='Bonding Program'!$M$36),'Bonding Program'!$L$36,0)-IF(AND('Bonding Program'!$P$36&lt;&gt;"",BL$3='Bonding Program'!$P$36),'Bonding Program'!$O$36,0)-IF(AND('Bonding Program'!$R$36&lt;&gt;"",BL$3='Bonding Program'!$R$36),'Bonding Program'!$Q$36,0),0)</f>
        <v>0</v>
      </c>
      <c r="BM177" s="19" t="n">
        <f aca="false">IF(AND('Bonding Program'!$S$36=1,BM$3='Bonding Program'!$H$36),'Bonding Program'!$AA$36,0)-IF(BM$3&lt;='Bonding Program'!$C$8,IF(AND('Bonding Program'!$K$36&lt;&gt;"",BM$3='Bonding Program'!$K$36),'Bonding Program'!$J$36,0)-IF(AND('Bonding Program'!$M$36&lt;&gt;"",BM$3='Bonding Program'!$M$36),'Bonding Program'!$L$36,0)-IF(AND('Bonding Program'!$P$36&lt;&gt;"",BM$3='Bonding Program'!$P$36),'Bonding Program'!$O$36,0)-IF(AND('Bonding Program'!$R$36&lt;&gt;"",BM$3='Bonding Program'!$R$36),'Bonding Program'!$Q$36,0),0)</f>
        <v>0</v>
      </c>
      <c r="BN177" s="19" t="n">
        <f aca="false">IF(AND('Bonding Program'!$S$36=1,BN$3='Bonding Program'!$H$36),'Bonding Program'!$AA$36,0)-IF(BN$3&lt;='Bonding Program'!$C$8,IF(AND('Bonding Program'!$K$36&lt;&gt;"",BN$3='Bonding Program'!$K$36),'Bonding Program'!$J$36,0)-IF(AND('Bonding Program'!$M$36&lt;&gt;"",BN$3='Bonding Program'!$M$36),'Bonding Program'!$L$36,0)-IF(AND('Bonding Program'!$P$36&lt;&gt;"",BN$3='Bonding Program'!$P$36),'Bonding Program'!$O$36,0)-IF(AND('Bonding Program'!$R$36&lt;&gt;"",BN$3='Bonding Program'!$R$36),'Bonding Program'!$Q$36,0),0)</f>
        <v>0</v>
      </c>
      <c r="BO177" s="19" t="n">
        <f aca="false">IF(AND('Bonding Program'!$S$36=1,BO$3='Bonding Program'!$H$36),'Bonding Program'!$AA$36,0)-IF(BO$3&lt;='Bonding Program'!$C$8,IF(AND('Bonding Program'!$K$36&lt;&gt;"",BO$3='Bonding Program'!$K$36),'Bonding Program'!$J$36,0)-IF(AND('Bonding Program'!$M$36&lt;&gt;"",BO$3='Bonding Program'!$M$36),'Bonding Program'!$L$36,0)-IF(AND('Bonding Program'!$P$36&lt;&gt;"",BO$3='Bonding Program'!$P$36),'Bonding Program'!$O$36,0)-IF(AND('Bonding Program'!$R$36&lt;&gt;"",BO$3='Bonding Program'!$R$36),'Bonding Program'!$Q$36,0),0)</f>
        <v>0</v>
      </c>
      <c r="BP177" s="19" t="n">
        <f aca="false">IF(AND('Bonding Program'!$S$36=1,BP$3='Bonding Program'!$H$36),'Bonding Program'!$AA$36,0)-IF(BP$3&lt;='Bonding Program'!$C$8,IF(AND('Bonding Program'!$K$36&lt;&gt;"",BP$3='Bonding Program'!$K$36),'Bonding Program'!$J$36,0)-IF(AND('Bonding Program'!$M$36&lt;&gt;"",BP$3='Bonding Program'!$M$36),'Bonding Program'!$L$36,0)-IF(AND('Bonding Program'!$P$36&lt;&gt;"",BP$3='Bonding Program'!$P$36),'Bonding Program'!$O$36,0)-IF(AND('Bonding Program'!$R$36&lt;&gt;"",BP$3='Bonding Program'!$R$36),'Bonding Program'!$Q$36,0),0)</f>
        <v>0</v>
      </c>
      <c r="BQ177" s="19" t="n">
        <f aca="false">IF(AND('Bonding Program'!$S$36=1,BQ$3='Bonding Program'!$H$36),'Bonding Program'!$AA$36,0)-IF(BQ$3&lt;='Bonding Program'!$C$8,IF(AND('Bonding Program'!$K$36&lt;&gt;"",BQ$3='Bonding Program'!$K$36),'Bonding Program'!$J$36,0)-IF(AND('Bonding Program'!$M$36&lt;&gt;"",BQ$3='Bonding Program'!$M$36),'Bonding Program'!$L$36,0)-IF(AND('Bonding Program'!$P$36&lt;&gt;"",BQ$3='Bonding Program'!$P$36),'Bonding Program'!$O$36,0)-IF(AND('Bonding Program'!$R$36&lt;&gt;"",BQ$3='Bonding Program'!$R$36),'Bonding Program'!$Q$36,0),0)</f>
        <v>0</v>
      </c>
      <c r="BR177" s="19" t="n">
        <f aca="false">IF(AND('Bonding Program'!$S$36=1,BR$3='Bonding Program'!$H$36),'Bonding Program'!$AA$36,0)-IF(BR$3&lt;='Bonding Program'!$C$8,IF(AND('Bonding Program'!$K$36&lt;&gt;"",BR$3='Bonding Program'!$K$36),'Bonding Program'!$J$36,0)-IF(AND('Bonding Program'!$M$36&lt;&gt;"",BR$3='Bonding Program'!$M$36),'Bonding Program'!$L$36,0)-IF(AND('Bonding Program'!$P$36&lt;&gt;"",BR$3='Bonding Program'!$P$36),'Bonding Program'!$O$36,0)-IF(AND('Bonding Program'!$R$36&lt;&gt;"",BR$3='Bonding Program'!$R$36),'Bonding Program'!$Q$36,0),0)</f>
        <v>0</v>
      </c>
      <c r="BS177" s="19" t="n">
        <f aca="false">IF(AND('Bonding Program'!$S$36=1,BS$3='Bonding Program'!$H$36),'Bonding Program'!$AA$36,0)-IF(BS$3&lt;='Bonding Program'!$C$8,IF(AND('Bonding Program'!$K$36&lt;&gt;"",BS$3='Bonding Program'!$K$36),'Bonding Program'!$J$36,0)-IF(AND('Bonding Program'!$M$36&lt;&gt;"",BS$3='Bonding Program'!$M$36),'Bonding Program'!$L$36,0)-IF(AND('Bonding Program'!$P$36&lt;&gt;"",BS$3='Bonding Program'!$P$36),'Bonding Program'!$O$36,0)-IF(AND('Bonding Program'!$R$36&lt;&gt;"",BS$3='Bonding Program'!$R$36),'Bonding Program'!$Q$36,0),0)</f>
        <v>0</v>
      </c>
      <c r="BT177" s="19" t="n">
        <f aca="false">IF(AND('Bonding Program'!$S$36=1,BT$3='Bonding Program'!$H$36),'Bonding Program'!$AA$36,0)-IF(BT$3&lt;='Bonding Program'!$C$8,IF(AND('Bonding Program'!$K$36&lt;&gt;"",BT$3='Bonding Program'!$K$36),'Bonding Program'!$J$36,0)-IF(AND('Bonding Program'!$M$36&lt;&gt;"",BT$3='Bonding Program'!$M$36),'Bonding Program'!$L$36,0)-IF(AND('Bonding Program'!$P$36&lt;&gt;"",BT$3='Bonding Program'!$P$36),'Bonding Program'!$O$36,0)-IF(AND('Bonding Program'!$R$36&lt;&gt;"",BT$3='Bonding Program'!$R$36),'Bonding Program'!$Q$36,0),0)</f>
        <v>0</v>
      </c>
      <c r="BU177" s="19" t="n">
        <f aca="false">IF(AND('Bonding Program'!$S$36=1,BU$3='Bonding Program'!$H$36),'Bonding Program'!$AA$36,0)-IF(BU$3&lt;='Bonding Program'!$C$8,IF(AND('Bonding Program'!$K$36&lt;&gt;"",BU$3='Bonding Program'!$K$36),'Bonding Program'!$J$36,0)-IF(AND('Bonding Program'!$M$36&lt;&gt;"",BU$3='Bonding Program'!$M$36),'Bonding Program'!$L$36,0)-IF(AND('Bonding Program'!$P$36&lt;&gt;"",BU$3='Bonding Program'!$P$36),'Bonding Program'!$O$36,0)-IF(AND('Bonding Program'!$R$36&lt;&gt;"",BU$3='Bonding Program'!$R$36),'Bonding Program'!$Q$36,0),0)</f>
        <v>0</v>
      </c>
      <c r="BV177" s="19" t="n">
        <f aca="false">IF(AND('Bonding Program'!$S$36=1,BV$3='Bonding Program'!$H$36),'Bonding Program'!$AA$36,0)-IF(BV$3&lt;='Bonding Program'!$C$8,IF(AND('Bonding Program'!$K$36&lt;&gt;"",BV$3='Bonding Program'!$K$36),'Bonding Program'!$J$36,0)-IF(AND('Bonding Program'!$M$36&lt;&gt;"",BV$3='Bonding Program'!$M$36),'Bonding Program'!$L$36,0)-IF(AND('Bonding Program'!$P$36&lt;&gt;"",BV$3='Bonding Program'!$P$36),'Bonding Program'!$O$36,0)-IF(AND('Bonding Program'!$R$36&lt;&gt;"",BV$3='Bonding Program'!$R$36),'Bonding Program'!$Q$36,0),0)</f>
        <v>0</v>
      </c>
      <c r="BW177" s="19" t="n">
        <f aca="false">IF(AND('Bonding Program'!$S$36=1,BW$3='Bonding Program'!$H$36),'Bonding Program'!$AA$36,0)-IF(BW$3&lt;='Bonding Program'!$C$8,IF(AND('Bonding Program'!$K$36&lt;&gt;"",BW$3='Bonding Program'!$K$36),'Bonding Program'!$J$36,0)-IF(AND('Bonding Program'!$M$36&lt;&gt;"",BW$3='Bonding Program'!$M$36),'Bonding Program'!$L$36,0)-IF(AND('Bonding Program'!$P$36&lt;&gt;"",BW$3='Bonding Program'!$P$36),'Bonding Program'!$O$36,0)-IF(AND('Bonding Program'!$R$36&lt;&gt;"",BW$3='Bonding Program'!$R$36),'Bonding Program'!$Q$36,0),0)</f>
        <v>0</v>
      </c>
      <c r="BX177" s="19" t="n">
        <f aca="false">IF(AND('Bonding Program'!$S$36=1,BX$3='Bonding Program'!$H$36),'Bonding Program'!$AA$36,0)-IF(BX$3&lt;='Bonding Program'!$C$8,IF(AND('Bonding Program'!$K$36&lt;&gt;"",BX$3='Bonding Program'!$K$36),'Bonding Program'!$J$36,0)-IF(AND('Bonding Program'!$M$36&lt;&gt;"",BX$3='Bonding Program'!$M$36),'Bonding Program'!$L$36,0)-IF(AND('Bonding Program'!$P$36&lt;&gt;"",BX$3='Bonding Program'!$P$36),'Bonding Program'!$O$36,0)-IF(AND('Bonding Program'!$R$36&lt;&gt;"",BX$3='Bonding Program'!$R$36),'Bonding Program'!$Q$36,0),0)</f>
        <v>0</v>
      </c>
      <c r="BY177" s="19" t="n">
        <f aca="false">IF(AND('Bonding Program'!$S$36=1,BY$3='Bonding Program'!$H$36),'Bonding Program'!$AA$36,0)-IF(BY$3&lt;='Bonding Program'!$C$8,IF(AND('Bonding Program'!$K$36&lt;&gt;"",BY$3='Bonding Program'!$K$36),'Bonding Program'!$J$36,0)-IF(AND('Bonding Program'!$M$36&lt;&gt;"",BY$3='Bonding Program'!$M$36),'Bonding Program'!$L$36,0)-IF(AND('Bonding Program'!$P$36&lt;&gt;"",BY$3='Bonding Program'!$P$36),'Bonding Program'!$O$36,0)-IF(AND('Bonding Program'!$R$36&lt;&gt;"",BY$3='Bonding Program'!$R$36),'Bonding Program'!$Q$36,0),0)</f>
        <v>0</v>
      </c>
      <c r="BZ177" s="19" t="n">
        <f aca="false">IF(AND('Bonding Program'!$S$36=1,BZ$3='Bonding Program'!$H$36),'Bonding Program'!$AA$36,0)-IF(BZ$3&lt;='Bonding Program'!$C$8,IF(AND('Bonding Program'!$K$36&lt;&gt;"",BZ$3='Bonding Program'!$K$36),'Bonding Program'!$J$36,0)-IF(AND('Bonding Program'!$M$36&lt;&gt;"",BZ$3='Bonding Program'!$M$36),'Bonding Program'!$L$36,0)-IF(AND('Bonding Program'!$P$36&lt;&gt;"",BZ$3='Bonding Program'!$P$36),'Bonding Program'!$O$36,0)-IF(AND('Bonding Program'!$R$36&lt;&gt;"",BZ$3='Bonding Program'!$R$36),'Bonding Program'!$Q$36,0),0)</f>
        <v>0</v>
      </c>
      <c r="CA177" s="19" t="n">
        <f aca="false">IF(AND('Bonding Program'!$S$36=1,CA$3='Bonding Program'!$H$36),'Bonding Program'!$AA$36,0)-IF(CA$3&lt;='Bonding Program'!$C$8,IF(AND('Bonding Program'!$K$36&lt;&gt;"",CA$3='Bonding Program'!$K$36),'Bonding Program'!$J$36,0)-IF(AND('Bonding Program'!$M$36&lt;&gt;"",CA$3='Bonding Program'!$M$36),'Bonding Program'!$L$36,0)-IF(AND('Bonding Program'!$P$36&lt;&gt;"",CA$3='Bonding Program'!$P$36),'Bonding Program'!$O$36,0)-IF(AND('Bonding Program'!$R$36&lt;&gt;"",CA$3='Bonding Program'!$R$36),'Bonding Program'!$Q$36,0),0)</f>
        <v>0</v>
      </c>
      <c r="CB177" s="19" t="n">
        <f aca="false">IF(AND('Bonding Program'!$S$36=1,CB$3='Bonding Program'!$H$36),'Bonding Program'!$AA$36,0)-IF(CB$3&lt;='Bonding Program'!$C$8,IF(AND('Bonding Program'!$K$36&lt;&gt;"",CB$3='Bonding Program'!$K$36),'Bonding Program'!$J$36,0)-IF(AND('Bonding Program'!$M$36&lt;&gt;"",CB$3='Bonding Program'!$M$36),'Bonding Program'!$L$36,0)-IF(AND('Bonding Program'!$P$36&lt;&gt;"",CB$3='Bonding Program'!$P$36),'Bonding Program'!$O$36,0)-IF(AND('Bonding Program'!$R$36&lt;&gt;"",CB$3='Bonding Program'!$R$36),'Bonding Program'!$Q$36,0),0)</f>
        <v>0</v>
      </c>
      <c r="CC177" s="19" t="n">
        <f aca="false">IF(AND('Bonding Program'!$S$36=1,CC$3='Bonding Program'!$H$36),'Bonding Program'!$AA$36,0)-IF(CC$3&lt;='Bonding Program'!$C$8,IF(AND('Bonding Program'!$K$36&lt;&gt;"",CC$3='Bonding Program'!$K$36),'Bonding Program'!$J$36,0)-IF(AND('Bonding Program'!$M$36&lt;&gt;"",CC$3='Bonding Program'!$M$36),'Bonding Program'!$L$36,0)-IF(AND('Bonding Program'!$P$36&lt;&gt;"",CC$3='Bonding Program'!$P$36),'Bonding Program'!$O$36,0)-IF(AND('Bonding Program'!$R$36&lt;&gt;"",CC$3='Bonding Program'!$R$36),'Bonding Program'!$Q$36,0),0)</f>
        <v>0</v>
      </c>
      <c r="CD177" s="19" t="n">
        <f aca="false">IF(AND('Bonding Program'!$S$36=1,CD$3='Bonding Program'!$H$36),'Bonding Program'!$AA$36,0)-IF(CD$3&lt;='Bonding Program'!$C$8,IF(AND('Bonding Program'!$K$36&lt;&gt;"",CD$3='Bonding Program'!$K$36),'Bonding Program'!$J$36,0)-IF(AND('Bonding Program'!$M$36&lt;&gt;"",CD$3='Bonding Program'!$M$36),'Bonding Program'!$L$36,0)-IF(AND('Bonding Program'!$P$36&lt;&gt;"",CD$3='Bonding Program'!$P$36),'Bonding Program'!$O$36,0)-IF(AND('Bonding Program'!$R$36&lt;&gt;"",CD$3='Bonding Program'!$R$36),'Bonding Program'!$Q$36,0),0)</f>
        <v>0</v>
      </c>
      <c r="CE177" s="19" t="n">
        <f aca="false">IF(AND('Bonding Program'!$S$36=1,CE$3='Bonding Program'!$H$36),'Bonding Program'!$AA$36,0)-IF(CE$3&lt;='Bonding Program'!$C$8,IF(AND('Bonding Program'!$K$36&lt;&gt;"",CE$3='Bonding Program'!$K$36),'Bonding Program'!$J$36,0)-IF(AND('Bonding Program'!$M$36&lt;&gt;"",CE$3='Bonding Program'!$M$36),'Bonding Program'!$L$36,0)-IF(AND('Bonding Program'!$P$36&lt;&gt;"",CE$3='Bonding Program'!$P$36),'Bonding Program'!$O$36,0)-IF(AND('Bonding Program'!$R$36&lt;&gt;"",CE$3='Bonding Program'!$R$36),'Bonding Program'!$Q$36,0),0)</f>
        <v>0</v>
      </c>
      <c r="CF177" s="19" t="n">
        <f aca="false">IF(AND('Bonding Program'!$S$36=1,CF$3='Bonding Program'!$H$36),'Bonding Program'!$AA$36,0)-IF(CF$3&lt;='Bonding Program'!$C$8,IF(AND('Bonding Program'!$K$36&lt;&gt;"",CF$3='Bonding Program'!$K$36),'Bonding Program'!$J$36,0)-IF(AND('Bonding Program'!$M$36&lt;&gt;"",CF$3='Bonding Program'!$M$36),'Bonding Program'!$L$36,0)-IF(AND('Bonding Program'!$P$36&lt;&gt;"",CF$3='Bonding Program'!$P$36),'Bonding Program'!$O$36,0)-IF(AND('Bonding Program'!$R$36&lt;&gt;"",CF$3='Bonding Program'!$R$36),'Bonding Program'!$Q$36,0),0)</f>
        <v>0</v>
      </c>
      <c r="CG177" s="19" t="n">
        <f aca="false">IF(AND('Bonding Program'!$S$36=1,CG$3='Bonding Program'!$H$36),'Bonding Program'!$AA$36,0)-IF(CG$3&lt;='Bonding Program'!$C$8,IF(AND('Bonding Program'!$K$36&lt;&gt;"",CG$3='Bonding Program'!$K$36),'Bonding Program'!$J$36,0)-IF(AND('Bonding Program'!$M$36&lt;&gt;"",CG$3='Bonding Program'!$M$36),'Bonding Program'!$L$36,0)-IF(AND('Bonding Program'!$P$36&lt;&gt;"",CG$3='Bonding Program'!$P$36),'Bonding Program'!$O$36,0)-IF(AND('Bonding Program'!$R$36&lt;&gt;"",CG$3='Bonding Program'!$R$36),'Bonding Program'!$Q$36,0),0)</f>
        <v>0</v>
      </c>
      <c r="CH177" s="19" t="n">
        <f aca="false">IF(AND('Bonding Program'!$S$36=1,CH$3='Bonding Program'!$H$36),'Bonding Program'!$AA$36,0)-IF(CH$3&lt;='Bonding Program'!$C$8,IF(AND('Bonding Program'!$K$36&lt;&gt;"",CH$3='Bonding Program'!$K$36),'Bonding Program'!$J$36,0)-IF(AND('Bonding Program'!$M$36&lt;&gt;"",CH$3='Bonding Program'!$M$36),'Bonding Program'!$L$36,0)-IF(AND('Bonding Program'!$P$36&lt;&gt;"",CH$3='Bonding Program'!$P$36),'Bonding Program'!$O$36,0)-IF(AND('Bonding Program'!$R$36&lt;&gt;"",CH$3='Bonding Program'!$R$36),'Bonding Program'!$Q$36,0),0)</f>
        <v>0</v>
      </c>
      <c r="CI177" s="19" t="n">
        <f aca="false">IF(AND('Bonding Program'!$S$36=1,CI$3='Bonding Program'!$H$36),'Bonding Program'!$AA$36,0)-IF(CI$3&lt;='Bonding Program'!$C$8,IF(AND('Bonding Program'!$K$36&lt;&gt;"",CI$3='Bonding Program'!$K$36),'Bonding Program'!$J$36,0)-IF(AND('Bonding Program'!$M$36&lt;&gt;"",CI$3='Bonding Program'!$M$36),'Bonding Program'!$L$36,0)-IF(AND('Bonding Program'!$P$36&lt;&gt;"",CI$3='Bonding Program'!$P$36),'Bonding Program'!$O$36,0)-IF(AND('Bonding Program'!$R$36&lt;&gt;"",CI$3='Bonding Program'!$R$36),'Bonding Program'!$Q$36,0),0)</f>
        <v>0</v>
      </c>
      <c r="CJ177" s="19" t="n">
        <f aca="false">IF(AND('Bonding Program'!$S$36=1,CJ$3='Bonding Program'!$H$36),'Bonding Program'!$AA$36,0)-IF(CJ$3&lt;='Bonding Program'!$C$8,IF(AND('Bonding Program'!$K$36&lt;&gt;"",CJ$3='Bonding Program'!$K$36),'Bonding Program'!$J$36,0)-IF(AND('Bonding Program'!$M$36&lt;&gt;"",CJ$3='Bonding Program'!$M$36),'Bonding Program'!$L$36,0)-IF(AND('Bonding Program'!$P$36&lt;&gt;"",CJ$3='Bonding Program'!$P$36),'Bonding Program'!$O$36,0)-IF(AND('Bonding Program'!$R$36&lt;&gt;"",CJ$3='Bonding Program'!$R$36),'Bonding Program'!$Q$36,0),0)</f>
        <v>0</v>
      </c>
      <c r="CK177" s="19" t="n">
        <f aca="false">IF(AND('Bonding Program'!$S$36=1,CK$3='Bonding Program'!$H$36),'Bonding Program'!$AA$36,0)-IF(CK$3&lt;='Bonding Program'!$C$8,IF(AND('Bonding Program'!$K$36&lt;&gt;"",CK$3='Bonding Program'!$K$36),'Bonding Program'!$J$36,0)-IF(AND('Bonding Program'!$M$36&lt;&gt;"",CK$3='Bonding Program'!$M$36),'Bonding Program'!$L$36,0)-IF(AND('Bonding Program'!$P$36&lt;&gt;"",CK$3='Bonding Program'!$P$36),'Bonding Program'!$O$36,0)-IF(AND('Bonding Program'!$R$36&lt;&gt;"",CK$3='Bonding Program'!$R$36),'Bonding Program'!$Q$36,0),0)</f>
        <v>0</v>
      </c>
      <c r="CL177" s="19" t="n">
        <f aca="false">IF(AND('Bonding Program'!$S$36=1,CL$3='Bonding Program'!$H$36),'Bonding Program'!$AA$36,0)-IF(CL$3&lt;='Bonding Program'!$C$8,IF(AND('Bonding Program'!$K$36&lt;&gt;"",CL$3='Bonding Program'!$K$36),'Bonding Program'!$J$36,0)-IF(AND('Bonding Program'!$M$36&lt;&gt;"",CL$3='Bonding Program'!$M$36),'Bonding Program'!$L$36,0)-IF(AND('Bonding Program'!$P$36&lt;&gt;"",CL$3='Bonding Program'!$P$36),'Bonding Program'!$O$36,0)-IF(AND('Bonding Program'!$R$36&lt;&gt;"",CL$3='Bonding Program'!$R$36),'Bonding Program'!$Q$36,0),0)</f>
        <v>0</v>
      </c>
      <c r="CM177" s="19" t="n">
        <f aca="false">IF(AND('Bonding Program'!$S$36=1,CM$3='Bonding Program'!$H$36),'Bonding Program'!$AA$36,0)-IF(CM$3&lt;='Bonding Program'!$C$8,IF(AND('Bonding Program'!$K$36&lt;&gt;"",CM$3='Bonding Program'!$K$36),'Bonding Program'!$J$36,0)-IF(AND('Bonding Program'!$M$36&lt;&gt;"",CM$3='Bonding Program'!$M$36),'Bonding Program'!$L$36,0)-IF(AND('Bonding Program'!$P$36&lt;&gt;"",CM$3='Bonding Program'!$P$36),'Bonding Program'!$O$36,0)-IF(AND('Bonding Program'!$R$36&lt;&gt;"",CM$3='Bonding Program'!$R$36),'Bonding Program'!$Q$36,0),0)</f>
        <v>0</v>
      </c>
      <c r="CN177" s="19" t="n">
        <f aca="false">IF(AND('Bonding Program'!$S$36=1,CN$3='Bonding Program'!$H$36),'Bonding Program'!$AA$36,0)-IF(CN$3&lt;='Bonding Program'!$C$8,IF(AND('Bonding Program'!$K$36&lt;&gt;"",CN$3='Bonding Program'!$K$36),'Bonding Program'!$J$36,0)-IF(AND('Bonding Program'!$M$36&lt;&gt;"",CN$3='Bonding Program'!$M$36),'Bonding Program'!$L$36,0)-IF(AND('Bonding Program'!$P$36&lt;&gt;"",CN$3='Bonding Program'!$P$36),'Bonding Program'!$O$36,0)-IF(AND('Bonding Program'!$R$36&lt;&gt;"",CN$3='Bonding Program'!$R$36),'Bonding Program'!$Q$36,0),0)</f>
        <v>0</v>
      </c>
      <c r="CO177" s="19" t="n">
        <f aca="false">IF(AND('Bonding Program'!$S$36=1,CO$3='Bonding Program'!$H$36),'Bonding Program'!$AA$36,0)-IF(CO$3&lt;='Bonding Program'!$C$8,IF(AND('Bonding Program'!$K$36&lt;&gt;"",CO$3='Bonding Program'!$K$36),'Bonding Program'!$J$36,0)-IF(AND('Bonding Program'!$M$36&lt;&gt;"",CO$3='Bonding Program'!$M$36),'Bonding Program'!$L$36,0)-IF(AND('Bonding Program'!$P$36&lt;&gt;"",CO$3='Bonding Program'!$P$36),'Bonding Program'!$O$36,0)-IF(AND('Bonding Program'!$R$36&lt;&gt;"",CO$3='Bonding Program'!$R$36),'Bonding Program'!$Q$36,0),0)</f>
        <v>0</v>
      </c>
      <c r="CP177" s="19" t="n">
        <f aca="false">IF(AND('Bonding Program'!$S$36=1,CP$3='Bonding Program'!$H$36),'Bonding Program'!$AA$36,0)-IF(CP$3&lt;='Bonding Program'!$C$8,IF(AND('Bonding Program'!$K$36&lt;&gt;"",CP$3='Bonding Program'!$K$36),'Bonding Program'!$J$36,0)-IF(AND('Bonding Program'!$M$36&lt;&gt;"",CP$3='Bonding Program'!$M$36),'Bonding Program'!$L$36,0)-IF(AND('Bonding Program'!$P$36&lt;&gt;"",CP$3='Bonding Program'!$P$36),'Bonding Program'!$O$36,0)-IF(AND('Bonding Program'!$R$36&lt;&gt;"",CP$3='Bonding Program'!$R$36),'Bonding Program'!$Q$36,0),0)</f>
        <v>0</v>
      </c>
      <c r="CQ177" s="19" t="n">
        <f aca="false">IF(AND('Bonding Program'!$S$36=1,CQ$3='Bonding Program'!$H$36),'Bonding Program'!$AA$36,0)-IF(CQ$3&lt;='Bonding Program'!$C$8,IF(AND('Bonding Program'!$K$36&lt;&gt;"",CQ$3='Bonding Program'!$K$36),'Bonding Program'!$J$36,0)-IF(AND('Bonding Program'!$M$36&lt;&gt;"",CQ$3='Bonding Program'!$M$36),'Bonding Program'!$L$36,0)-IF(AND('Bonding Program'!$P$36&lt;&gt;"",CQ$3='Bonding Program'!$P$36),'Bonding Program'!$O$36,0)-IF(AND('Bonding Program'!$R$36&lt;&gt;"",CQ$3='Bonding Program'!$R$36),'Bonding Program'!$Q$36,0),0)</f>
        <v>0</v>
      </c>
      <c r="CR177" s="19" t="n">
        <f aca="false">IF(AND('Bonding Program'!$S$36=1,CR$3='Bonding Program'!$H$36),'Bonding Program'!$AA$36,0)-IF(CR$3&lt;='Bonding Program'!$C$8,IF(AND('Bonding Program'!$K$36&lt;&gt;"",CR$3='Bonding Program'!$K$36),'Bonding Program'!$J$36,0)-IF(AND('Bonding Program'!$M$36&lt;&gt;"",CR$3='Bonding Program'!$M$36),'Bonding Program'!$L$36,0)-IF(AND('Bonding Program'!$P$36&lt;&gt;"",CR$3='Bonding Program'!$P$36),'Bonding Program'!$O$36,0)-IF(AND('Bonding Program'!$R$36&lt;&gt;"",CR$3='Bonding Program'!$R$36),'Bonding Program'!$Q$36,0),0)</f>
        <v>0</v>
      </c>
      <c r="CS177" s="19" t="n">
        <f aca="false">IF(AND('Bonding Program'!$S$36=1,CS$3='Bonding Program'!$H$36),'Bonding Program'!$AA$36,0)-IF(CS$3&lt;='Bonding Program'!$C$8,IF(AND('Bonding Program'!$K$36&lt;&gt;"",CS$3='Bonding Program'!$K$36),'Bonding Program'!$J$36,0)-IF(AND('Bonding Program'!$M$36&lt;&gt;"",CS$3='Bonding Program'!$M$36),'Bonding Program'!$L$36,0)-IF(AND('Bonding Program'!$P$36&lt;&gt;"",CS$3='Bonding Program'!$P$36),'Bonding Program'!$O$36,0)-IF(AND('Bonding Program'!$R$36&lt;&gt;"",CS$3='Bonding Program'!$R$36),'Bonding Program'!$Q$36,0),0)</f>
        <v>0</v>
      </c>
      <c r="CT177" s="19" t="n">
        <f aca="false">IF(AND('Bonding Program'!$S$36=1,CT$3='Bonding Program'!$H$36),'Bonding Program'!$AA$36,0)-IF(CT$3&lt;='Bonding Program'!$C$8,IF(AND('Bonding Program'!$K$36&lt;&gt;"",CT$3='Bonding Program'!$K$36),'Bonding Program'!$J$36,0)-IF(AND('Bonding Program'!$M$36&lt;&gt;"",CT$3='Bonding Program'!$M$36),'Bonding Program'!$L$36,0)-IF(AND('Bonding Program'!$P$36&lt;&gt;"",CT$3='Bonding Program'!$P$36),'Bonding Program'!$O$36,0)-IF(AND('Bonding Program'!$R$36&lt;&gt;"",CT$3='Bonding Program'!$R$36),'Bonding Program'!$Q$36,0),0)</f>
        <v>0</v>
      </c>
      <c r="CU177" s="19" t="n">
        <f aca="false">IF(AND('Bonding Program'!$S$36=1,CU$3='Bonding Program'!$H$36),'Bonding Program'!$AA$36,0)-IF(CU$3&lt;='Bonding Program'!$C$8,IF(AND('Bonding Program'!$K$36&lt;&gt;"",CU$3='Bonding Program'!$K$36),'Bonding Program'!$J$36,0)-IF(AND('Bonding Program'!$M$36&lt;&gt;"",CU$3='Bonding Program'!$M$36),'Bonding Program'!$L$36,0)-IF(AND('Bonding Program'!$P$36&lt;&gt;"",CU$3='Bonding Program'!$P$36),'Bonding Program'!$O$36,0)-IF(AND('Bonding Program'!$R$36&lt;&gt;"",CU$3='Bonding Program'!$R$36),'Bonding Program'!$Q$36,0),0)</f>
        <v>0</v>
      </c>
      <c r="CV177" s="19" t="n">
        <f aca="false">IF(AND('Bonding Program'!$S$36=1,CV$3='Bonding Program'!$H$36),'Bonding Program'!$AA$36,0)-IF(CV$3&lt;='Bonding Program'!$C$8,IF(AND('Bonding Program'!$K$36&lt;&gt;"",CV$3='Bonding Program'!$K$36),'Bonding Program'!$J$36,0)-IF(AND('Bonding Program'!$M$36&lt;&gt;"",CV$3='Bonding Program'!$M$36),'Bonding Program'!$L$36,0)-IF(AND('Bonding Program'!$P$36&lt;&gt;"",CV$3='Bonding Program'!$P$36),'Bonding Program'!$O$36,0)-IF(AND('Bonding Program'!$R$36&lt;&gt;"",CV$3='Bonding Program'!$R$36),'Bonding Program'!$Q$36,0),0)</f>
        <v>0</v>
      </c>
      <c r="CW177" s="19" t="n">
        <f aca="false">IF(AND('Bonding Program'!$S$36=1,CW$3='Bonding Program'!$H$36),'Bonding Program'!$AA$36,0)-IF(CW$3&lt;='Bonding Program'!$C$8,IF(AND('Bonding Program'!$K$36&lt;&gt;"",CW$3='Bonding Program'!$K$36),'Bonding Program'!$J$36,0)-IF(AND('Bonding Program'!$M$36&lt;&gt;"",CW$3='Bonding Program'!$M$36),'Bonding Program'!$L$36,0)-IF(AND('Bonding Program'!$P$36&lt;&gt;"",CW$3='Bonding Program'!$P$36),'Bonding Program'!$O$36,0)-IF(AND('Bonding Program'!$R$36&lt;&gt;"",CW$3='Bonding Program'!$R$36),'Bonding Program'!$Q$36,0),0)</f>
        <v>0</v>
      </c>
      <c r="CX177" s="19" t="n">
        <f aca="false">IF(AND('Bonding Program'!$S$36=1,CX$3='Bonding Program'!$H$36),'Bonding Program'!$AA$36,0)-IF(CX$3&lt;='Bonding Program'!$C$8,IF(AND('Bonding Program'!$K$36&lt;&gt;"",CX$3='Bonding Program'!$K$36),'Bonding Program'!$J$36,0)-IF(AND('Bonding Program'!$M$36&lt;&gt;"",CX$3='Bonding Program'!$M$36),'Bonding Program'!$L$36,0)-IF(AND('Bonding Program'!$P$36&lt;&gt;"",CX$3='Bonding Program'!$P$36),'Bonding Program'!$O$36,0)-IF(AND('Bonding Program'!$R$36&lt;&gt;"",CX$3='Bonding Program'!$R$36),'Bonding Program'!$Q$36,0),0)</f>
        <v>0</v>
      </c>
      <c r="CY177" s="19" t="n">
        <f aca="false">IF(AND('Bonding Program'!$S$36=1,CY$3='Bonding Program'!$H$36),'Bonding Program'!$AA$36,0)-IF(CY$3&lt;='Bonding Program'!$C$8,IF(AND('Bonding Program'!$K$36&lt;&gt;"",CY$3='Bonding Program'!$K$36),'Bonding Program'!$J$36,0)-IF(AND('Bonding Program'!$M$36&lt;&gt;"",CY$3='Bonding Program'!$M$36),'Bonding Program'!$L$36,0)-IF(AND('Bonding Program'!$P$36&lt;&gt;"",CY$3='Bonding Program'!$P$36),'Bonding Program'!$O$36,0)-IF(AND('Bonding Program'!$R$36&lt;&gt;"",CY$3='Bonding Program'!$R$36),'Bonding Program'!$Q$36,0),0)</f>
        <v>0</v>
      </c>
      <c r="CZ177" s="19" t="n">
        <f aca="false">IF(AND('Bonding Program'!$S$36=1,CZ$3='Bonding Program'!$H$36),'Bonding Program'!$AA$36,0)-IF(CZ$3&lt;='Bonding Program'!$C$8,IF(AND('Bonding Program'!$K$36&lt;&gt;"",CZ$3='Bonding Program'!$K$36),'Bonding Program'!$J$36,0)-IF(AND('Bonding Program'!$M$36&lt;&gt;"",CZ$3='Bonding Program'!$M$36),'Bonding Program'!$L$36,0)-IF(AND('Bonding Program'!$P$36&lt;&gt;"",CZ$3='Bonding Program'!$P$36),'Bonding Program'!$O$36,0)-IF(AND('Bonding Program'!$R$36&lt;&gt;"",CZ$3='Bonding Program'!$R$36),'Bonding Program'!$Q$36,0),0)</f>
        <v>0</v>
      </c>
      <c r="DA177" s="19" t="n">
        <f aca="false">IF(AND('Bonding Program'!$S$36=1,DA$3='Bonding Program'!$H$36),'Bonding Program'!$AA$36,0)-IF(DA$3&lt;='Bonding Program'!$C$8,IF(AND('Bonding Program'!$K$36&lt;&gt;"",DA$3='Bonding Program'!$K$36),'Bonding Program'!$J$36,0)-IF(AND('Bonding Program'!$M$36&lt;&gt;"",DA$3='Bonding Program'!$M$36),'Bonding Program'!$L$36,0)-IF(AND('Bonding Program'!$P$36&lt;&gt;"",DA$3='Bonding Program'!$P$36),'Bonding Program'!$O$36,0)-IF(AND('Bonding Program'!$R$36&lt;&gt;"",DA$3='Bonding Program'!$R$36),'Bonding Program'!$Q$36,0),0)</f>
        <v>0</v>
      </c>
      <c r="DB177" s="19" t="n">
        <f aca="false">IF(AND('Bonding Program'!$S$36=1,DB$3='Bonding Program'!$H$36),'Bonding Program'!$AA$36,0)-IF(DB$3&lt;='Bonding Program'!$C$8,IF(AND('Bonding Program'!$K$36&lt;&gt;"",DB$3='Bonding Program'!$K$36),'Bonding Program'!$J$36,0)-IF(AND('Bonding Program'!$M$36&lt;&gt;"",DB$3='Bonding Program'!$M$36),'Bonding Program'!$L$36,0)-IF(AND('Bonding Program'!$P$36&lt;&gt;"",DB$3='Bonding Program'!$P$36),'Bonding Program'!$O$36,0)-IF(AND('Bonding Program'!$R$36&lt;&gt;"",DB$3='Bonding Program'!$R$36),'Bonding Program'!$Q$36,0),0)</f>
        <v>0</v>
      </c>
      <c r="DC177" s="19" t="n">
        <f aca="false">IF(AND('Bonding Program'!$S$36=1,DC$3='Bonding Program'!$H$36),'Bonding Program'!$AA$36,0)-IF(DC$3&lt;='Bonding Program'!$C$8,IF(AND('Bonding Program'!$K$36&lt;&gt;"",DC$3='Bonding Program'!$K$36),'Bonding Program'!$J$36,0)-IF(AND('Bonding Program'!$M$36&lt;&gt;"",DC$3='Bonding Program'!$M$36),'Bonding Program'!$L$36,0)-IF(AND('Bonding Program'!$P$36&lt;&gt;"",DC$3='Bonding Program'!$P$36),'Bonding Program'!$O$36,0)-IF(AND('Bonding Program'!$R$36&lt;&gt;"",DC$3='Bonding Program'!$R$36),'Bonding Program'!$Q$36,0),0)</f>
        <v>0</v>
      </c>
      <c r="DD177" s="19" t="n">
        <f aca="false">IF(AND('Bonding Program'!$S$36=1,DD$3='Bonding Program'!$H$36),'Bonding Program'!$AA$36,0)-IF(DD$3&lt;='Bonding Program'!$C$8,IF(AND('Bonding Program'!$K$36&lt;&gt;"",DD$3='Bonding Program'!$K$36),'Bonding Program'!$J$36,0)-IF(AND('Bonding Program'!$M$36&lt;&gt;"",DD$3='Bonding Program'!$M$36),'Bonding Program'!$L$36,0)-IF(AND('Bonding Program'!$P$36&lt;&gt;"",DD$3='Bonding Program'!$P$36),'Bonding Program'!$O$36,0)-IF(AND('Bonding Program'!$R$36&lt;&gt;"",DD$3='Bonding Program'!$R$36),'Bonding Program'!$Q$36,0),0)</f>
        <v>0</v>
      </c>
      <c r="DE177" s="19" t="n">
        <f aca="false">IF(AND('Bonding Program'!$S$36=1,DE$3='Bonding Program'!$H$36),'Bonding Program'!$AA$36,0)-IF(DE$3&lt;='Bonding Program'!$C$8,IF(AND('Bonding Program'!$K$36&lt;&gt;"",DE$3='Bonding Program'!$K$36),'Bonding Program'!$J$36,0)-IF(AND('Bonding Program'!$M$36&lt;&gt;"",DE$3='Bonding Program'!$M$36),'Bonding Program'!$L$36,0)-IF(AND('Bonding Program'!$P$36&lt;&gt;"",DE$3='Bonding Program'!$P$36),'Bonding Program'!$O$36,0)-IF(AND('Bonding Program'!$R$36&lt;&gt;"",DE$3='Bonding Program'!$R$36),'Bonding Program'!$Q$36,0),0)</f>
        <v>0</v>
      </c>
    </row>
    <row r="178" customFormat="false" ht="15" hidden="false" customHeight="true" outlineLevel="1" collapsed="false">
      <c r="A178" s="28" t="s">
        <v>33</v>
      </c>
      <c r="B178" s="19" t="n">
        <f aca="false">IF(AND('Bonding Program'!$S$37=1,B$3='Bonding Program'!$H$37),'Bonding Program'!$AA$37,0)-IF(B$3&lt;='Bonding Program'!$C$8,IF(AND('Bonding Program'!$K$37&lt;&gt;"",B$3='Bonding Program'!$K$37),'Bonding Program'!$J$37,0)-IF(AND('Bonding Program'!$M$37&lt;&gt;"",B$3='Bonding Program'!$M$37),'Bonding Program'!$L$37,0)-IF(AND('Bonding Program'!$P$37&lt;&gt;"",B$3='Bonding Program'!$P$37),'Bonding Program'!$O$37,0)-IF(AND('Bonding Program'!$R$37&lt;&gt;"",B$3='Bonding Program'!$R$37),'Bonding Program'!$Q$37,0),0)</f>
        <v>0</v>
      </c>
      <c r="C178" s="19" t="n">
        <f aca="false">IF(AND('Bonding Program'!$S$37=1,C$3='Bonding Program'!$H$37),'Bonding Program'!$AA$37,0)-IF(C$3&lt;='Bonding Program'!$C$8,IF(AND('Bonding Program'!$K$37&lt;&gt;"",C$3='Bonding Program'!$K$37),'Bonding Program'!$J$37,0)-IF(AND('Bonding Program'!$M$37&lt;&gt;"",C$3='Bonding Program'!$M$37),'Bonding Program'!$L$37,0)-IF(AND('Bonding Program'!$P$37&lt;&gt;"",C$3='Bonding Program'!$P$37),'Bonding Program'!$O$37,0)-IF(AND('Bonding Program'!$R$37&lt;&gt;"",C$3='Bonding Program'!$R$37),'Bonding Program'!$Q$37,0),0)</f>
        <v>0</v>
      </c>
      <c r="D178" s="19" t="n">
        <f aca="false">IF(AND('Bonding Program'!$S$37=1,D$3='Bonding Program'!$H$37),'Bonding Program'!$AA$37,0)-IF(D$3&lt;='Bonding Program'!$C$8,IF(AND('Bonding Program'!$K$37&lt;&gt;"",D$3='Bonding Program'!$K$37),'Bonding Program'!$J$37,0)-IF(AND('Bonding Program'!$M$37&lt;&gt;"",D$3='Bonding Program'!$M$37),'Bonding Program'!$L$37,0)-IF(AND('Bonding Program'!$P$37&lt;&gt;"",D$3='Bonding Program'!$P$37),'Bonding Program'!$O$37,0)-IF(AND('Bonding Program'!$R$37&lt;&gt;"",D$3='Bonding Program'!$R$37),'Bonding Program'!$Q$37,0),0)</f>
        <v>0</v>
      </c>
      <c r="E178" s="19" t="n">
        <f aca="false">IF(AND('Bonding Program'!$S$37=1,E$3='Bonding Program'!$H$37),'Bonding Program'!$AA$37,0)-IF(E$3&lt;='Bonding Program'!$C$8,IF(AND('Bonding Program'!$K$37&lt;&gt;"",E$3='Bonding Program'!$K$37),'Bonding Program'!$J$37,0)-IF(AND('Bonding Program'!$M$37&lt;&gt;"",E$3='Bonding Program'!$M$37),'Bonding Program'!$L$37,0)-IF(AND('Bonding Program'!$P$37&lt;&gt;"",E$3='Bonding Program'!$P$37),'Bonding Program'!$O$37,0)-IF(AND('Bonding Program'!$R$37&lt;&gt;"",E$3='Bonding Program'!$R$37),'Bonding Program'!$Q$37,0),0)</f>
        <v>0</v>
      </c>
      <c r="F178" s="19" t="n">
        <f aca="false">IF(AND('Bonding Program'!$S$37=1,F$3='Bonding Program'!$H$37),'Bonding Program'!$AA$37,0)-IF(F$3&lt;='Bonding Program'!$C$8,IF(AND('Bonding Program'!$K$37&lt;&gt;"",F$3='Bonding Program'!$K$37),'Bonding Program'!$J$37,0)-IF(AND('Bonding Program'!$M$37&lt;&gt;"",F$3='Bonding Program'!$M$37),'Bonding Program'!$L$37,0)-IF(AND('Bonding Program'!$P$37&lt;&gt;"",F$3='Bonding Program'!$P$37),'Bonding Program'!$O$37,0)-IF(AND('Bonding Program'!$R$37&lt;&gt;"",F$3='Bonding Program'!$R$37),'Bonding Program'!$Q$37,0),0)</f>
        <v>0</v>
      </c>
      <c r="G178" s="19" t="n">
        <f aca="false">IF(AND('Bonding Program'!$S$37=1,G$3='Bonding Program'!$H$37),'Bonding Program'!$AA$37,0)-IF(G$3&lt;='Bonding Program'!$C$8,IF(AND('Bonding Program'!$K$37&lt;&gt;"",G$3='Bonding Program'!$K$37),'Bonding Program'!$J$37,0)-IF(AND('Bonding Program'!$M$37&lt;&gt;"",G$3='Bonding Program'!$M$37),'Bonding Program'!$L$37,0)-IF(AND('Bonding Program'!$P$37&lt;&gt;"",G$3='Bonding Program'!$P$37),'Bonding Program'!$O$37,0)-IF(AND('Bonding Program'!$R$37&lt;&gt;"",G$3='Bonding Program'!$R$37),'Bonding Program'!$Q$37,0),0)</f>
        <v>0</v>
      </c>
      <c r="H178" s="19" t="n">
        <f aca="false">IF(AND('Bonding Program'!$S$37=1,H$3='Bonding Program'!$H$37),'Bonding Program'!$AA$37,0)-IF(H$3&lt;='Bonding Program'!$C$8,IF(AND('Bonding Program'!$K$37&lt;&gt;"",H$3='Bonding Program'!$K$37),'Bonding Program'!$J$37,0)-IF(AND('Bonding Program'!$M$37&lt;&gt;"",H$3='Bonding Program'!$M$37),'Bonding Program'!$L$37,0)-IF(AND('Bonding Program'!$P$37&lt;&gt;"",H$3='Bonding Program'!$P$37),'Bonding Program'!$O$37,0)-IF(AND('Bonding Program'!$R$37&lt;&gt;"",H$3='Bonding Program'!$R$37),'Bonding Program'!$Q$37,0),0)</f>
        <v>0</v>
      </c>
      <c r="I178" s="19" t="n">
        <f aca="false">IF(AND('Bonding Program'!$S$37=1,I$3='Bonding Program'!$H$37),'Bonding Program'!$AA$37,0)-IF(I$3&lt;='Bonding Program'!$C$8,IF(AND('Bonding Program'!$K$37&lt;&gt;"",I$3='Bonding Program'!$K$37),'Bonding Program'!$J$37,0)-IF(AND('Bonding Program'!$M$37&lt;&gt;"",I$3='Bonding Program'!$M$37),'Bonding Program'!$L$37,0)-IF(AND('Bonding Program'!$P$37&lt;&gt;"",I$3='Bonding Program'!$P$37),'Bonding Program'!$O$37,0)-IF(AND('Bonding Program'!$R$37&lt;&gt;"",I$3='Bonding Program'!$R$37),'Bonding Program'!$Q$37,0),0)</f>
        <v>0</v>
      </c>
      <c r="J178" s="19" t="n">
        <f aca="false">IF(AND('Bonding Program'!$S$37=1,J$3='Bonding Program'!$H$37),'Bonding Program'!$AA$37,0)-IF(J$3&lt;='Bonding Program'!$C$8,IF(AND('Bonding Program'!$K$37&lt;&gt;"",J$3='Bonding Program'!$K$37),'Bonding Program'!$J$37,0)-IF(AND('Bonding Program'!$M$37&lt;&gt;"",J$3='Bonding Program'!$M$37),'Bonding Program'!$L$37,0)-IF(AND('Bonding Program'!$P$37&lt;&gt;"",J$3='Bonding Program'!$P$37),'Bonding Program'!$O$37,0)-IF(AND('Bonding Program'!$R$37&lt;&gt;"",J$3='Bonding Program'!$R$37),'Bonding Program'!$Q$37,0),0)</f>
        <v>0</v>
      </c>
      <c r="K178" s="19" t="n">
        <f aca="false">IF(AND('Bonding Program'!$S$37=1,K$3='Bonding Program'!$H$37),'Bonding Program'!$AA$37,0)-IF(K$3&lt;='Bonding Program'!$C$8,IF(AND('Bonding Program'!$K$37&lt;&gt;"",K$3='Bonding Program'!$K$37),'Bonding Program'!$J$37,0)-IF(AND('Bonding Program'!$M$37&lt;&gt;"",K$3='Bonding Program'!$M$37),'Bonding Program'!$L$37,0)-IF(AND('Bonding Program'!$P$37&lt;&gt;"",K$3='Bonding Program'!$P$37),'Bonding Program'!$O$37,0)-IF(AND('Bonding Program'!$R$37&lt;&gt;"",K$3='Bonding Program'!$R$37),'Bonding Program'!$Q$37,0),0)</f>
        <v>0</v>
      </c>
      <c r="L178" s="19" t="n">
        <f aca="false">IF(AND('Bonding Program'!$S$37=1,L$3='Bonding Program'!$H$37),'Bonding Program'!$AA$37,0)-IF(L$3&lt;='Bonding Program'!$C$8,IF(AND('Bonding Program'!$K$37&lt;&gt;"",L$3='Bonding Program'!$K$37),'Bonding Program'!$J$37,0)-IF(AND('Bonding Program'!$M$37&lt;&gt;"",L$3='Bonding Program'!$M$37),'Bonding Program'!$L$37,0)-IF(AND('Bonding Program'!$P$37&lt;&gt;"",L$3='Bonding Program'!$P$37),'Bonding Program'!$O$37,0)-IF(AND('Bonding Program'!$R$37&lt;&gt;"",L$3='Bonding Program'!$R$37),'Bonding Program'!$Q$37,0),0)</f>
        <v>0</v>
      </c>
      <c r="M178" s="19" t="n">
        <f aca="false">IF(AND('Bonding Program'!$S$37=1,M$3='Bonding Program'!$H$37),'Bonding Program'!$AA$37,0)-IF(M$3&lt;='Bonding Program'!$C$8,IF(AND('Bonding Program'!$K$37&lt;&gt;"",M$3='Bonding Program'!$K$37),'Bonding Program'!$J$37,0)-IF(AND('Bonding Program'!$M$37&lt;&gt;"",M$3='Bonding Program'!$M$37),'Bonding Program'!$L$37,0)-IF(AND('Bonding Program'!$P$37&lt;&gt;"",M$3='Bonding Program'!$P$37),'Bonding Program'!$O$37,0)-IF(AND('Bonding Program'!$R$37&lt;&gt;"",M$3='Bonding Program'!$R$37),'Bonding Program'!$Q$37,0),0)</f>
        <v>0</v>
      </c>
      <c r="N178" s="19" t="n">
        <f aca="false">IF(AND('Bonding Program'!$S$37=1,N$3='Bonding Program'!$H$37),'Bonding Program'!$AA$37,0)-IF(N$3&lt;='Bonding Program'!$C$8,IF(AND('Bonding Program'!$K$37&lt;&gt;"",N$3='Bonding Program'!$K$37),'Bonding Program'!$J$37,0)-IF(AND('Bonding Program'!$M$37&lt;&gt;"",N$3='Bonding Program'!$M$37),'Bonding Program'!$L$37,0)-IF(AND('Bonding Program'!$P$37&lt;&gt;"",N$3='Bonding Program'!$P$37),'Bonding Program'!$O$37,0)-IF(AND('Bonding Program'!$R$37&lt;&gt;"",N$3='Bonding Program'!$R$37),'Bonding Program'!$Q$37,0),0)</f>
        <v>0</v>
      </c>
      <c r="O178" s="19" t="n">
        <f aca="false">IF(AND('Bonding Program'!$S$37=1,O$3='Bonding Program'!$H$37),'Bonding Program'!$AA$37,0)-IF(O$3&lt;='Bonding Program'!$C$8,IF(AND('Bonding Program'!$K$37&lt;&gt;"",O$3='Bonding Program'!$K$37),'Bonding Program'!$J$37,0)-IF(AND('Bonding Program'!$M$37&lt;&gt;"",O$3='Bonding Program'!$M$37),'Bonding Program'!$L$37,0)-IF(AND('Bonding Program'!$P$37&lt;&gt;"",O$3='Bonding Program'!$P$37),'Bonding Program'!$O$37,0)-IF(AND('Bonding Program'!$R$37&lt;&gt;"",O$3='Bonding Program'!$R$37),'Bonding Program'!$Q$37,0),0)</f>
        <v>0</v>
      </c>
      <c r="P178" s="19" t="n">
        <f aca="false">IF(AND('Bonding Program'!$S$37=1,P$3='Bonding Program'!$H$37),'Bonding Program'!$AA$37,0)-IF(P$3&lt;='Bonding Program'!$C$8,IF(AND('Bonding Program'!$K$37&lt;&gt;"",P$3='Bonding Program'!$K$37),'Bonding Program'!$J$37,0)-IF(AND('Bonding Program'!$M$37&lt;&gt;"",P$3='Bonding Program'!$M$37),'Bonding Program'!$L$37,0)-IF(AND('Bonding Program'!$P$37&lt;&gt;"",P$3='Bonding Program'!$P$37),'Bonding Program'!$O$37,0)-IF(AND('Bonding Program'!$R$37&lt;&gt;"",P$3='Bonding Program'!$R$37),'Bonding Program'!$Q$37,0),0)</f>
        <v>0</v>
      </c>
      <c r="Q178" s="19" t="n">
        <f aca="false">IF(AND('Bonding Program'!$S$37=1,Q$3='Bonding Program'!$H$37),'Bonding Program'!$AA$37,0)-IF(Q$3&lt;='Bonding Program'!$C$8,IF(AND('Bonding Program'!$K$37&lt;&gt;"",Q$3='Bonding Program'!$K$37),'Bonding Program'!$J$37,0)-IF(AND('Bonding Program'!$M$37&lt;&gt;"",Q$3='Bonding Program'!$M$37),'Bonding Program'!$L$37,0)-IF(AND('Bonding Program'!$P$37&lt;&gt;"",Q$3='Bonding Program'!$P$37),'Bonding Program'!$O$37,0)-IF(AND('Bonding Program'!$R$37&lt;&gt;"",Q$3='Bonding Program'!$R$37),'Bonding Program'!$Q$37,0),0)</f>
        <v>0</v>
      </c>
      <c r="R178" s="19" t="n">
        <f aca="false">IF(AND('Bonding Program'!$S$37=1,R$3='Bonding Program'!$H$37),'Bonding Program'!$AA$37,0)-IF(R$3&lt;='Bonding Program'!$C$8,IF(AND('Bonding Program'!$K$37&lt;&gt;"",R$3='Bonding Program'!$K$37),'Bonding Program'!$J$37,0)-IF(AND('Bonding Program'!$M$37&lt;&gt;"",R$3='Bonding Program'!$M$37),'Bonding Program'!$L$37,0)-IF(AND('Bonding Program'!$P$37&lt;&gt;"",R$3='Bonding Program'!$P$37),'Bonding Program'!$O$37,0)-IF(AND('Bonding Program'!$R$37&lt;&gt;"",R$3='Bonding Program'!$R$37),'Bonding Program'!$Q$37,0),0)</f>
        <v>0</v>
      </c>
      <c r="S178" s="19" t="n">
        <f aca="false">IF(AND('Bonding Program'!$S$37=1,S$3='Bonding Program'!$H$37),'Bonding Program'!$AA$37,0)-IF(S$3&lt;='Bonding Program'!$C$8,IF(AND('Bonding Program'!$K$37&lt;&gt;"",S$3='Bonding Program'!$K$37),'Bonding Program'!$J$37,0)-IF(AND('Bonding Program'!$M$37&lt;&gt;"",S$3='Bonding Program'!$M$37),'Bonding Program'!$L$37,0)-IF(AND('Bonding Program'!$P$37&lt;&gt;"",S$3='Bonding Program'!$P$37),'Bonding Program'!$O$37,0)-IF(AND('Bonding Program'!$R$37&lt;&gt;"",S$3='Bonding Program'!$R$37),'Bonding Program'!$Q$37,0),0)</f>
        <v>0</v>
      </c>
      <c r="T178" s="19" t="n">
        <f aca="false">IF(AND('Bonding Program'!$S$37=1,T$3='Bonding Program'!$H$37),'Bonding Program'!$AA$37,0)-IF(T$3&lt;='Bonding Program'!$C$8,IF(AND('Bonding Program'!$K$37&lt;&gt;"",T$3='Bonding Program'!$K$37),'Bonding Program'!$J$37,0)-IF(AND('Bonding Program'!$M$37&lt;&gt;"",T$3='Bonding Program'!$M$37),'Bonding Program'!$L$37,0)-IF(AND('Bonding Program'!$P$37&lt;&gt;"",T$3='Bonding Program'!$P$37),'Bonding Program'!$O$37,0)-IF(AND('Bonding Program'!$R$37&lt;&gt;"",T$3='Bonding Program'!$R$37),'Bonding Program'!$Q$37,0),0)</f>
        <v>0</v>
      </c>
      <c r="U178" s="19" t="n">
        <f aca="false">IF(AND('Bonding Program'!$S$37=1,U$3='Bonding Program'!$H$37),'Bonding Program'!$AA$37,0)-IF(U$3&lt;='Bonding Program'!$C$8,IF(AND('Bonding Program'!$K$37&lt;&gt;"",U$3='Bonding Program'!$K$37),'Bonding Program'!$J$37,0)-IF(AND('Bonding Program'!$M$37&lt;&gt;"",U$3='Bonding Program'!$M$37),'Bonding Program'!$L$37,0)-IF(AND('Bonding Program'!$P$37&lt;&gt;"",U$3='Bonding Program'!$P$37),'Bonding Program'!$O$37,0)-IF(AND('Bonding Program'!$R$37&lt;&gt;"",U$3='Bonding Program'!$R$37),'Bonding Program'!$Q$37,0),0)</f>
        <v>0</v>
      </c>
      <c r="V178" s="19" t="n">
        <f aca="false">IF(AND('Bonding Program'!$S$37=1,V$3='Bonding Program'!$H$37),'Bonding Program'!$AA$37,0)-IF(V$3&lt;='Bonding Program'!$C$8,IF(AND('Bonding Program'!$K$37&lt;&gt;"",V$3='Bonding Program'!$K$37),'Bonding Program'!$J$37,0)-IF(AND('Bonding Program'!$M$37&lt;&gt;"",V$3='Bonding Program'!$M$37),'Bonding Program'!$L$37,0)-IF(AND('Bonding Program'!$P$37&lt;&gt;"",V$3='Bonding Program'!$P$37),'Bonding Program'!$O$37,0)-IF(AND('Bonding Program'!$R$37&lt;&gt;"",V$3='Bonding Program'!$R$37),'Bonding Program'!$Q$37,0),0)</f>
        <v>0</v>
      </c>
      <c r="W178" s="19" t="n">
        <f aca="false">IF(AND('Bonding Program'!$S$37=1,W$3='Bonding Program'!$H$37),'Bonding Program'!$AA$37,0)-IF(W$3&lt;='Bonding Program'!$C$8,IF(AND('Bonding Program'!$K$37&lt;&gt;"",W$3='Bonding Program'!$K$37),'Bonding Program'!$J$37,0)-IF(AND('Bonding Program'!$M$37&lt;&gt;"",W$3='Bonding Program'!$M$37),'Bonding Program'!$L$37,0)-IF(AND('Bonding Program'!$P$37&lt;&gt;"",W$3='Bonding Program'!$P$37),'Bonding Program'!$O$37,0)-IF(AND('Bonding Program'!$R$37&lt;&gt;"",W$3='Bonding Program'!$R$37),'Bonding Program'!$Q$37,0),0)</f>
        <v>0</v>
      </c>
      <c r="X178" s="19" t="n">
        <f aca="false">IF(AND('Bonding Program'!$S$37=1,X$3='Bonding Program'!$H$37),'Bonding Program'!$AA$37,0)-IF(X$3&lt;='Bonding Program'!$C$8,IF(AND('Bonding Program'!$K$37&lt;&gt;"",X$3='Bonding Program'!$K$37),'Bonding Program'!$J$37,0)-IF(AND('Bonding Program'!$M$37&lt;&gt;"",X$3='Bonding Program'!$M$37),'Bonding Program'!$L$37,0)-IF(AND('Bonding Program'!$P$37&lt;&gt;"",X$3='Bonding Program'!$P$37),'Bonding Program'!$O$37,0)-IF(AND('Bonding Program'!$R$37&lt;&gt;"",X$3='Bonding Program'!$R$37),'Bonding Program'!$Q$37,0),0)</f>
        <v>0</v>
      </c>
      <c r="Y178" s="19" t="n">
        <f aca="false">IF(AND('Bonding Program'!$S$37=1,Y$3='Bonding Program'!$H$37),'Bonding Program'!$AA$37,0)-IF(Y$3&lt;='Bonding Program'!$C$8,IF(AND('Bonding Program'!$K$37&lt;&gt;"",Y$3='Bonding Program'!$K$37),'Bonding Program'!$J$37,0)-IF(AND('Bonding Program'!$M$37&lt;&gt;"",Y$3='Bonding Program'!$M$37),'Bonding Program'!$L$37,0)-IF(AND('Bonding Program'!$P$37&lt;&gt;"",Y$3='Bonding Program'!$P$37),'Bonding Program'!$O$37,0)-IF(AND('Bonding Program'!$R$37&lt;&gt;"",Y$3='Bonding Program'!$R$37),'Bonding Program'!$Q$37,0),0)</f>
        <v>0</v>
      </c>
      <c r="Z178" s="19" t="n">
        <f aca="false">IF(AND('Bonding Program'!$S$37=1,Z$3='Bonding Program'!$H$37),'Bonding Program'!$AA$37,0)-IF(Z$3&lt;='Bonding Program'!$C$8,IF(AND('Bonding Program'!$K$37&lt;&gt;"",Z$3='Bonding Program'!$K$37),'Bonding Program'!$J$37,0)-IF(AND('Bonding Program'!$M$37&lt;&gt;"",Z$3='Bonding Program'!$M$37),'Bonding Program'!$L$37,0)-IF(AND('Bonding Program'!$P$37&lt;&gt;"",Z$3='Bonding Program'!$P$37),'Bonding Program'!$O$37,0)-IF(AND('Bonding Program'!$R$37&lt;&gt;"",Z$3='Bonding Program'!$R$37),'Bonding Program'!$Q$37,0),0)</f>
        <v>0</v>
      </c>
      <c r="AA178" s="19" t="n">
        <f aca="false">IF(AND('Bonding Program'!$S$37=1,AA$3='Bonding Program'!$H$37),'Bonding Program'!$AA$37,0)-IF(AA$3&lt;='Bonding Program'!$C$8,IF(AND('Bonding Program'!$K$37&lt;&gt;"",AA$3='Bonding Program'!$K$37),'Bonding Program'!$J$37,0)-IF(AND('Bonding Program'!$M$37&lt;&gt;"",AA$3='Bonding Program'!$M$37),'Bonding Program'!$L$37,0)-IF(AND('Bonding Program'!$P$37&lt;&gt;"",AA$3='Bonding Program'!$P$37),'Bonding Program'!$O$37,0)-IF(AND('Bonding Program'!$R$37&lt;&gt;"",AA$3='Bonding Program'!$R$37),'Bonding Program'!$Q$37,0),0)</f>
        <v>0</v>
      </c>
      <c r="AB178" s="19" t="n">
        <f aca="false">IF(AND('Bonding Program'!$S$37=1,AB$3='Bonding Program'!$H$37),'Bonding Program'!$AA$37,0)-IF(AB$3&lt;='Bonding Program'!$C$8,IF(AND('Bonding Program'!$K$37&lt;&gt;"",AB$3='Bonding Program'!$K$37),'Bonding Program'!$J$37,0)-IF(AND('Bonding Program'!$M$37&lt;&gt;"",AB$3='Bonding Program'!$M$37),'Bonding Program'!$L$37,0)-IF(AND('Bonding Program'!$P$37&lt;&gt;"",AB$3='Bonding Program'!$P$37),'Bonding Program'!$O$37,0)-IF(AND('Bonding Program'!$R$37&lt;&gt;"",AB$3='Bonding Program'!$R$37),'Bonding Program'!$Q$37,0),0)</f>
        <v>0</v>
      </c>
      <c r="AC178" s="19" t="n">
        <f aca="false">IF(AND('Bonding Program'!$S$37=1,AC$3='Bonding Program'!$H$37),'Bonding Program'!$AA$37,0)-IF(AC$3&lt;='Bonding Program'!$C$8,IF(AND('Bonding Program'!$K$37&lt;&gt;"",AC$3='Bonding Program'!$K$37),'Bonding Program'!$J$37,0)-IF(AND('Bonding Program'!$M$37&lt;&gt;"",AC$3='Bonding Program'!$M$37),'Bonding Program'!$L$37,0)-IF(AND('Bonding Program'!$P$37&lt;&gt;"",AC$3='Bonding Program'!$P$37),'Bonding Program'!$O$37,0)-IF(AND('Bonding Program'!$R$37&lt;&gt;"",AC$3='Bonding Program'!$R$37),'Bonding Program'!$Q$37,0),0)</f>
        <v>0</v>
      </c>
      <c r="AD178" s="19" t="n">
        <f aca="false">IF(AND('Bonding Program'!$S$37=1,AD$3='Bonding Program'!$H$37),'Bonding Program'!$AA$37,0)-IF(AD$3&lt;='Bonding Program'!$C$8,IF(AND('Bonding Program'!$K$37&lt;&gt;"",AD$3='Bonding Program'!$K$37),'Bonding Program'!$J$37,0)-IF(AND('Bonding Program'!$M$37&lt;&gt;"",AD$3='Bonding Program'!$M$37),'Bonding Program'!$L$37,0)-IF(AND('Bonding Program'!$P$37&lt;&gt;"",AD$3='Bonding Program'!$P$37),'Bonding Program'!$O$37,0)-IF(AND('Bonding Program'!$R$37&lt;&gt;"",AD$3='Bonding Program'!$R$37),'Bonding Program'!$Q$37,0),0)</f>
        <v>0</v>
      </c>
      <c r="AE178" s="19" t="n">
        <f aca="false">IF(AND('Bonding Program'!$S$37=1,AE$3='Bonding Program'!$H$37),'Bonding Program'!$AA$37,0)-IF(AE$3&lt;='Bonding Program'!$C$8,IF(AND('Bonding Program'!$K$37&lt;&gt;"",AE$3='Bonding Program'!$K$37),'Bonding Program'!$J$37,0)-IF(AND('Bonding Program'!$M$37&lt;&gt;"",AE$3='Bonding Program'!$M$37),'Bonding Program'!$L$37,0)-IF(AND('Bonding Program'!$P$37&lt;&gt;"",AE$3='Bonding Program'!$P$37),'Bonding Program'!$O$37,0)-IF(AND('Bonding Program'!$R$37&lt;&gt;"",AE$3='Bonding Program'!$R$37),'Bonding Program'!$Q$37,0),0)</f>
        <v>0</v>
      </c>
      <c r="AF178" s="19" t="n">
        <f aca="false">IF(AND('Bonding Program'!$S$37=1,AF$3='Bonding Program'!$H$37),'Bonding Program'!$AA$37,0)-IF(AF$3&lt;='Bonding Program'!$C$8,IF(AND('Bonding Program'!$K$37&lt;&gt;"",AF$3='Bonding Program'!$K$37),'Bonding Program'!$J$37,0)-IF(AND('Bonding Program'!$M$37&lt;&gt;"",AF$3='Bonding Program'!$M$37),'Bonding Program'!$L$37,0)-IF(AND('Bonding Program'!$P$37&lt;&gt;"",AF$3='Bonding Program'!$P$37),'Bonding Program'!$O$37,0)-IF(AND('Bonding Program'!$R$37&lt;&gt;"",AF$3='Bonding Program'!$R$37),'Bonding Program'!$Q$37,0),0)</f>
        <v>0</v>
      </c>
      <c r="AG178" s="19" t="n">
        <f aca="false">IF(AND('Bonding Program'!$S$37=1,AG$3='Bonding Program'!$H$37),'Bonding Program'!$AA$37,0)-IF(AG$3&lt;='Bonding Program'!$C$8,IF(AND('Bonding Program'!$K$37&lt;&gt;"",AG$3='Bonding Program'!$K$37),'Bonding Program'!$J$37,0)-IF(AND('Bonding Program'!$M$37&lt;&gt;"",AG$3='Bonding Program'!$M$37),'Bonding Program'!$L$37,0)-IF(AND('Bonding Program'!$P$37&lt;&gt;"",AG$3='Bonding Program'!$P$37),'Bonding Program'!$O$37,0)-IF(AND('Bonding Program'!$R$37&lt;&gt;"",AG$3='Bonding Program'!$R$37),'Bonding Program'!$Q$37,0),0)</f>
        <v>0</v>
      </c>
      <c r="AH178" s="19" t="n">
        <f aca="false">IF(AND('Bonding Program'!$S$37=1,AH$3='Bonding Program'!$H$37),'Bonding Program'!$AA$37,0)-IF(AH$3&lt;='Bonding Program'!$C$8,IF(AND('Bonding Program'!$K$37&lt;&gt;"",AH$3='Bonding Program'!$K$37),'Bonding Program'!$J$37,0)-IF(AND('Bonding Program'!$M$37&lt;&gt;"",AH$3='Bonding Program'!$M$37),'Bonding Program'!$L$37,0)-IF(AND('Bonding Program'!$P$37&lt;&gt;"",AH$3='Bonding Program'!$P$37),'Bonding Program'!$O$37,0)-IF(AND('Bonding Program'!$R$37&lt;&gt;"",AH$3='Bonding Program'!$R$37),'Bonding Program'!$Q$37,0),0)</f>
        <v>0</v>
      </c>
      <c r="AI178" s="19" t="n">
        <f aca="false">IF(AND('Bonding Program'!$S$37=1,AI$3='Bonding Program'!$H$37),'Bonding Program'!$AA$37,0)-IF(AI$3&lt;='Bonding Program'!$C$8,IF(AND('Bonding Program'!$K$37&lt;&gt;"",AI$3='Bonding Program'!$K$37),'Bonding Program'!$J$37,0)-IF(AND('Bonding Program'!$M$37&lt;&gt;"",AI$3='Bonding Program'!$M$37),'Bonding Program'!$L$37,0)-IF(AND('Bonding Program'!$P$37&lt;&gt;"",AI$3='Bonding Program'!$P$37),'Bonding Program'!$O$37,0)-IF(AND('Bonding Program'!$R$37&lt;&gt;"",AI$3='Bonding Program'!$R$37),'Bonding Program'!$Q$37,0),0)</f>
        <v>0</v>
      </c>
      <c r="AJ178" s="19" t="n">
        <f aca="false">IF(AND('Bonding Program'!$S$37=1,AJ$3='Bonding Program'!$H$37),'Bonding Program'!$AA$37,0)-IF(AJ$3&lt;='Bonding Program'!$C$8,IF(AND('Bonding Program'!$K$37&lt;&gt;"",AJ$3='Bonding Program'!$K$37),'Bonding Program'!$J$37,0)-IF(AND('Bonding Program'!$M$37&lt;&gt;"",AJ$3='Bonding Program'!$M$37),'Bonding Program'!$L$37,0)-IF(AND('Bonding Program'!$P$37&lt;&gt;"",AJ$3='Bonding Program'!$P$37),'Bonding Program'!$O$37,0)-IF(AND('Bonding Program'!$R$37&lt;&gt;"",AJ$3='Bonding Program'!$R$37),'Bonding Program'!$Q$37,0),0)</f>
        <v>0</v>
      </c>
      <c r="AK178" s="19" t="n">
        <f aca="false">IF(AND('Bonding Program'!$S$37=1,AK$3='Bonding Program'!$H$37),'Bonding Program'!$AA$37,0)-IF(AK$3&lt;='Bonding Program'!$C$8,IF(AND('Bonding Program'!$K$37&lt;&gt;"",AK$3='Bonding Program'!$K$37),'Bonding Program'!$J$37,0)-IF(AND('Bonding Program'!$M$37&lt;&gt;"",AK$3='Bonding Program'!$M$37),'Bonding Program'!$L$37,0)-IF(AND('Bonding Program'!$P$37&lt;&gt;"",AK$3='Bonding Program'!$P$37),'Bonding Program'!$O$37,0)-IF(AND('Bonding Program'!$R$37&lt;&gt;"",AK$3='Bonding Program'!$R$37),'Bonding Program'!$Q$37,0),0)</f>
        <v>0</v>
      </c>
      <c r="AL178" s="19" t="n">
        <f aca="false">IF(AND('Bonding Program'!$S$37=1,AL$3='Bonding Program'!$H$37),'Bonding Program'!$AA$37,0)-IF(AL$3&lt;='Bonding Program'!$C$8,IF(AND('Bonding Program'!$K$37&lt;&gt;"",AL$3='Bonding Program'!$K$37),'Bonding Program'!$J$37,0)-IF(AND('Bonding Program'!$M$37&lt;&gt;"",AL$3='Bonding Program'!$M$37),'Bonding Program'!$L$37,0)-IF(AND('Bonding Program'!$P$37&lt;&gt;"",AL$3='Bonding Program'!$P$37),'Bonding Program'!$O$37,0)-IF(AND('Bonding Program'!$R$37&lt;&gt;"",AL$3='Bonding Program'!$R$37),'Bonding Program'!$Q$37,0),0)</f>
        <v>0</v>
      </c>
      <c r="AM178" s="19" t="n">
        <f aca="false">IF(AND('Bonding Program'!$S$37=1,AM$3='Bonding Program'!$H$37),'Bonding Program'!$AA$37,0)-IF(AM$3&lt;='Bonding Program'!$C$8,IF(AND('Bonding Program'!$K$37&lt;&gt;"",AM$3='Bonding Program'!$K$37),'Bonding Program'!$J$37,0)-IF(AND('Bonding Program'!$M$37&lt;&gt;"",AM$3='Bonding Program'!$M$37),'Bonding Program'!$L$37,0)-IF(AND('Bonding Program'!$P$37&lt;&gt;"",AM$3='Bonding Program'!$P$37),'Bonding Program'!$O$37,0)-IF(AND('Bonding Program'!$R$37&lt;&gt;"",AM$3='Bonding Program'!$R$37),'Bonding Program'!$Q$37,0),0)</f>
        <v>0</v>
      </c>
      <c r="AN178" s="19" t="n">
        <f aca="false">IF(AND('Bonding Program'!$S$37=1,AN$3='Bonding Program'!$H$37),'Bonding Program'!$AA$37,0)-IF(AN$3&lt;='Bonding Program'!$C$8,IF(AND('Bonding Program'!$K$37&lt;&gt;"",AN$3='Bonding Program'!$K$37),'Bonding Program'!$J$37,0)-IF(AND('Bonding Program'!$M$37&lt;&gt;"",AN$3='Bonding Program'!$M$37),'Bonding Program'!$L$37,0)-IF(AND('Bonding Program'!$P$37&lt;&gt;"",AN$3='Bonding Program'!$P$37),'Bonding Program'!$O$37,0)-IF(AND('Bonding Program'!$R$37&lt;&gt;"",AN$3='Bonding Program'!$R$37),'Bonding Program'!$Q$37,0),0)</f>
        <v>0</v>
      </c>
      <c r="AO178" s="19" t="n">
        <f aca="false">IF(AND('Bonding Program'!$S$37=1,AO$3='Bonding Program'!$H$37),'Bonding Program'!$AA$37,0)-IF(AO$3&lt;='Bonding Program'!$C$8,IF(AND('Bonding Program'!$K$37&lt;&gt;"",AO$3='Bonding Program'!$K$37),'Bonding Program'!$J$37,0)-IF(AND('Bonding Program'!$M$37&lt;&gt;"",AO$3='Bonding Program'!$M$37),'Bonding Program'!$L$37,0)-IF(AND('Bonding Program'!$P$37&lt;&gt;"",AO$3='Bonding Program'!$P$37),'Bonding Program'!$O$37,0)-IF(AND('Bonding Program'!$R$37&lt;&gt;"",AO$3='Bonding Program'!$R$37),'Bonding Program'!$Q$37,0),0)</f>
        <v>0</v>
      </c>
      <c r="AP178" s="19" t="n">
        <f aca="false">IF(AND('Bonding Program'!$S$37=1,AP$3='Bonding Program'!$H$37),'Bonding Program'!$AA$37,0)-IF(AP$3&lt;='Bonding Program'!$C$8,IF(AND('Bonding Program'!$K$37&lt;&gt;"",AP$3='Bonding Program'!$K$37),'Bonding Program'!$J$37,0)-IF(AND('Bonding Program'!$M$37&lt;&gt;"",AP$3='Bonding Program'!$M$37),'Bonding Program'!$L$37,0)-IF(AND('Bonding Program'!$P$37&lt;&gt;"",AP$3='Bonding Program'!$P$37),'Bonding Program'!$O$37,0)-IF(AND('Bonding Program'!$R$37&lt;&gt;"",AP$3='Bonding Program'!$R$37),'Bonding Program'!$Q$37,0),0)</f>
        <v>0</v>
      </c>
      <c r="AQ178" s="19" t="n">
        <f aca="false">IF(AND('Bonding Program'!$S$37=1,AQ$3='Bonding Program'!$H$37),'Bonding Program'!$AA$37,0)-IF(AQ$3&lt;='Bonding Program'!$C$8,IF(AND('Bonding Program'!$K$37&lt;&gt;"",AQ$3='Bonding Program'!$K$37),'Bonding Program'!$J$37,0)-IF(AND('Bonding Program'!$M$37&lt;&gt;"",AQ$3='Bonding Program'!$M$37),'Bonding Program'!$L$37,0)-IF(AND('Bonding Program'!$P$37&lt;&gt;"",AQ$3='Bonding Program'!$P$37),'Bonding Program'!$O$37,0)-IF(AND('Bonding Program'!$R$37&lt;&gt;"",AQ$3='Bonding Program'!$R$37),'Bonding Program'!$Q$37,0),0)</f>
        <v>0</v>
      </c>
      <c r="AR178" s="19" t="n">
        <f aca="false">IF(AND('Bonding Program'!$S$37=1,AR$3='Bonding Program'!$H$37),'Bonding Program'!$AA$37,0)-IF(AR$3&lt;='Bonding Program'!$C$8,IF(AND('Bonding Program'!$K$37&lt;&gt;"",AR$3='Bonding Program'!$K$37),'Bonding Program'!$J$37,0)-IF(AND('Bonding Program'!$M$37&lt;&gt;"",AR$3='Bonding Program'!$M$37),'Bonding Program'!$L$37,0)-IF(AND('Bonding Program'!$P$37&lt;&gt;"",AR$3='Bonding Program'!$P$37),'Bonding Program'!$O$37,0)-IF(AND('Bonding Program'!$R$37&lt;&gt;"",AR$3='Bonding Program'!$R$37),'Bonding Program'!$Q$37,0),0)</f>
        <v>0</v>
      </c>
      <c r="AS178" s="19" t="n">
        <f aca="false">IF(AND('Bonding Program'!$S$37=1,AS$3='Bonding Program'!$H$37),'Bonding Program'!$AA$37,0)-IF(AS$3&lt;='Bonding Program'!$C$8,IF(AND('Bonding Program'!$K$37&lt;&gt;"",AS$3='Bonding Program'!$K$37),'Bonding Program'!$J$37,0)-IF(AND('Bonding Program'!$M$37&lt;&gt;"",AS$3='Bonding Program'!$M$37),'Bonding Program'!$L$37,0)-IF(AND('Bonding Program'!$P$37&lt;&gt;"",AS$3='Bonding Program'!$P$37),'Bonding Program'!$O$37,0)-IF(AND('Bonding Program'!$R$37&lt;&gt;"",AS$3='Bonding Program'!$R$37),'Bonding Program'!$Q$37,0),0)</f>
        <v>0</v>
      </c>
      <c r="AT178" s="19" t="n">
        <f aca="false">IF(AND('Bonding Program'!$S$37=1,AT$3='Bonding Program'!$H$37),'Bonding Program'!$AA$37,0)-IF(AT$3&lt;='Bonding Program'!$C$8,IF(AND('Bonding Program'!$K$37&lt;&gt;"",AT$3='Bonding Program'!$K$37),'Bonding Program'!$J$37,0)-IF(AND('Bonding Program'!$M$37&lt;&gt;"",AT$3='Bonding Program'!$M$37),'Bonding Program'!$L$37,0)-IF(AND('Bonding Program'!$P$37&lt;&gt;"",AT$3='Bonding Program'!$P$37),'Bonding Program'!$O$37,0)-IF(AND('Bonding Program'!$R$37&lt;&gt;"",AT$3='Bonding Program'!$R$37),'Bonding Program'!$Q$37,0),0)</f>
        <v>0</v>
      </c>
      <c r="AU178" s="19" t="n">
        <f aca="false">IF(AND('Bonding Program'!$S$37=1,AU$3='Bonding Program'!$H$37),'Bonding Program'!$AA$37,0)-IF(AU$3&lt;='Bonding Program'!$C$8,IF(AND('Bonding Program'!$K$37&lt;&gt;"",AU$3='Bonding Program'!$K$37),'Bonding Program'!$J$37,0)-IF(AND('Bonding Program'!$M$37&lt;&gt;"",AU$3='Bonding Program'!$M$37),'Bonding Program'!$L$37,0)-IF(AND('Bonding Program'!$P$37&lt;&gt;"",AU$3='Bonding Program'!$P$37),'Bonding Program'!$O$37,0)-IF(AND('Bonding Program'!$R$37&lt;&gt;"",AU$3='Bonding Program'!$R$37),'Bonding Program'!$Q$37,0),0)</f>
        <v>0</v>
      </c>
      <c r="AV178" s="19" t="n">
        <f aca="false">IF(AND('Bonding Program'!$S$37=1,AV$3='Bonding Program'!$H$37),'Bonding Program'!$AA$37,0)-IF(AV$3&lt;='Bonding Program'!$C$8,IF(AND('Bonding Program'!$K$37&lt;&gt;"",AV$3='Bonding Program'!$K$37),'Bonding Program'!$J$37,0)-IF(AND('Bonding Program'!$M$37&lt;&gt;"",AV$3='Bonding Program'!$M$37),'Bonding Program'!$L$37,0)-IF(AND('Bonding Program'!$P$37&lt;&gt;"",AV$3='Bonding Program'!$P$37),'Bonding Program'!$O$37,0)-IF(AND('Bonding Program'!$R$37&lt;&gt;"",AV$3='Bonding Program'!$R$37),'Bonding Program'!$Q$37,0),0)</f>
        <v>0</v>
      </c>
      <c r="AW178" s="19" t="n">
        <f aca="false">IF(AND('Bonding Program'!$S$37=1,AW$3='Bonding Program'!$H$37),'Bonding Program'!$AA$37,0)-IF(AW$3&lt;='Bonding Program'!$C$8,IF(AND('Bonding Program'!$K$37&lt;&gt;"",AW$3='Bonding Program'!$K$37),'Bonding Program'!$J$37,0)-IF(AND('Bonding Program'!$M$37&lt;&gt;"",AW$3='Bonding Program'!$M$37),'Bonding Program'!$L$37,0)-IF(AND('Bonding Program'!$P$37&lt;&gt;"",AW$3='Bonding Program'!$P$37),'Bonding Program'!$O$37,0)-IF(AND('Bonding Program'!$R$37&lt;&gt;"",AW$3='Bonding Program'!$R$37),'Bonding Program'!$Q$37,0),0)</f>
        <v>0</v>
      </c>
      <c r="AX178" s="19" t="n">
        <f aca="false">IF(AND('Bonding Program'!$S$37=1,AX$3='Bonding Program'!$H$37),'Bonding Program'!$AA$37,0)-IF(AX$3&lt;='Bonding Program'!$C$8,IF(AND('Bonding Program'!$K$37&lt;&gt;"",AX$3='Bonding Program'!$K$37),'Bonding Program'!$J$37,0)-IF(AND('Bonding Program'!$M$37&lt;&gt;"",AX$3='Bonding Program'!$M$37),'Bonding Program'!$L$37,0)-IF(AND('Bonding Program'!$P$37&lt;&gt;"",AX$3='Bonding Program'!$P$37),'Bonding Program'!$O$37,0)-IF(AND('Bonding Program'!$R$37&lt;&gt;"",AX$3='Bonding Program'!$R$37),'Bonding Program'!$Q$37,0),0)</f>
        <v>0</v>
      </c>
      <c r="AY178" s="19" t="n">
        <f aca="false">IF(AND('Bonding Program'!$S$37=1,AY$3='Bonding Program'!$H$37),'Bonding Program'!$AA$37,0)-IF(AY$3&lt;='Bonding Program'!$C$8,IF(AND('Bonding Program'!$K$37&lt;&gt;"",AY$3='Bonding Program'!$K$37),'Bonding Program'!$J$37,0)-IF(AND('Bonding Program'!$M$37&lt;&gt;"",AY$3='Bonding Program'!$M$37),'Bonding Program'!$L$37,0)-IF(AND('Bonding Program'!$P$37&lt;&gt;"",AY$3='Bonding Program'!$P$37),'Bonding Program'!$O$37,0)-IF(AND('Bonding Program'!$R$37&lt;&gt;"",AY$3='Bonding Program'!$R$37),'Bonding Program'!$Q$37,0),0)</f>
        <v>0</v>
      </c>
      <c r="AZ178" s="19" t="n">
        <f aca="false">IF(AND('Bonding Program'!$S$37=1,AZ$3='Bonding Program'!$H$37),'Bonding Program'!$AA$37,0)-IF(AZ$3&lt;='Bonding Program'!$C$8,IF(AND('Bonding Program'!$K$37&lt;&gt;"",AZ$3='Bonding Program'!$K$37),'Bonding Program'!$J$37,0)-IF(AND('Bonding Program'!$M$37&lt;&gt;"",AZ$3='Bonding Program'!$M$37),'Bonding Program'!$L$37,0)-IF(AND('Bonding Program'!$P$37&lt;&gt;"",AZ$3='Bonding Program'!$P$37),'Bonding Program'!$O$37,0)-IF(AND('Bonding Program'!$R$37&lt;&gt;"",AZ$3='Bonding Program'!$R$37),'Bonding Program'!$Q$37,0),0)</f>
        <v>0</v>
      </c>
      <c r="BA178" s="19" t="n">
        <f aca="false">IF(AND('Bonding Program'!$S$37=1,BA$3='Bonding Program'!$H$37),'Bonding Program'!$AA$37,0)-IF(BA$3&lt;='Bonding Program'!$C$8,IF(AND('Bonding Program'!$K$37&lt;&gt;"",BA$3='Bonding Program'!$K$37),'Bonding Program'!$J$37,0)-IF(AND('Bonding Program'!$M$37&lt;&gt;"",BA$3='Bonding Program'!$M$37),'Bonding Program'!$L$37,0)-IF(AND('Bonding Program'!$P$37&lt;&gt;"",BA$3='Bonding Program'!$P$37),'Bonding Program'!$O$37,0)-IF(AND('Bonding Program'!$R$37&lt;&gt;"",BA$3='Bonding Program'!$R$37),'Bonding Program'!$Q$37,0),0)</f>
        <v>0</v>
      </c>
      <c r="BB178" s="19" t="n">
        <f aca="false">IF(AND('Bonding Program'!$S$37=1,BB$3='Bonding Program'!$H$37),'Bonding Program'!$AA$37,0)-IF(BB$3&lt;='Bonding Program'!$C$8,IF(AND('Bonding Program'!$K$37&lt;&gt;"",BB$3='Bonding Program'!$K$37),'Bonding Program'!$J$37,0)-IF(AND('Bonding Program'!$M$37&lt;&gt;"",BB$3='Bonding Program'!$M$37),'Bonding Program'!$L$37,0)-IF(AND('Bonding Program'!$P$37&lt;&gt;"",BB$3='Bonding Program'!$P$37),'Bonding Program'!$O$37,0)-IF(AND('Bonding Program'!$R$37&lt;&gt;"",BB$3='Bonding Program'!$R$37),'Bonding Program'!$Q$37,0),0)</f>
        <v>0</v>
      </c>
      <c r="BC178" s="19" t="n">
        <f aca="false">IF(AND('Bonding Program'!$S$37=1,BC$3='Bonding Program'!$H$37),'Bonding Program'!$AA$37,0)-IF(BC$3&lt;='Bonding Program'!$C$8,IF(AND('Bonding Program'!$K$37&lt;&gt;"",BC$3='Bonding Program'!$K$37),'Bonding Program'!$J$37,0)-IF(AND('Bonding Program'!$M$37&lt;&gt;"",BC$3='Bonding Program'!$M$37),'Bonding Program'!$L$37,0)-IF(AND('Bonding Program'!$P$37&lt;&gt;"",BC$3='Bonding Program'!$P$37),'Bonding Program'!$O$37,0)-IF(AND('Bonding Program'!$R$37&lt;&gt;"",BC$3='Bonding Program'!$R$37),'Bonding Program'!$Q$37,0),0)</f>
        <v>0</v>
      </c>
      <c r="BD178" s="19" t="n">
        <f aca="false">IF(AND('Bonding Program'!$S$37=1,BD$3='Bonding Program'!$H$37),'Bonding Program'!$AA$37,0)-IF(BD$3&lt;='Bonding Program'!$C$8,IF(AND('Bonding Program'!$K$37&lt;&gt;"",BD$3='Bonding Program'!$K$37),'Bonding Program'!$J$37,0)-IF(AND('Bonding Program'!$M$37&lt;&gt;"",BD$3='Bonding Program'!$M$37),'Bonding Program'!$L$37,0)-IF(AND('Bonding Program'!$P$37&lt;&gt;"",BD$3='Bonding Program'!$P$37),'Bonding Program'!$O$37,0)-IF(AND('Bonding Program'!$R$37&lt;&gt;"",BD$3='Bonding Program'!$R$37),'Bonding Program'!$Q$37,0),0)</f>
        <v>0</v>
      </c>
      <c r="BE178" s="19" t="n">
        <f aca="false">IF(AND('Bonding Program'!$S$37=1,BE$3='Bonding Program'!$H$37),'Bonding Program'!$AA$37,0)-IF(BE$3&lt;='Bonding Program'!$C$8,IF(AND('Bonding Program'!$K$37&lt;&gt;"",BE$3='Bonding Program'!$K$37),'Bonding Program'!$J$37,0)-IF(AND('Bonding Program'!$M$37&lt;&gt;"",BE$3='Bonding Program'!$M$37),'Bonding Program'!$L$37,0)-IF(AND('Bonding Program'!$P$37&lt;&gt;"",BE$3='Bonding Program'!$P$37),'Bonding Program'!$O$37,0)-IF(AND('Bonding Program'!$R$37&lt;&gt;"",BE$3='Bonding Program'!$R$37),'Bonding Program'!$Q$37,0),0)</f>
        <v>0</v>
      </c>
      <c r="BF178" s="19" t="n">
        <f aca="false">IF(AND('Bonding Program'!$S$37=1,BF$3='Bonding Program'!$H$37),'Bonding Program'!$AA$37,0)-IF(BF$3&lt;='Bonding Program'!$C$8,IF(AND('Bonding Program'!$K$37&lt;&gt;"",BF$3='Bonding Program'!$K$37),'Bonding Program'!$J$37,0)-IF(AND('Bonding Program'!$M$37&lt;&gt;"",BF$3='Bonding Program'!$M$37),'Bonding Program'!$L$37,0)-IF(AND('Bonding Program'!$P$37&lt;&gt;"",BF$3='Bonding Program'!$P$37),'Bonding Program'!$O$37,0)-IF(AND('Bonding Program'!$R$37&lt;&gt;"",BF$3='Bonding Program'!$R$37),'Bonding Program'!$Q$37,0),0)</f>
        <v>0</v>
      </c>
      <c r="BG178" s="19" t="n">
        <f aca="false">IF(AND('Bonding Program'!$S$37=1,BG$3='Bonding Program'!$H$37),'Bonding Program'!$AA$37,0)-IF(BG$3&lt;='Bonding Program'!$C$8,IF(AND('Bonding Program'!$K$37&lt;&gt;"",BG$3='Bonding Program'!$K$37),'Bonding Program'!$J$37,0)-IF(AND('Bonding Program'!$M$37&lt;&gt;"",BG$3='Bonding Program'!$M$37),'Bonding Program'!$L$37,0)-IF(AND('Bonding Program'!$P$37&lt;&gt;"",BG$3='Bonding Program'!$P$37),'Bonding Program'!$O$37,0)-IF(AND('Bonding Program'!$R$37&lt;&gt;"",BG$3='Bonding Program'!$R$37),'Bonding Program'!$Q$37,0),0)</f>
        <v>0</v>
      </c>
      <c r="BH178" s="19" t="n">
        <f aca="false">IF(AND('Bonding Program'!$S$37=1,BH$3='Bonding Program'!$H$37),'Bonding Program'!$AA$37,0)-IF(BH$3&lt;='Bonding Program'!$C$8,IF(AND('Bonding Program'!$K$37&lt;&gt;"",BH$3='Bonding Program'!$K$37),'Bonding Program'!$J$37,0)-IF(AND('Bonding Program'!$M$37&lt;&gt;"",BH$3='Bonding Program'!$M$37),'Bonding Program'!$L$37,0)-IF(AND('Bonding Program'!$P$37&lt;&gt;"",BH$3='Bonding Program'!$P$37),'Bonding Program'!$O$37,0)-IF(AND('Bonding Program'!$R$37&lt;&gt;"",BH$3='Bonding Program'!$R$37),'Bonding Program'!$Q$37,0),0)</f>
        <v>0</v>
      </c>
      <c r="BI178" s="19" t="n">
        <f aca="false">IF(AND('Bonding Program'!$S$37=1,BI$3='Bonding Program'!$H$37),'Bonding Program'!$AA$37,0)-IF(BI$3&lt;='Bonding Program'!$C$8,IF(AND('Bonding Program'!$K$37&lt;&gt;"",BI$3='Bonding Program'!$K$37),'Bonding Program'!$J$37,0)-IF(AND('Bonding Program'!$M$37&lt;&gt;"",BI$3='Bonding Program'!$M$37),'Bonding Program'!$L$37,0)-IF(AND('Bonding Program'!$P$37&lt;&gt;"",BI$3='Bonding Program'!$P$37),'Bonding Program'!$O$37,0)-IF(AND('Bonding Program'!$R$37&lt;&gt;"",BI$3='Bonding Program'!$R$37),'Bonding Program'!$Q$37,0),0)</f>
        <v>0</v>
      </c>
      <c r="BJ178" s="19" t="n">
        <f aca="false">IF(AND('Bonding Program'!$S$37=1,BJ$3='Bonding Program'!$H$37),'Bonding Program'!$AA$37,0)-IF(BJ$3&lt;='Bonding Program'!$C$8,IF(AND('Bonding Program'!$K$37&lt;&gt;"",BJ$3='Bonding Program'!$K$37),'Bonding Program'!$J$37,0)-IF(AND('Bonding Program'!$M$37&lt;&gt;"",BJ$3='Bonding Program'!$M$37),'Bonding Program'!$L$37,0)-IF(AND('Bonding Program'!$P$37&lt;&gt;"",BJ$3='Bonding Program'!$P$37),'Bonding Program'!$O$37,0)-IF(AND('Bonding Program'!$R$37&lt;&gt;"",BJ$3='Bonding Program'!$R$37),'Bonding Program'!$Q$37,0),0)</f>
        <v>0</v>
      </c>
      <c r="BK178" s="19" t="n">
        <f aca="false">IF(AND('Bonding Program'!$S$37=1,BK$3='Bonding Program'!$H$37),'Bonding Program'!$AA$37,0)-IF(BK$3&lt;='Bonding Program'!$C$8,IF(AND('Bonding Program'!$K$37&lt;&gt;"",BK$3='Bonding Program'!$K$37),'Bonding Program'!$J$37,0)-IF(AND('Bonding Program'!$M$37&lt;&gt;"",BK$3='Bonding Program'!$M$37),'Bonding Program'!$L$37,0)-IF(AND('Bonding Program'!$P$37&lt;&gt;"",BK$3='Bonding Program'!$P$37),'Bonding Program'!$O$37,0)-IF(AND('Bonding Program'!$R$37&lt;&gt;"",BK$3='Bonding Program'!$R$37),'Bonding Program'!$Q$37,0),0)</f>
        <v>0</v>
      </c>
      <c r="BL178" s="19" t="n">
        <f aca="false">IF(AND('Bonding Program'!$S$37=1,BL$3='Bonding Program'!$H$37),'Bonding Program'!$AA$37,0)-IF(BL$3&lt;='Bonding Program'!$C$8,IF(AND('Bonding Program'!$K$37&lt;&gt;"",BL$3='Bonding Program'!$K$37),'Bonding Program'!$J$37,0)-IF(AND('Bonding Program'!$M$37&lt;&gt;"",BL$3='Bonding Program'!$M$37),'Bonding Program'!$L$37,0)-IF(AND('Bonding Program'!$P$37&lt;&gt;"",BL$3='Bonding Program'!$P$37),'Bonding Program'!$O$37,0)-IF(AND('Bonding Program'!$R$37&lt;&gt;"",BL$3='Bonding Program'!$R$37),'Bonding Program'!$Q$37,0),0)</f>
        <v>0</v>
      </c>
      <c r="BM178" s="19" t="n">
        <f aca="false">IF(AND('Bonding Program'!$S$37=1,BM$3='Bonding Program'!$H$37),'Bonding Program'!$AA$37,0)-IF(BM$3&lt;='Bonding Program'!$C$8,IF(AND('Bonding Program'!$K$37&lt;&gt;"",BM$3='Bonding Program'!$K$37),'Bonding Program'!$J$37,0)-IF(AND('Bonding Program'!$M$37&lt;&gt;"",BM$3='Bonding Program'!$M$37),'Bonding Program'!$L$37,0)-IF(AND('Bonding Program'!$P$37&lt;&gt;"",BM$3='Bonding Program'!$P$37),'Bonding Program'!$O$37,0)-IF(AND('Bonding Program'!$R$37&lt;&gt;"",BM$3='Bonding Program'!$R$37),'Bonding Program'!$Q$37,0),0)</f>
        <v>0</v>
      </c>
      <c r="BN178" s="19" t="n">
        <f aca="false">IF(AND('Bonding Program'!$S$37=1,BN$3='Bonding Program'!$H$37),'Bonding Program'!$AA$37,0)-IF(BN$3&lt;='Bonding Program'!$C$8,IF(AND('Bonding Program'!$K$37&lt;&gt;"",BN$3='Bonding Program'!$K$37),'Bonding Program'!$J$37,0)-IF(AND('Bonding Program'!$M$37&lt;&gt;"",BN$3='Bonding Program'!$M$37),'Bonding Program'!$L$37,0)-IF(AND('Bonding Program'!$P$37&lt;&gt;"",BN$3='Bonding Program'!$P$37),'Bonding Program'!$O$37,0)-IF(AND('Bonding Program'!$R$37&lt;&gt;"",BN$3='Bonding Program'!$R$37),'Bonding Program'!$Q$37,0),0)</f>
        <v>0</v>
      </c>
      <c r="BO178" s="19" t="n">
        <f aca="false">IF(AND('Bonding Program'!$S$37=1,BO$3='Bonding Program'!$H$37),'Bonding Program'!$AA$37,0)-IF(BO$3&lt;='Bonding Program'!$C$8,IF(AND('Bonding Program'!$K$37&lt;&gt;"",BO$3='Bonding Program'!$K$37),'Bonding Program'!$J$37,0)-IF(AND('Bonding Program'!$M$37&lt;&gt;"",BO$3='Bonding Program'!$M$37),'Bonding Program'!$L$37,0)-IF(AND('Bonding Program'!$P$37&lt;&gt;"",BO$3='Bonding Program'!$P$37),'Bonding Program'!$O$37,0)-IF(AND('Bonding Program'!$R$37&lt;&gt;"",BO$3='Bonding Program'!$R$37),'Bonding Program'!$Q$37,0),0)</f>
        <v>0</v>
      </c>
      <c r="BP178" s="19" t="n">
        <f aca="false">IF(AND('Bonding Program'!$S$37=1,BP$3='Bonding Program'!$H$37),'Bonding Program'!$AA$37,0)-IF(BP$3&lt;='Bonding Program'!$C$8,IF(AND('Bonding Program'!$K$37&lt;&gt;"",BP$3='Bonding Program'!$K$37),'Bonding Program'!$J$37,0)-IF(AND('Bonding Program'!$M$37&lt;&gt;"",BP$3='Bonding Program'!$M$37),'Bonding Program'!$L$37,0)-IF(AND('Bonding Program'!$P$37&lt;&gt;"",BP$3='Bonding Program'!$P$37),'Bonding Program'!$O$37,0)-IF(AND('Bonding Program'!$R$37&lt;&gt;"",BP$3='Bonding Program'!$R$37),'Bonding Program'!$Q$37,0),0)</f>
        <v>0</v>
      </c>
      <c r="BQ178" s="19" t="n">
        <f aca="false">IF(AND('Bonding Program'!$S$37=1,BQ$3='Bonding Program'!$H$37),'Bonding Program'!$AA$37,0)-IF(BQ$3&lt;='Bonding Program'!$C$8,IF(AND('Bonding Program'!$K$37&lt;&gt;"",BQ$3='Bonding Program'!$K$37),'Bonding Program'!$J$37,0)-IF(AND('Bonding Program'!$M$37&lt;&gt;"",BQ$3='Bonding Program'!$M$37),'Bonding Program'!$L$37,0)-IF(AND('Bonding Program'!$P$37&lt;&gt;"",BQ$3='Bonding Program'!$P$37),'Bonding Program'!$O$37,0)-IF(AND('Bonding Program'!$R$37&lt;&gt;"",BQ$3='Bonding Program'!$R$37),'Bonding Program'!$Q$37,0),0)</f>
        <v>0</v>
      </c>
      <c r="BR178" s="19" t="n">
        <f aca="false">IF(AND('Bonding Program'!$S$37=1,BR$3='Bonding Program'!$H$37),'Bonding Program'!$AA$37,0)-IF(BR$3&lt;='Bonding Program'!$C$8,IF(AND('Bonding Program'!$K$37&lt;&gt;"",BR$3='Bonding Program'!$K$37),'Bonding Program'!$J$37,0)-IF(AND('Bonding Program'!$M$37&lt;&gt;"",BR$3='Bonding Program'!$M$37),'Bonding Program'!$L$37,0)-IF(AND('Bonding Program'!$P$37&lt;&gt;"",BR$3='Bonding Program'!$P$37),'Bonding Program'!$O$37,0)-IF(AND('Bonding Program'!$R$37&lt;&gt;"",BR$3='Bonding Program'!$R$37),'Bonding Program'!$Q$37,0),0)</f>
        <v>0</v>
      </c>
      <c r="BS178" s="19" t="n">
        <f aca="false">IF(AND('Bonding Program'!$S$37=1,BS$3='Bonding Program'!$H$37),'Bonding Program'!$AA$37,0)-IF(BS$3&lt;='Bonding Program'!$C$8,IF(AND('Bonding Program'!$K$37&lt;&gt;"",BS$3='Bonding Program'!$K$37),'Bonding Program'!$J$37,0)-IF(AND('Bonding Program'!$M$37&lt;&gt;"",BS$3='Bonding Program'!$M$37),'Bonding Program'!$L$37,0)-IF(AND('Bonding Program'!$P$37&lt;&gt;"",BS$3='Bonding Program'!$P$37),'Bonding Program'!$O$37,0)-IF(AND('Bonding Program'!$R$37&lt;&gt;"",BS$3='Bonding Program'!$R$37),'Bonding Program'!$Q$37,0),0)</f>
        <v>0</v>
      </c>
      <c r="BT178" s="19" t="n">
        <f aca="false">IF(AND('Bonding Program'!$S$37=1,BT$3='Bonding Program'!$H$37),'Bonding Program'!$AA$37,0)-IF(BT$3&lt;='Bonding Program'!$C$8,IF(AND('Bonding Program'!$K$37&lt;&gt;"",BT$3='Bonding Program'!$K$37),'Bonding Program'!$J$37,0)-IF(AND('Bonding Program'!$M$37&lt;&gt;"",BT$3='Bonding Program'!$M$37),'Bonding Program'!$L$37,0)-IF(AND('Bonding Program'!$P$37&lt;&gt;"",BT$3='Bonding Program'!$P$37),'Bonding Program'!$O$37,0)-IF(AND('Bonding Program'!$R$37&lt;&gt;"",BT$3='Bonding Program'!$R$37),'Bonding Program'!$Q$37,0),0)</f>
        <v>0</v>
      </c>
      <c r="BU178" s="19" t="n">
        <f aca="false">IF(AND('Bonding Program'!$S$37=1,BU$3='Bonding Program'!$H$37),'Bonding Program'!$AA$37,0)-IF(BU$3&lt;='Bonding Program'!$C$8,IF(AND('Bonding Program'!$K$37&lt;&gt;"",BU$3='Bonding Program'!$K$37),'Bonding Program'!$J$37,0)-IF(AND('Bonding Program'!$M$37&lt;&gt;"",BU$3='Bonding Program'!$M$37),'Bonding Program'!$L$37,0)-IF(AND('Bonding Program'!$P$37&lt;&gt;"",BU$3='Bonding Program'!$P$37),'Bonding Program'!$O$37,0)-IF(AND('Bonding Program'!$R$37&lt;&gt;"",BU$3='Bonding Program'!$R$37),'Bonding Program'!$Q$37,0),0)</f>
        <v>0</v>
      </c>
      <c r="BV178" s="19" t="n">
        <f aca="false">IF(AND('Bonding Program'!$S$37=1,BV$3='Bonding Program'!$H$37),'Bonding Program'!$AA$37,0)-IF(BV$3&lt;='Bonding Program'!$C$8,IF(AND('Bonding Program'!$K$37&lt;&gt;"",BV$3='Bonding Program'!$K$37),'Bonding Program'!$J$37,0)-IF(AND('Bonding Program'!$M$37&lt;&gt;"",BV$3='Bonding Program'!$M$37),'Bonding Program'!$L$37,0)-IF(AND('Bonding Program'!$P$37&lt;&gt;"",BV$3='Bonding Program'!$P$37),'Bonding Program'!$O$37,0)-IF(AND('Bonding Program'!$R$37&lt;&gt;"",BV$3='Bonding Program'!$R$37),'Bonding Program'!$Q$37,0),0)</f>
        <v>0</v>
      </c>
      <c r="BW178" s="19" t="n">
        <f aca="false">IF(AND('Bonding Program'!$S$37=1,BW$3='Bonding Program'!$H$37),'Bonding Program'!$AA$37,0)-IF(BW$3&lt;='Bonding Program'!$C$8,IF(AND('Bonding Program'!$K$37&lt;&gt;"",BW$3='Bonding Program'!$K$37),'Bonding Program'!$J$37,0)-IF(AND('Bonding Program'!$M$37&lt;&gt;"",BW$3='Bonding Program'!$M$37),'Bonding Program'!$L$37,0)-IF(AND('Bonding Program'!$P$37&lt;&gt;"",BW$3='Bonding Program'!$P$37),'Bonding Program'!$O$37,0)-IF(AND('Bonding Program'!$R$37&lt;&gt;"",BW$3='Bonding Program'!$R$37),'Bonding Program'!$Q$37,0),0)</f>
        <v>0</v>
      </c>
      <c r="BX178" s="19" t="n">
        <f aca="false">IF(AND('Bonding Program'!$S$37=1,BX$3='Bonding Program'!$H$37),'Bonding Program'!$AA$37,0)-IF(BX$3&lt;='Bonding Program'!$C$8,IF(AND('Bonding Program'!$K$37&lt;&gt;"",BX$3='Bonding Program'!$K$37),'Bonding Program'!$J$37,0)-IF(AND('Bonding Program'!$M$37&lt;&gt;"",BX$3='Bonding Program'!$M$37),'Bonding Program'!$L$37,0)-IF(AND('Bonding Program'!$P$37&lt;&gt;"",BX$3='Bonding Program'!$P$37),'Bonding Program'!$O$37,0)-IF(AND('Bonding Program'!$R$37&lt;&gt;"",BX$3='Bonding Program'!$R$37),'Bonding Program'!$Q$37,0),0)</f>
        <v>0</v>
      </c>
      <c r="BY178" s="19" t="n">
        <f aca="false">IF(AND('Bonding Program'!$S$37=1,BY$3='Bonding Program'!$H$37),'Bonding Program'!$AA$37,0)-IF(BY$3&lt;='Bonding Program'!$C$8,IF(AND('Bonding Program'!$K$37&lt;&gt;"",BY$3='Bonding Program'!$K$37),'Bonding Program'!$J$37,0)-IF(AND('Bonding Program'!$M$37&lt;&gt;"",BY$3='Bonding Program'!$M$37),'Bonding Program'!$L$37,0)-IF(AND('Bonding Program'!$P$37&lt;&gt;"",BY$3='Bonding Program'!$P$37),'Bonding Program'!$O$37,0)-IF(AND('Bonding Program'!$R$37&lt;&gt;"",BY$3='Bonding Program'!$R$37),'Bonding Program'!$Q$37,0),0)</f>
        <v>0</v>
      </c>
      <c r="BZ178" s="19" t="n">
        <f aca="false">IF(AND('Bonding Program'!$S$37=1,BZ$3='Bonding Program'!$H$37),'Bonding Program'!$AA$37,0)-IF(BZ$3&lt;='Bonding Program'!$C$8,IF(AND('Bonding Program'!$K$37&lt;&gt;"",BZ$3='Bonding Program'!$K$37),'Bonding Program'!$J$37,0)-IF(AND('Bonding Program'!$M$37&lt;&gt;"",BZ$3='Bonding Program'!$M$37),'Bonding Program'!$L$37,0)-IF(AND('Bonding Program'!$P$37&lt;&gt;"",BZ$3='Bonding Program'!$P$37),'Bonding Program'!$O$37,0)-IF(AND('Bonding Program'!$R$37&lt;&gt;"",BZ$3='Bonding Program'!$R$37),'Bonding Program'!$Q$37,0),0)</f>
        <v>0</v>
      </c>
      <c r="CA178" s="19" t="n">
        <f aca="false">IF(AND('Bonding Program'!$S$37=1,CA$3='Bonding Program'!$H$37),'Bonding Program'!$AA$37,0)-IF(CA$3&lt;='Bonding Program'!$C$8,IF(AND('Bonding Program'!$K$37&lt;&gt;"",CA$3='Bonding Program'!$K$37),'Bonding Program'!$J$37,0)-IF(AND('Bonding Program'!$M$37&lt;&gt;"",CA$3='Bonding Program'!$M$37),'Bonding Program'!$L$37,0)-IF(AND('Bonding Program'!$P$37&lt;&gt;"",CA$3='Bonding Program'!$P$37),'Bonding Program'!$O$37,0)-IF(AND('Bonding Program'!$R$37&lt;&gt;"",CA$3='Bonding Program'!$R$37),'Bonding Program'!$Q$37,0),0)</f>
        <v>0</v>
      </c>
      <c r="CB178" s="19" t="n">
        <f aca="false">IF(AND('Bonding Program'!$S$37=1,CB$3='Bonding Program'!$H$37),'Bonding Program'!$AA$37,0)-IF(CB$3&lt;='Bonding Program'!$C$8,IF(AND('Bonding Program'!$K$37&lt;&gt;"",CB$3='Bonding Program'!$K$37),'Bonding Program'!$J$37,0)-IF(AND('Bonding Program'!$M$37&lt;&gt;"",CB$3='Bonding Program'!$M$37),'Bonding Program'!$L$37,0)-IF(AND('Bonding Program'!$P$37&lt;&gt;"",CB$3='Bonding Program'!$P$37),'Bonding Program'!$O$37,0)-IF(AND('Bonding Program'!$R$37&lt;&gt;"",CB$3='Bonding Program'!$R$37),'Bonding Program'!$Q$37,0),0)</f>
        <v>0</v>
      </c>
      <c r="CC178" s="19" t="n">
        <f aca="false">IF(AND('Bonding Program'!$S$37=1,CC$3='Bonding Program'!$H$37),'Bonding Program'!$AA$37,0)-IF(CC$3&lt;='Bonding Program'!$C$8,IF(AND('Bonding Program'!$K$37&lt;&gt;"",CC$3='Bonding Program'!$K$37),'Bonding Program'!$J$37,0)-IF(AND('Bonding Program'!$M$37&lt;&gt;"",CC$3='Bonding Program'!$M$37),'Bonding Program'!$L$37,0)-IF(AND('Bonding Program'!$P$37&lt;&gt;"",CC$3='Bonding Program'!$P$37),'Bonding Program'!$O$37,0)-IF(AND('Bonding Program'!$R$37&lt;&gt;"",CC$3='Bonding Program'!$R$37),'Bonding Program'!$Q$37,0),0)</f>
        <v>0</v>
      </c>
      <c r="CD178" s="19" t="n">
        <f aca="false">IF(AND('Bonding Program'!$S$37=1,CD$3='Bonding Program'!$H$37),'Bonding Program'!$AA$37,0)-IF(CD$3&lt;='Bonding Program'!$C$8,IF(AND('Bonding Program'!$K$37&lt;&gt;"",CD$3='Bonding Program'!$K$37),'Bonding Program'!$J$37,0)-IF(AND('Bonding Program'!$M$37&lt;&gt;"",CD$3='Bonding Program'!$M$37),'Bonding Program'!$L$37,0)-IF(AND('Bonding Program'!$P$37&lt;&gt;"",CD$3='Bonding Program'!$P$37),'Bonding Program'!$O$37,0)-IF(AND('Bonding Program'!$R$37&lt;&gt;"",CD$3='Bonding Program'!$R$37),'Bonding Program'!$Q$37,0),0)</f>
        <v>0</v>
      </c>
      <c r="CE178" s="19" t="n">
        <f aca="false">IF(AND('Bonding Program'!$S$37=1,CE$3='Bonding Program'!$H$37),'Bonding Program'!$AA$37,0)-IF(CE$3&lt;='Bonding Program'!$C$8,IF(AND('Bonding Program'!$K$37&lt;&gt;"",CE$3='Bonding Program'!$K$37),'Bonding Program'!$J$37,0)-IF(AND('Bonding Program'!$M$37&lt;&gt;"",CE$3='Bonding Program'!$M$37),'Bonding Program'!$L$37,0)-IF(AND('Bonding Program'!$P$37&lt;&gt;"",CE$3='Bonding Program'!$P$37),'Bonding Program'!$O$37,0)-IF(AND('Bonding Program'!$R$37&lt;&gt;"",CE$3='Bonding Program'!$R$37),'Bonding Program'!$Q$37,0),0)</f>
        <v>0</v>
      </c>
      <c r="CF178" s="19" t="n">
        <f aca="false">IF(AND('Bonding Program'!$S$37=1,CF$3='Bonding Program'!$H$37),'Bonding Program'!$AA$37,0)-IF(CF$3&lt;='Bonding Program'!$C$8,IF(AND('Bonding Program'!$K$37&lt;&gt;"",CF$3='Bonding Program'!$K$37),'Bonding Program'!$J$37,0)-IF(AND('Bonding Program'!$M$37&lt;&gt;"",CF$3='Bonding Program'!$M$37),'Bonding Program'!$L$37,0)-IF(AND('Bonding Program'!$P$37&lt;&gt;"",CF$3='Bonding Program'!$P$37),'Bonding Program'!$O$37,0)-IF(AND('Bonding Program'!$R$37&lt;&gt;"",CF$3='Bonding Program'!$R$37),'Bonding Program'!$Q$37,0),0)</f>
        <v>0</v>
      </c>
      <c r="CG178" s="19" t="n">
        <f aca="false">IF(AND('Bonding Program'!$S$37=1,CG$3='Bonding Program'!$H$37),'Bonding Program'!$AA$37,0)-IF(CG$3&lt;='Bonding Program'!$C$8,IF(AND('Bonding Program'!$K$37&lt;&gt;"",CG$3='Bonding Program'!$K$37),'Bonding Program'!$J$37,0)-IF(AND('Bonding Program'!$M$37&lt;&gt;"",CG$3='Bonding Program'!$M$37),'Bonding Program'!$L$37,0)-IF(AND('Bonding Program'!$P$37&lt;&gt;"",CG$3='Bonding Program'!$P$37),'Bonding Program'!$O$37,0)-IF(AND('Bonding Program'!$R$37&lt;&gt;"",CG$3='Bonding Program'!$R$37),'Bonding Program'!$Q$37,0),0)</f>
        <v>0</v>
      </c>
      <c r="CH178" s="19" t="n">
        <f aca="false">IF(AND('Bonding Program'!$S$37=1,CH$3='Bonding Program'!$H$37),'Bonding Program'!$AA$37,0)-IF(CH$3&lt;='Bonding Program'!$C$8,IF(AND('Bonding Program'!$K$37&lt;&gt;"",CH$3='Bonding Program'!$K$37),'Bonding Program'!$J$37,0)-IF(AND('Bonding Program'!$M$37&lt;&gt;"",CH$3='Bonding Program'!$M$37),'Bonding Program'!$L$37,0)-IF(AND('Bonding Program'!$P$37&lt;&gt;"",CH$3='Bonding Program'!$P$37),'Bonding Program'!$O$37,0)-IF(AND('Bonding Program'!$R$37&lt;&gt;"",CH$3='Bonding Program'!$R$37),'Bonding Program'!$Q$37,0),0)</f>
        <v>0</v>
      </c>
      <c r="CI178" s="19" t="n">
        <f aca="false">IF(AND('Bonding Program'!$S$37=1,CI$3='Bonding Program'!$H$37),'Bonding Program'!$AA$37,0)-IF(CI$3&lt;='Bonding Program'!$C$8,IF(AND('Bonding Program'!$K$37&lt;&gt;"",CI$3='Bonding Program'!$K$37),'Bonding Program'!$J$37,0)-IF(AND('Bonding Program'!$M$37&lt;&gt;"",CI$3='Bonding Program'!$M$37),'Bonding Program'!$L$37,0)-IF(AND('Bonding Program'!$P$37&lt;&gt;"",CI$3='Bonding Program'!$P$37),'Bonding Program'!$O$37,0)-IF(AND('Bonding Program'!$R$37&lt;&gt;"",CI$3='Bonding Program'!$R$37),'Bonding Program'!$Q$37,0),0)</f>
        <v>0</v>
      </c>
      <c r="CJ178" s="19" t="n">
        <f aca="false">IF(AND('Bonding Program'!$S$37=1,CJ$3='Bonding Program'!$H$37),'Bonding Program'!$AA$37,0)-IF(CJ$3&lt;='Bonding Program'!$C$8,IF(AND('Bonding Program'!$K$37&lt;&gt;"",CJ$3='Bonding Program'!$K$37),'Bonding Program'!$J$37,0)-IF(AND('Bonding Program'!$M$37&lt;&gt;"",CJ$3='Bonding Program'!$M$37),'Bonding Program'!$L$37,0)-IF(AND('Bonding Program'!$P$37&lt;&gt;"",CJ$3='Bonding Program'!$P$37),'Bonding Program'!$O$37,0)-IF(AND('Bonding Program'!$R$37&lt;&gt;"",CJ$3='Bonding Program'!$R$37),'Bonding Program'!$Q$37,0),0)</f>
        <v>0</v>
      </c>
      <c r="CK178" s="19" t="n">
        <f aca="false">IF(AND('Bonding Program'!$S$37=1,CK$3='Bonding Program'!$H$37),'Bonding Program'!$AA$37,0)-IF(CK$3&lt;='Bonding Program'!$C$8,IF(AND('Bonding Program'!$K$37&lt;&gt;"",CK$3='Bonding Program'!$K$37),'Bonding Program'!$J$37,0)-IF(AND('Bonding Program'!$M$37&lt;&gt;"",CK$3='Bonding Program'!$M$37),'Bonding Program'!$L$37,0)-IF(AND('Bonding Program'!$P$37&lt;&gt;"",CK$3='Bonding Program'!$P$37),'Bonding Program'!$O$37,0)-IF(AND('Bonding Program'!$R$37&lt;&gt;"",CK$3='Bonding Program'!$R$37),'Bonding Program'!$Q$37,0),0)</f>
        <v>0</v>
      </c>
      <c r="CL178" s="19" t="n">
        <f aca="false">IF(AND('Bonding Program'!$S$37=1,CL$3='Bonding Program'!$H$37),'Bonding Program'!$AA$37,0)-IF(CL$3&lt;='Bonding Program'!$C$8,IF(AND('Bonding Program'!$K$37&lt;&gt;"",CL$3='Bonding Program'!$K$37),'Bonding Program'!$J$37,0)-IF(AND('Bonding Program'!$M$37&lt;&gt;"",CL$3='Bonding Program'!$M$37),'Bonding Program'!$L$37,0)-IF(AND('Bonding Program'!$P$37&lt;&gt;"",CL$3='Bonding Program'!$P$37),'Bonding Program'!$O$37,0)-IF(AND('Bonding Program'!$R$37&lt;&gt;"",CL$3='Bonding Program'!$R$37),'Bonding Program'!$Q$37,0),0)</f>
        <v>0</v>
      </c>
      <c r="CM178" s="19" t="n">
        <f aca="false">IF(AND('Bonding Program'!$S$37=1,CM$3='Bonding Program'!$H$37),'Bonding Program'!$AA$37,0)-IF(CM$3&lt;='Bonding Program'!$C$8,IF(AND('Bonding Program'!$K$37&lt;&gt;"",CM$3='Bonding Program'!$K$37),'Bonding Program'!$J$37,0)-IF(AND('Bonding Program'!$M$37&lt;&gt;"",CM$3='Bonding Program'!$M$37),'Bonding Program'!$L$37,0)-IF(AND('Bonding Program'!$P$37&lt;&gt;"",CM$3='Bonding Program'!$P$37),'Bonding Program'!$O$37,0)-IF(AND('Bonding Program'!$R$37&lt;&gt;"",CM$3='Bonding Program'!$R$37),'Bonding Program'!$Q$37,0),0)</f>
        <v>0</v>
      </c>
      <c r="CN178" s="19" t="n">
        <f aca="false">IF(AND('Bonding Program'!$S$37=1,CN$3='Bonding Program'!$H$37),'Bonding Program'!$AA$37,0)-IF(CN$3&lt;='Bonding Program'!$C$8,IF(AND('Bonding Program'!$K$37&lt;&gt;"",CN$3='Bonding Program'!$K$37),'Bonding Program'!$J$37,0)-IF(AND('Bonding Program'!$M$37&lt;&gt;"",CN$3='Bonding Program'!$M$37),'Bonding Program'!$L$37,0)-IF(AND('Bonding Program'!$P$37&lt;&gt;"",CN$3='Bonding Program'!$P$37),'Bonding Program'!$O$37,0)-IF(AND('Bonding Program'!$R$37&lt;&gt;"",CN$3='Bonding Program'!$R$37),'Bonding Program'!$Q$37,0),0)</f>
        <v>0</v>
      </c>
      <c r="CO178" s="19" t="n">
        <f aca="false">IF(AND('Bonding Program'!$S$37=1,CO$3='Bonding Program'!$H$37),'Bonding Program'!$AA$37,0)-IF(CO$3&lt;='Bonding Program'!$C$8,IF(AND('Bonding Program'!$K$37&lt;&gt;"",CO$3='Bonding Program'!$K$37),'Bonding Program'!$J$37,0)-IF(AND('Bonding Program'!$M$37&lt;&gt;"",CO$3='Bonding Program'!$M$37),'Bonding Program'!$L$37,0)-IF(AND('Bonding Program'!$P$37&lt;&gt;"",CO$3='Bonding Program'!$P$37),'Bonding Program'!$O$37,0)-IF(AND('Bonding Program'!$R$37&lt;&gt;"",CO$3='Bonding Program'!$R$37),'Bonding Program'!$Q$37,0),0)</f>
        <v>0</v>
      </c>
      <c r="CP178" s="19" t="n">
        <f aca="false">IF(AND('Bonding Program'!$S$37=1,CP$3='Bonding Program'!$H$37),'Bonding Program'!$AA$37,0)-IF(CP$3&lt;='Bonding Program'!$C$8,IF(AND('Bonding Program'!$K$37&lt;&gt;"",CP$3='Bonding Program'!$K$37),'Bonding Program'!$J$37,0)-IF(AND('Bonding Program'!$M$37&lt;&gt;"",CP$3='Bonding Program'!$M$37),'Bonding Program'!$L$37,0)-IF(AND('Bonding Program'!$P$37&lt;&gt;"",CP$3='Bonding Program'!$P$37),'Bonding Program'!$O$37,0)-IF(AND('Bonding Program'!$R$37&lt;&gt;"",CP$3='Bonding Program'!$R$37),'Bonding Program'!$Q$37,0),0)</f>
        <v>0</v>
      </c>
      <c r="CQ178" s="19" t="n">
        <f aca="false">IF(AND('Bonding Program'!$S$37=1,CQ$3='Bonding Program'!$H$37),'Bonding Program'!$AA$37,0)-IF(CQ$3&lt;='Bonding Program'!$C$8,IF(AND('Bonding Program'!$K$37&lt;&gt;"",CQ$3='Bonding Program'!$K$37),'Bonding Program'!$J$37,0)-IF(AND('Bonding Program'!$M$37&lt;&gt;"",CQ$3='Bonding Program'!$M$37),'Bonding Program'!$L$37,0)-IF(AND('Bonding Program'!$P$37&lt;&gt;"",CQ$3='Bonding Program'!$P$37),'Bonding Program'!$O$37,0)-IF(AND('Bonding Program'!$R$37&lt;&gt;"",CQ$3='Bonding Program'!$R$37),'Bonding Program'!$Q$37,0),0)</f>
        <v>0</v>
      </c>
      <c r="CR178" s="19" t="n">
        <f aca="false">IF(AND('Bonding Program'!$S$37=1,CR$3='Bonding Program'!$H$37),'Bonding Program'!$AA$37,0)-IF(CR$3&lt;='Bonding Program'!$C$8,IF(AND('Bonding Program'!$K$37&lt;&gt;"",CR$3='Bonding Program'!$K$37),'Bonding Program'!$J$37,0)-IF(AND('Bonding Program'!$M$37&lt;&gt;"",CR$3='Bonding Program'!$M$37),'Bonding Program'!$L$37,0)-IF(AND('Bonding Program'!$P$37&lt;&gt;"",CR$3='Bonding Program'!$P$37),'Bonding Program'!$O$37,0)-IF(AND('Bonding Program'!$R$37&lt;&gt;"",CR$3='Bonding Program'!$R$37),'Bonding Program'!$Q$37,0),0)</f>
        <v>0</v>
      </c>
      <c r="CS178" s="19" t="n">
        <f aca="false">IF(AND('Bonding Program'!$S$37=1,CS$3='Bonding Program'!$H$37),'Bonding Program'!$AA$37,0)-IF(CS$3&lt;='Bonding Program'!$C$8,IF(AND('Bonding Program'!$K$37&lt;&gt;"",CS$3='Bonding Program'!$K$37),'Bonding Program'!$J$37,0)-IF(AND('Bonding Program'!$M$37&lt;&gt;"",CS$3='Bonding Program'!$M$37),'Bonding Program'!$L$37,0)-IF(AND('Bonding Program'!$P$37&lt;&gt;"",CS$3='Bonding Program'!$P$37),'Bonding Program'!$O$37,0)-IF(AND('Bonding Program'!$R$37&lt;&gt;"",CS$3='Bonding Program'!$R$37),'Bonding Program'!$Q$37,0),0)</f>
        <v>0</v>
      </c>
      <c r="CT178" s="19" t="n">
        <f aca="false">IF(AND('Bonding Program'!$S$37=1,CT$3='Bonding Program'!$H$37),'Bonding Program'!$AA$37,0)-IF(CT$3&lt;='Bonding Program'!$C$8,IF(AND('Bonding Program'!$K$37&lt;&gt;"",CT$3='Bonding Program'!$K$37),'Bonding Program'!$J$37,0)-IF(AND('Bonding Program'!$M$37&lt;&gt;"",CT$3='Bonding Program'!$M$37),'Bonding Program'!$L$37,0)-IF(AND('Bonding Program'!$P$37&lt;&gt;"",CT$3='Bonding Program'!$P$37),'Bonding Program'!$O$37,0)-IF(AND('Bonding Program'!$R$37&lt;&gt;"",CT$3='Bonding Program'!$R$37),'Bonding Program'!$Q$37,0),0)</f>
        <v>0</v>
      </c>
      <c r="CU178" s="19" t="n">
        <f aca="false">IF(AND('Bonding Program'!$S$37=1,CU$3='Bonding Program'!$H$37),'Bonding Program'!$AA$37,0)-IF(CU$3&lt;='Bonding Program'!$C$8,IF(AND('Bonding Program'!$K$37&lt;&gt;"",CU$3='Bonding Program'!$K$37),'Bonding Program'!$J$37,0)-IF(AND('Bonding Program'!$M$37&lt;&gt;"",CU$3='Bonding Program'!$M$37),'Bonding Program'!$L$37,0)-IF(AND('Bonding Program'!$P$37&lt;&gt;"",CU$3='Bonding Program'!$P$37),'Bonding Program'!$O$37,0)-IF(AND('Bonding Program'!$R$37&lt;&gt;"",CU$3='Bonding Program'!$R$37),'Bonding Program'!$Q$37,0),0)</f>
        <v>0</v>
      </c>
      <c r="CV178" s="19" t="n">
        <f aca="false">IF(AND('Bonding Program'!$S$37=1,CV$3='Bonding Program'!$H$37),'Bonding Program'!$AA$37,0)-IF(CV$3&lt;='Bonding Program'!$C$8,IF(AND('Bonding Program'!$K$37&lt;&gt;"",CV$3='Bonding Program'!$K$37),'Bonding Program'!$J$37,0)-IF(AND('Bonding Program'!$M$37&lt;&gt;"",CV$3='Bonding Program'!$M$37),'Bonding Program'!$L$37,0)-IF(AND('Bonding Program'!$P$37&lt;&gt;"",CV$3='Bonding Program'!$P$37),'Bonding Program'!$O$37,0)-IF(AND('Bonding Program'!$R$37&lt;&gt;"",CV$3='Bonding Program'!$R$37),'Bonding Program'!$Q$37,0),0)</f>
        <v>0</v>
      </c>
      <c r="CW178" s="19" t="n">
        <f aca="false">IF(AND('Bonding Program'!$S$37=1,CW$3='Bonding Program'!$H$37),'Bonding Program'!$AA$37,0)-IF(CW$3&lt;='Bonding Program'!$C$8,IF(AND('Bonding Program'!$K$37&lt;&gt;"",CW$3='Bonding Program'!$K$37),'Bonding Program'!$J$37,0)-IF(AND('Bonding Program'!$M$37&lt;&gt;"",CW$3='Bonding Program'!$M$37),'Bonding Program'!$L$37,0)-IF(AND('Bonding Program'!$P$37&lt;&gt;"",CW$3='Bonding Program'!$P$37),'Bonding Program'!$O$37,0)-IF(AND('Bonding Program'!$R$37&lt;&gt;"",CW$3='Bonding Program'!$R$37),'Bonding Program'!$Q$37,0),0)</f>
        <v>0</v>
      </c>
      <c r="CX178" s="19" t="n">
        <f aca="false">IF(AND('Bonding Program'!$S$37=1,CX$3='Bonding Program'!$H$37),'Bonding Program'!$AA$37,0)-IF(CX$3&lt;='Bonding Program'!$C$8,IF(AND('Bonding Program'!$K$37&lt;&gt;"",CX$3='Bonding Program'!$K$37),'Bonding Program'!$J$37,0)-IF(AND('Bonding Program'!$M$37&lt;&gt;"",CX$3='Bonding Program'!$M$37),'Bonding Program'!$L$37,0)-IF(AND('Bonding Program'!$P$37&lt;&gt;"",CX$3='Bonding Program'!$P$37),'Bonding Program'!$O$37,0)-IF(AND('Bonding Program'!$R$37&lt;&gt;"",CX$3='Bonding Program'!$R$37),'Bonding Program'!$Q$37,0),0)</f>
        <v>0</v>
      </c>
      <c r="CY178" s="19" t="n">
        <f aca="false">IF(AND('Bonding Program'!$S$37=1,CY$3='Bonding Program'!$H$37),'Bonding Program'!$AA$37,0)-IF(CY$3&lt;='Bonding Program'!$C$8,IF(AND('Bonding Program'!$K$37&lt;&gt;"",CY$3='Bonding Program'!$K$37),'Bonding Program'!$J$37,0)-IF(AND('Bonding Program'!$M$37&lt;&gt;"",CY$3='Bonding Program'!$M$37),'Bonding Program'!$L$37,0)-IF(AND('Bonding Program'!$P$37&lt;&gt;"",CY$3='Bonding Program'!$P$37),'Bonding Program'!$O$37,0)-IF(AND('Bonding Program'!$R$37&lt;&gt;"",CY$3='Bonding Program'!$R$37),'Bonding Program'!$Q$37,0),0)</f>
        <v>0</v>
      </c>
      <c r="CZ178" s="19" t="n">
        <f aca="false">IF(AND('Bonding Program'!$S$37=1,CZ$3='Bonding Program'!$H$37),'Bonding Program'!$AA$37,0)-IF(CZ$3&lt;='Bonding Program'!$C$8,IF(AND('Bonding Program'!$K$37&lt;&gt;"",CZ$3='Bonding Program'!$K$37),'Bonding Program'!$J$37,0)-IF(AND('Bonding Program'!$M$37&lt;&gt;"",CZ$3='Bonding Program'!$M$37),'Bonding Program'!$L$37,0)-IF(AND('Bonding Program'!$P$37&lt;&gt;"",CZ$3='Bonding Program'!$P$37),'Bonding Program'!$O$37,0)-IF(AND('Bonding Program'!$R$37&lt;&gt;"",CZ$3='Bonding Program'!$R$37),'Bonding Program'!$Q$37,0),0)</f>
        <v>0</v>
      </c>
      <c r="DA178" s="19" t="n">
        <f aca="false">IF(AND('Bonding Program'!$S$37=1,DA$3='Bonding Program'!$H$37),'Bonding Program'!$AA$37,0)-IF(DA$3&lt;='Bonding Program'!$C$8,IF(AND('Bonding Program'!$K$37&lt;&gt;"",DA$3='Bonding Program'!$K$37),'Bonding Program'!$J$37,0)-IF(AND('Bonding Program'!$M$37&lt;&gt;"",DA$3='Bonding Program'!$M$37),'Bonding Program'!$L$37,0)-IF(AND('Bonding Program'!$P$37&lt;&gt;"",DA$3='Bonding Program'!$P$37),'Bonding Program'!$O$37,0)-IF(AND('Bonding Program'!$R$37&lt;&gt;"",DA$3='Bonding Program'!$R$37),'Bonding Program'!$Q$37,0),0)</f>
        <v>0</v>
      </c>
      <c r="DB178" s="19" t="n">
        <f aca="false">IF(AND('Bonding Program'!$S$37=1,DB$3='Bonding Program'!$H$37),'Bonding Program'!$AA$37,0)-IF(DB$3&lt;='Bonding Program'!$C$8,IF(AND('Bonding Program'!$K$37&lt;&gt;"",DB$3='Bonding Program'!$K$37),'Bonding Program'!$J$37,0)-IF(AND('Bonding Program'!$M$37&lt;&gt;"",DB$3='Bonding Program'!$M$37),'Bonding Program'!$L$37,0)-IF(AND('Bonding Program'!$P$37&lt;&gt;"",DB$3='Bonding Program'!$P$37),'Bonding Program'!$O$37,0)-IF(AND('Bonding Program'!$R$37&lt;&gt;"",DB$3='Bonding Program'!$R$37),'Bonding Program'!$Q$37,0),0)</f>
        <v>0</v>
      </c>
      <c r="DC178" s="19" t="n">
        <f aca="false">IF(AND('Bonding Program'!$S$37=1,DC$3='Bonding Program'!$H$37),'Bonding Program'!$AA$37,0)-IF(DC$3&lt;='Bonding Program'!$C$8,IF(AND('Bonding Program'!$K$37&lt;&gt;"",DC$3='Bonding Program'!$K$37),'Bonding Program'!$J$37,0)-IF(AND('Bonding Program'!$M$37&lt;&gt;"",DC$3='Bonding Program'!$M$37),'Bonding Program'!$L$37,0)-IF(AND('Bonding Program'!$P$37&lt;&gt;"",DC$3='Bonding Program'!$P$37),'Bonding Program'!$O$37,0)-IF(AND('Bonding Program'!$R$37&lt;&gt;"",DC$3='Bonding Program'!$R$37),'Bonding Program'!$Q$37,0),0)</f>
        <v>0</v>
      </c>
      <c r="DD178" s="19" t="n">
        <f aca="false">IF(AND('Bonding Program'!$S$37=1,DD$3='Bonding Program'!$H$37),'Bonding Program'!$AA$37,0)-IF(DD$3&lt;='Bonding Program'!$C$8,IF(AND('Bonding Program'!$K$37&lt;&gt;"",DD$3='Bonding Program'!$K$37),'Bonding Program'!$J$37,0)-IF(AND('Bonding Program'!$M$37&lt;&gt;"",DD$3='Bonding Program'!$M$37),'Bonding Program'!$L$37,0)-IF(AND('Bonding Program'!$P$37&lt;&gt;"",DD$3='Bonding Program'!$P$37),'Bonding Program'!$O$37,0)-IF(AND('Bonding Program'!$R$37&lt;&gt;"",DD$3='Bonding Program'!$R$37),'Bonding Program'!$Q$37,0),0)</f>
        <v>0</v>
      </c>
      <c r="DE178" s="19" t="n">
        <f aca="false">IF(AND('Bonding Program'!$S$37=1,DE$3='Bonding Program'!$H$37),'Bonding Program'!$AA$37,0)-IF(DE$3&lt;='Bonding Program'!$C$8,IF(AND('Bonding Program'!$K$37&lt;&gt;"",DE$3='Bonding Program'!$K$37),'Bonding Program'!$J$37,0)-IF(AND('Bonding Program'!$M$37&lt;&gt;"",DE$3='Bonding Program'!$M$37),'Bonding Program'!$L$37,0)-IF(AND('Bonding Program'!$P$37&lt;&gt;"",DE$3='Bonding Program'!$P$37),'Bonding Program'!$O$37,0)-IF(AND('Bonding Program'!$R$37&lt;&gt;"",DE$3='Bonding Program'!$R$37),'Bonding Program'!$Q$37,0),0)</f>
        <v>0</v>
      </c>
    </row>
    <row r="179" customFormat="false" ht="15" hidden="false" customHeight="true" outlineLevel="1" collapsed="false">
      <c r="A179" s="28" t="s">
        <v>34</v>
      </c>
      <c r="B179" s="19" t="n">
        <f aca="false">IF(AND('Bonding Program'!$S$38=1,B$3='Bonding Program'!$H$38),'Bonding Program'!$AA$38,0)-IF(B$3&lt;='Bonding Program'!$C$8,IF(AND('Bonding Program'!$K$38&lt;&gt;"",B$3='Bonding Program'!$K$38),'Bonding Program'!$J$38,0)-IF(AND('Bonding Program'!$M$38&lt;&gt;"",B$3='Bonding Program'!$M$38),'Bonding Program'!$L$38,0)-IF(AND('Bonding Program'!$P$38&lt;&gt;"",B$3='Bonding Program'!$P$38),'Bonding Program'!$O$38,0)-IF(AND('Bonding Program'!$R$38&lt;&gt;"",B$3='Bonding Program'!$R$38),'Bonding Program'!$Q$38,0),0)</f>
        <v>0</v>
      </c>
      <c r="C179" s="19" t="n">
        <f aca="false">IF(AND('Bonding Program'!$S$38=1,C$3='Bonding Program'!$H$38),'Bonding Program'!$AA$38,0)-IF(C$3&lt;='Bonding Program'!$C$8,IF(AND('Bonding Program'!$K$38&lt;&gt;"",C$3='Bonding Program'!$K$38),'Bonding Program'!$J$38,0)-IF(AND('Bonding Program'!$M$38&lt;&gt;"",C$3='Bonding Program'!$M$38),'Bonding Program'!$L$38,0)-IF(AND('Bonding Program'!$P$38&lt;&gt;"",C$3='Bonding Program'!$P$38),'Bonding Program'!$O$38,0)-IF(AND('Bonding Program'!$R$38&lt;&gt;"",C$3='Bonding Program'!$R$38),'Bonding Program'!$Q$38,0),0)</f>
        <v>0</v>
      </c>
      <c r="D179" s="19" t="n">
        <f aca="false">IF(AND('Bonding Program'!$S$38=1,D$3='Bonding Program'!$H$38),'Bonding Program'!$AA$38,0)-IF(D$3&lt;='Bonding Program'!$C$8,IF(AND('Bonding Program'!$K$38&lt;&gt;"",D$3='Bonding Program'!$K$38),'Bonding Program'!$J$38,0)-IF(AND('Bonding Program'!$M$38&lt;&gt;"",D$3='Bonding Program'!$M$38),'Bonding Program'!$L$38,0)-IF(AND('Bonding Program'!$P$38&lt;&gt;"",D$3='Bonding Program'!$P$38),'Bonding Program'!$O$38,0)-IF(AND('Bonding Program'!$R$38&lt;&gt;"",D$3='Bonding Program'!$R$38),'Bonding Program'!$Q$38,0),0)</f>
        <v>0</v>
      </c>
      <c r="E179" s="19" t="n">
        <f aca="false">IF(AND('Bonding Program'!$S$38=1,E$3='Bonding Program'!$H$38),'Bonding Program'!$AA$38,0)-IF(E$3&lt;='Bonding Program'!$C$8,IF(AND('Bonding Program'!$K$38&lt;&gt;"",E$3='Bonding Program'!$K$38),'Bonding Program'!$J$38,0)-IF(AND('Bonding Program'!$M$38&lt;&gt;"",E$3='Bonding Program'!$M$38),'Bonding Program'!$L$38,0)-IF(AND('Bonding Program'!$P$38&lt;&gt;"",E$3='Bonding Program'!$P$38),'Bonding Program'!$O$38,0)-IF(AND('Bonding Program'!$R$38&lt;&gt;"",E$3='Bonding Program'!$R$38),'Bonding Program'!$Q$38,0),0)</f>
        <v>0</v>
      </c>
      <c r="F179" s="19" t="n">
        <f aca="false">IF(AND('Bonding Program'!$S$38=1,F$3='Bonding Program'!$H$38),'Bonding Program'!$AA$38,0)-IF(F$3&lt;='Bonding Program'!$C$8,IF(AND('Bonding Program'!$K$38&lt;&gt;"",F$3='Bonding Program'!$K$38),'Bonding Program'!$J$38,0)-IF(AND('Bonding Program'!$M$38&lt;&gt;"",F$3='Bonding Program'!$M$38),'Bonding Program'!$L$38,0)-IF(AND('Bonding Program'!$P$38&lt;&gt;"",F$3='Bonding Program'!$P$38),'Bonding Program'!$O$38,0)-IF(AND('Bonding Program'!$R$38&lt;&gt;"",F$3='Bonding Program'!$R$38),'Bonding Program'!$Q$38,0),0)</f>
        <v>0</v>
      </c>
      <c r="G179" s="19" t="n">
        <f aca="false">IF(AND('Bonding Program'!$S$38=1,G$3='Bonding Program'!$H$38),'Bonding Program'!$AA$38,0)-IF(G$3&lt;='Bonding Program'!$C$8,IF(AND('Bonding Program'!$K$38&lt;&gt;"",G$3='Bonding Program'!$K$38),'Bonding Program'!$J$38,0)-IF(AND('Bonding Program'!$M$38&lt;&gt;"",G$3='Bonding Program'!$M$38),'Bonding Program'!$L$38,0)-IF(AND('Bonding Program'!$P$38&lt;&gt;"",G$3='Bonding Program'!$P$38),'Bonding Program'!$O$38,0)-IF(AND('Bonding Program'!$R$38&lt;&gt;"",G$3='Bonding Program'!$R$38),'Bonding Program'!$Q$38,0),0)</f>
        <v>0</v>
      </c>
      <c r="H179" s="19" t="n">
        <f aca="false">IF(AND('Bonding Program'!$S$38=1,H$3='Bonding Program'!$H$38),'Bonding Program'!$AA$38,0)-IF(H$3&lt;='Bonding Program'!$C$8,IF(AND('Bonding Program'!$K$38&lt;&gt;"",H$3='Bonding Program'!$K$38),'Bonding Program'!$J$38,0)-IF(AND('Bonding Program'!$M$38&lt;&gt;"",H$3='Bonding Program'!$M$38),'Bonding Program'!$L$38,0)-IF(AND('Bonding Program'!$P$38&lt;&gt;"",H$3='Bonding Program'!$P$38),'Bonding Program'!$O$38,0)-IF(AND('Bonding Program'!$R$38&lt;&gt;"",H$3='Bonding Program'!$R$38),'Bonding Program'!$Q$38,0),0)</f>
        <v>0</v>
      </c>
      <c r="I179" s="19" t="n">
        <f aca="false">IF(AND('Bonding Program'!$S$38=1,I$3='Bonding Program'!$H$38),'Bonding Program'!$AA$38,0)-IF(I$3&lt;='Bonding Program'!$C$8,IF(AND('Bonding Program'!$K$38&lt;&gt;"",I$3='Bonding Program'!$K$38),'Bonding Program'!$J$38,0)-IF(AND('Bonding Program'!$M$38&lt;&gt;"",I$3='Bonding Program'!$M$38),'Bonding Program'!$L$38,0)-IF(AND('Bonding Program'!$P$38&lt;&gt;"",I$3='Bonding Program'!$P$38),'Bonding Program'!$O$38,0)-IF(AND('Bonding Program'!$R$38&lt;&gt;"",I$3='Bonding Program'!$R$38),'Bonding Program'!$Q$38,0),0)</f>
        <v>0</v>
      </c>
      <c r="J179" s="19" t="n">
        <f aca="false">IF(AND('Bonding Program'!$S$38=1,J$3='Bonding Program'!$H$38),'Bonding Program'!$AA$38,0)-IF(J$3&lt;='Bonding Program'!$C$8,IF(AND('Bonding Program'!$K$38&lt;&gt;"",J$3='Bonding Program'!$K$38),'Bonding Program'!$J$38,0)-IF(AND('Bonding Program'!$M$38&lt;&gt;"",J$3='Bonding Program'!$M$38),'Bonding Program'!$L$38,0)-IF(AND('Bonding Program'!$P$38&lt;&gt;"",J$3='Bonding Program'!$P$38),'Bonding Program'!$O$38,0)-IF(AND('Bonding Program'!$R$38&lt;&gt;"",J$3='Bonding Program'!$R$38),'Bonding Program'!$Q$38,0),0)</f>
        <v>0</v>
      </c>
      <c r="K179" s="19" t="n">
        <f aca="false">IF(AND('Bonding Program'!$S$38=1,K$3='Bonding Program'!$H$38),'Bonding Program'!$AA$38,0)-IF(K$3&lt;='Bonding Program'!$C$8,IF(AND('Bonding Program'!$K$38&lt;&gt;"",K$3='Bonding Program'!$K$38),'Bonding Program'!$J$38,0)-IF(AND('Bonding Program'!$M$38&lt;&gt;"",K$3='Bonding Program'!$M$38),'Bonding Program'!$L$38,0)-IF(AND('Bonding Program'!$P$38&lt;&gt;"",K$3='Bonding Program'!$P$38),'Bonding Program'!$O$38,0)-IF(AND('Bonding Program'!$R$38&lt;&gt;"",K$3='Bonding Program'!$R$38),'Bonding Program'!$Q$38,0),0)</f>
        <v>0</v>
      </c>
      <c r="L179" s="19" t="n">
        <f aca="false">IF(AND('Bonding Program'!$S$38=1,L$3='Bonding Program'!$H$38),'Bonding Program'!$AA$38,0)-IF(L$3&lt;='Bonding Program'!$C$8,IF(AND('Bonding Program'!$K$38&lt;&gt;"",L$3='Bonding Program'!$K$38),'Bonding Program'!$J$38,0)-IF(AND('Bonding Program'!$M$38&lt;&gt;"",L$3='Bonding Program'!$M$38),'Bonding Program'!$L$38,0)-IF(AND('Bonding Program'!$P$38&lt;&gt;"",L$3='Bonding Program'!$P$38),'Bonding Program'!$O$38,0)-IF(AND('Bonding Program'!$R$38&lt;&gt;"",L$3='Bonding Program'!$R$38),'Bonding Program'!$Q$38,0),0)</f>
        <v>0</v>
      </c>
      <c r="M179" s="19" t="n">
        <f aca="false">IF(AND('Bonding Program'!$S$38=1,M$3='Bonding Program'!$H$38),'Bonding Program'!$AA$38,0)-IF(M$3&lt;='Bonding Program'!$C$8,IF(AND('Bonding Program'!$K$38&lt;&gt;"",M$3='Bonding Program'!$K$38),'Bonding Program'!$J$38,0)-IF(AND('Bonding Program'!$M$38&lt;&gt;"",M$3='Bonding Program'!$M$38),'Bonding Program'!$L$38,0)-IF(AND('Bonding Program'!$P$38&lt;&gt;"",M$3='Bonding Program'!$P$38),'Bonding Program'!$O$38,0)-IF(AND('Bonding Program'!$R$38&lt;&gt;"",M$3='Bonding Program'!$R$38),'Bonding Program'!$Q$38,0),0)</f>
        <v>0</v>
      </c>
      <c r="N179" s="19" t="n">
        <f aca="false">IF(AND('Bonding Program'!$S$38=1,N$3='Bonding Program'!$H$38),'Bonding Program'!$AA$38,0)-IF(N$3&lt;='Bonding Program'!$C$8,IF(AND('Bonding Program'!$K$38&lt;&gt;"",N$3='Bonding Program'!$K$38),'Bonding Program'!$J$38,0)-IF(AND('Bonding Program'!$M$38&lt;&gt;"",N$3='Bonding Program'!$M$38),'Bonding Program'!$L$38,0)-IF(AND('Bonding Program'!$P$38&lt;&gt;"",N$3='Bonding Program'!$P$38),'Bonding Program'!$O$38,0)-IF(AND('Bonding Program'!$R$38&lt;&gt;"",N$3='Bonding Program'!$R$38),'Bonding Program'!$Q$38,0),0)</f>
        <v>0</v>
      </c>
      <c r="O179" s="19" t="n">
        <f aca="false">IF(AND('Bonding Program'!$S$38=1,O$3='Bonding Program'!$H$38),'Bonding Program'!$AA$38,0)-IF(O$3&lt;='Bonding Program'!$C$8,IF(AND('Bonding Program'!$K$38&lt;&gt;"",O$3='Bonding Program'!$K$38),'Bonding Program'!$J$38,0)-IF(AND('Bonding Program'!$M$38&lt;&gt;"",O$3='Bonding Program'!$M$38),'Bonding Program'!$L$38,0)-IF(AND('Bonding Program'!$P$38&lt;&gt;"",O$3='Bonding Program'!$P$38),'Bonding Program'!$O$38,0)-IF(AND('Bonding Program'!$R$38&lt;&gt;"",O$3='Bonding Program'!$R$38),'Bonding Program'!$Q$38,0),0)</f>
        <v>0</v>
      </c>
      <c r="P179" s="19" t="n">
        <f aca="false">IF(AND('Bonding Program'!$S$38=1,P$3='Bonding Program'!$H$38),'Bonding Program'!$AA$38,0)-IF(P$3&lt;='Bonding Program'!$C$8,IF(AND('Bonding Program'!$K$38&lt;&gt;"",P$3='Bonding Program'!$K$38),'Bonding Program'!$J$38,0)-IF(AND('Bonding Program'!$M$38&lt;&gt;"",P$3='Bonding Program'!$M$38),'Bonding Program'!$L$38,0)-IF(AND('Bonding Program'!$P$38&lt;&gt;"",P$3='Bonding Program'!$P$38),'Bonding Program'!$O$38,0)-IF(AND('Bonding Program'!$R$38&lt;&gt;"",P$3='Bonding Program'!$R$38),'Bonding Program'!$Q$38,0),0)</f>
        <v>0</v>
      </c>
      <c r="Q179" s="19" t="n">
        <f aca="false">IF(AND('Bonding Program'!$S$38=1,Q$3='Bonding Program'!$H$38),'Bonding Program'!$AA$38,0)-IF(Q$3&lt;='Bonding Program'!$C$8,IF(AND('Bonding Program'!$K$38&lt;&gt;"",Q$3='Bonding Program'!$K$38),'Bonding Program'!$J$38,0)-IF(AND('Bonding Program'!$M$38&lt;&gt;"",Q$3='Bonding Program'!$M$38),'Bonding Program'!$L$38,0)-IF(AND('Bonding Program'!$P$38&lt;&gt;"",Q$3='Bonding Program'!$P$38),'Bonding Program'!$O$38,0)-IF(AND('Bonding Program'!$R$38&lt;&gt;"",Q$3='Bonding Program'!$R$38),'Bonding Program'!$Q$38,0),0)</f>
        <v>0</v>
      </c>
      <c r="R179" s="19" t="n">
        <f aca="false">IF(AND('Bonding Program'!$S$38=1,R$3='Bonding Program'!$H$38),'Bonding Program'!$AA$38,0)-IF(R$3&lt;='Bonding Program'!$C$8,IF(AND('Bonding Program'!$K$38&lt;&gt;"",R$3='Bonding Program'!$K$38),'Bonding Program'!$J$38,0)-IF(AND('Bonding Program'!$M$38&lt;&gt;"",R$3='Bonding Program'!$M$38),'Bonding Program'!$L$38,0)-IF(AND('Bonding Program'!$P$38&lt;&gt;"",R$3='Bonding Program'!$P$38),'Bonding Program'!$O$38,0)-IF(AND('Bonding Program'!$R$38&lt;&gt;"",R$3='Bonding Program'!$R$38),'Bonding Program'!$Q$38,0),0)</f>
        <v>0</v>
      </c>
      <c r="S179" s="19" t="n">
        <f aca="false">IF(AND('Bonding Program'!$S$38=1,S$3='Bonding Program'!$H$38),'Bonding Program'!$AA$38,0)-IF(S$3&lt;='Bonding Program'!$C$8,IF(AND('Bonding Program'!$K$38&lt;&gt;"",S$3='Bonding Program'!$K$38),'Bonding Program'!$J$38,0)-IF(AND('Bonding Program'!$M$38&lt;&gt;"",S$3='Bonding Program'!$M$38),'Bonding Program'!$L$38,0)-IF(AND('Bonding Program'!$P$38&lt;&gt;"",S$3='Bonding Program'!$P$38),'Bonding Program'!$O$38,0)-IF(AND('Bonding Program'!$R$38&lt;&gt;"",S$3='Bonding Program'!$R$38),'Bonding Program'!$Q$38,0),0)</f>
        <v>0</v>
      </c>
      <c r="T179" s="19" t="n">
        <f aca="false">IF(AND('Bonding Program'!$S$38=1,T$3='Bonding Program'!$H$38),'Bonding Program'!$AA$38,0)-IF(T$3&lt;='Bonding Program'!$C$8,IF(AND('Bonding Program'!$K$38&lt;&gt;"",T$3='Bonding Program'!$K$38),'Bonding Program'!$J$38,0)-IF(AND('Bonding Program'!$M$38&lt;&gt;"",T$3='Bonding Program'!$M$38),'Bonding Program'!$L$38,0)-IF(AND('Bonding Program'!$P$38&lt;&gt;"",T$3='Bonding Program'!$P$38),'Bonding Program'!$O$38,0)-IF(AND('Bonding Program'!$R$38&lt;&gt;"",T$3='Bonding Program'!$R$38),'Bonding Program'!$Q$38,0),0)</f>
        <v>0</v>
      </c>
      <c r="U179" s="19" t="n">
        <f aca="false">IF(AND('Bonding Program'!$S$38=1,U$3='Bonding Program'!$H$38),'Bonding Program'!$AA$38,0)-IF(U$3&lt;='Bonding Program'!$C$8,IF(AND('Bonding Program'!$K$38&lt;&gt;"",U$3='Bonding Program'!$K$38),'Bonding Program'!$J$38,0)-IF(AND('Bonding Program'!$M$38&lt;&gt;"",U$3='Bonding Program'!$M$38),'Bonding Program'!$L$38,0)-IF(AND('Bonding Program'!$P$38&lt;&gt;"",U$3='Bonding Program'!$P$38),'Bonding Program'!$O$38,0)-IF(AND('Bonding Program'!$R$38&lt;&gt;"",U$3='Bonding Program'!$R$38),'Bonding Program'!$Q$38,0),0)</f>
        <v>0</v>
      </c>
      <c r="V179" s="19" t="n">
        <f aca="false">IF(AND('Bonding Program'!$S$38=1,V$3='Bonding Program'!$H$38),'Bonding Program'!$AA$38,0)-IF(V$3&lt;='Bonding Program'!$C$8,IF(AND('Bonding Program'!$K$38&lt;&gt;"",V$3='Bonding Program'!$K$38),'Bonding Program'!$J$38,0)-IF(AND('Bonding Program'!$M$38&lt;&gt;"",V$3='Bonding Program'!$M$38),'Bonding Program'!$L$38,0)-IF(AND('Bonding Program'!$P$38&lt;&gt;"",V$3='Bonding Program'!$P$38),'Bonding Program'!$O$38,0)-IF(AND('Bonding Program'!$R$38&lt;&gt;"",V$3='Bonding Program'!$R$38),'Bonding Program'!$Q$38,0),0)</f>
        <v>0</v>
      </c>
      <c r="W179" s="19" t="n">
        <f aca="false">IF(AND('Bonding Program'!$S$38=1,W$3='Bonding Program'!$H$38),'Bonding Program'!$AA$38,0)-IF(W$3&lt;='Bonding Program'!$C$8,IF(AND('Bonding Program'!$K$38&lt;&gt;"",W$3='Bonding Program'!$K$38),'Bonding Program'!$J$38,0)-IF(AND('Bonding Program'!$M$38&lt;&gt;"",W$3='Bonding Program'!$M$38),'Bonding Program'!$L$38,0)-IF(AND('Bonding Program'!$P$38&lt;&gt;"",W$3='Bonding Program'!$P$38),'Bonding Program'!$O$38,0)-IF(AND('Bonding Program'!$R$38&lt;&gt;"",W$3='Bonding Program'!$R$38),'Bonding Program'!$Q$38,0),0)</f>
        <v>0</v>
      </c>
      <c r="X179" s="19" t="n">
        <f aca="false">IF(AND('Bonding Program'!$S$38=1,X$3='Bonding Program'!$H$38),'Bonding Program'!$AA$38,0)-IF(X$3&lt;='Bonding Program'!$C$8,IF(AND('Bonding Program'!$K$38&lt;&gt;"",X$3='Bonding Program'!$K$38),'Bonding Program'!$J$38,0)-IF(AND('Bonding Program'!$M$38&lt;&gt;"",X$3='Bonding Program'!$M$38),'Bonding Program'!$L$38,0)-IF(AND('Bonding Program'!$P$38&lt;&gt;"",X$3='Bonding Program'!$P$38),'Bonding Program'!$O$38,0)-IF(AND('Bonding Program'!$R$38&lt;&gt;"",X$3='Bonding Program'!$R$38),'Bonding Program'!$Q$38,0),0)</f>
        <v>0</v>
      </c>
      <c r="Y179" s="19" t="n">
        <f aca="false">IF(AND('Bonding Program'!$S$38=1,Y$3='Bonding Program'!$H$38),'Bonding Program'!$AA$38,0)-IF(Y$3&lt;='Bonding Program'!$C$8,IF(AND('Bonding Program'!$K$38&lt;&gt;"",Y$3='Bonding Program'!$K$38),'Bonding Program'!$J$38,0)-IF(AND('Bonding Program'!$M$38&lt;&gt;"",Y$3='Bonding Program'!$M$38),'Bonding Program'!$L$38,0)-IF(AND('Bonding Program'!$P$38&lt;&gt;"",Y$3='Bonding Program'!$P$38),'Bonding Program'!$O$38,0)-IF(AND('Bonding Program'!$R$38&lt;&gt;"",Y$3='Bonding Program'!$R$38),'Bonding Program'!$Q$38,0),0)</f>
        <v>0</v>
      </c>
      <c r="Z179" s="19" t="n">
        <f aca="false">IF(AND('Bonding Program'!$S$38=1,Z$3='Bonding Program'!$H$38),'Bonding Program'!$AA$38,0)-IF(Z$3&lt;='Bonding Program'!$C$8,IF(AND('Bonding Program'!$K$38&lt;&gt;"",Z$3='Bonding Program'!$K$38),'Bonding Program'!$J$38,0)-IF(AND('Bonding Program'!$M$38&lt;&gt;"",Z$3='Bonding Program'!$M$38),'Bonding Program'!$L$38,0)-IF(AND('Bonding Program'!$P$38&lt;&gt;"",Z$3='Bonding Program'!$P$38),'Bonding Program'!$O$38,0)-IF(AND('Bonding Program'!$R$38&lt;&gt;"",Z$3='Bonding Program'!$R$38),'Bonding Program'!$Q$38,0),0)</f>
        <v>0</v>
      </c>
      <c r="AA179" s="19" t="n">
        <f aca="false">IF(AND('Bonding Program'!$S$38=1,AA$3='Bonding Program'!$H$38),'Bonding Program'!$AA$38,0)-IF(AA$3&lt;='Bonding Program'!$C$8,IF(AND('Bonding Program'!$K$38&lt;&gt;"",AA$3='Bonding Program'!$K$38),'Bonding Program'!$J$38,0)-IF(AND('Bonding Program'!$M$38&lt;&gt;"",AA$3='Bonding Program'!$M$38),'Bonding Program'!$L$38,0)-IF(AND('Bonding Program'!$P$38&lt;&gt;"",AA$3='Bonding Program'!$P$38),'Bonding Program'!$O$38,0)-IF(AND('Bonding Program'!$R$38&lt;&gt;"",AA$3='Bonding Program'!$R$38),'Bonding Program'!$Q$38,0),0)</f>
        <v>0</v>
      </c>
      <c r="AB179" s="19" t="n">
        <f aca="false">IF(AND('Bonding Program'!$S$38=1,AB$3='Bonding Program'!$H$38),'Bonding Program'!$AA$38,0)-IF(AB$3&lt;='Bonding Program'!$C$8,IF(AND('Bonding Program'!$K$38&lt;&gt;"",AB$3='Bonding Program'!$K$38),'Bonding Program'!$J$38,0)-IF(AND('Bonding Program'!$M$38&lt;&gt;"",AB$3='Bonding Program'!$M$38),'Bonding Program'!$L$38,0)-IF(AND('Bonding Program'!$P$38&lt;&gt;"",AB$3='Bonding Program'!$P$38),'Bonding Program'!$O$38,0)-IF(AND('Bonding Program'!$R$38&lt;&gt;"",AB$3='Bonding Program'!$R$38),'Bonding Program'!$Q$38,0),0)</f>
        <v>0</v>
      </c>
      <c r="AC179" s="19" t="n">
        <f aca="false">IF(AND('Bonding Program'!$S$38=1,AC$3='Bonding Program'!$H$38),'Bonding Program'!$AA$38,0)-IF(AC$3&lt;='Bonding Program'!$C$8,IF(AND('Bonding Program'!$K$38&lt;&gt;"",AC$3='Bonding Program'!$K$38),'Bonding Program'!$J$38,0)-IF(AND('Bonding Program'!$M$38&lt;&gt;"",AC$3='Bonding Program'!$M$38),'Bonding Program'!$L$38,0)-IF(AND('Bonding Program'!$P$38&lt;&gt;"",AC$3='Bonding Program'!$P$38),'Bonding Program'!$O$38,0)-IF(AND('Bonding Program'!$R$38&lt;&gt;"",AC$3='Bonding Program'!$R$38),'Bonding Program'!$Q$38,0),0)</f>
        <v>0</v>
      </c>
      <c r="AD179" s="19" t="n">
        <f aca="false">IF(AND('Bonding Program'!$S$38=1,AD$3='Bonding Program'!$H$38),'Bonding Program'!$AA$38,0)-IF(AD$3&lt;='Bonding Program'!$C$8,IF(AND('Bonding Program'!$K$38&lt;&gt;"",AD$3='Bonding Program'!$K$38),'Bonding Program'!$J$38,0)-IF(AND('Bonding Program'!$M$38&lt;&gt;"",AD$3='Bonding Program'!$M$38),'Bonding Program'!$L$38,0)-IF(AND('Bonding Program'!$P$38&lt;&gt;"",AD$3='Bonding Program'!$P$38),'Bonding Program'!$O$38,0)-IF(AND('Bonding Program'!$R$38&lt;&gt;"",AD$3='Bonding Program'!$R$38),'Bonding Program'!$Q$38,0),0)</f>
        <v>0</v>
      </c>
      <c r="AE179" s="19" t="n">
        <f aca="false">IF(AND('Bonding Program'!$S$38=1,AE$3='Bonding Program'!$H$38),'Bonding Program'!$AA$38,0)-IF(AE$3&lt;='Bonding Program'!$C$8,IF(AND('Bonding Program'!$K$38&lt;&gt;"",AE$3='Bonding Program'!$K$38),'Bonding Program'!$J$38,0)-IF(AND('Bonding Program'!$M$38&lt;&gt;"",AE$3='Bonding Program'!$M$38),'Bonding Program'!$L$38,0)-IF(AND('Bonding Program'!$P$38&lt;&gt;"",AE$3='Bonding Program'!$P$38),'Bonding Program'!$O$38,0)-IF(AND('Bonding Program'!$R$38&lt;&gt;"",AE$3='Bonding Program'!$R$38),'Bonding Program'!$Q$38,0),0)</f>
        <v>0</v>
      </c>
      <c r="AF179" s="19" t="n">
        <f aca="false">IF(AND('Bonding Program'!$S$38=1,AF$3='Bonding Program'!$H$38),'Bonding Program'!$AA$38,0)-IF(AF$3&lt;='Bonding Program'!$C$8,IF(AND('Bonding Program'!$K$38&lt;&gt;"",AF$3='Bonding Program'!$K$38),'Bonding Program'!$J$38,0)-IF(AND('Bonding Program'!$M$38&lt;&gt;"",AF$3='Bonding Program'!$M$38),'Bonding Program'!$L$38,0)-IF(AND('Bonding Program'!$P$38&lt;&gt;"",AF$3='Bonding Program'!$P$38),'Bonding Program'!$O$38,0)-IF(AND('Bonding Program'!$R$38&lt;&gt;"",AF$3='Bonding Program'!$R$38),'Bonding Program'!$Q$38,0),0)</f>
        <v>0</v>
      </c>
      <c r="AG179" s="19" t="n">
        <f aca="false">IF(AND('Bonding Program'!$S$38=1,AG$3='Bonding Program'!$H$38),'Bonding Program'!$AA$38,0)-IF(AG$3&lt;='Bonding Program'!$C$8,IF(AND('Bonding Program'!$K$38&lt;&gt;"",AG$3='Bonding Program'!$K$38),'Bonding Program'!$J$38,0)-IF(AND('Bonding Program'!$M$38&lt;&gt;"",AG$3='Bonding Program'!$M$38),'Bonding Program'!$L$38,0)-IF(AND('Bonding Program'!$P$38&lt;&gt;"",AG$3='Bonding Program'!$P$38),'Bonding Program'!$O$38,0)-IF(AND('Bonding Program'!$R$38&lt;&gt;"",AG$3='Bonding Program'!$R$38),'Bonding Program'!$Q$38,0),0)</f>
        <v>0</v>
      </c>
      <c r="AH179" s="19" t="n">
        <f aca="false">IF(AND('Bonding Program'!$S$38=1,AH$3='Bonding Program'!$H$38),'Bonding Program'!$AA$38,0)-IF(AH$3&lt;='Bonding Program'!$C$8,IF(AND('Bonding Program'!$K$38&lt;&gt;"",AH$3='Bonding Program'!$K$38),'Bonding Program'!$J$38,0)-IF(AND('Bonding Program'!$M$38&lt;&gt;"",AH$3='Bonding Program'!$M$38),'Bonding Program'!$L$38,0)-IF(AND('Bonding Program'!$P$38&lt;&gt;"",AH$3='Bonding Program'!$P$38),'Bonding Program'!$O$38,0)-IF(AND('Bonding Program'!$R$38&lt;&gt;"",AH$3='Bonding Program'!$R$38),'Bonding Program'!$Q$38,0),0)</f>
        <v>0</v>
      </c>
      <c r="AI179" s="19" t="n">
        <f aca="false">IF(AND('Bonding Program'!$S$38=1,AI$3='Bonding Program'!$H$38),'Bonding Program'!$AA$38,0)-IF(AI$3&lt;='Bonding Program'!$C$8,IF(AND('Bonding Program'!$K$38&lt;&gt;"",AI$3='Bonding Program'!$K$38),'Bonding Program'!$J$38,0)-IF(AND('Bonding Program'!$M$38&lt;&gt;"",AI$3='Bonding Program'!$M$38),'Bonding Program'!$L$38,0)-IF(AND('Bonding Program'!$P$38&lt;&gt;"",AI$3='Bonding Program'!$P$38),'Bonding Program'!$O$38,0)-IF(AND('Bonding Program'!$R$38&lt;&gt;"",AI$3='Bonding Program'!$R$38),'Bonding Program'!$Q$38,0),0)</f>
        <v>0</v>
      </c>
      <c r="AJ179" s="19" t="n">
        <f aca="false">IF(AND('Bonding Program'!$S$38=1,AJ$3='Bonding Program'!$H$38),'Bonding Program'!$AA$38,0)-IF(AJ$3&lt;='Bonding Program'!$C$8,IF(AND('Bonding Program'!$K$38&lt;&gt;"",AJ$3='Bonding Program'!$K$38),'Bonding Program'!$J$38,0)-IF(AND('Bonding Program'!$M$38&lt;&gt;"",AJ$3='Bonding Program'!$M$38),'Bonding Program'!$L$38,0)-IF(AND('Bonding Program'!$P$38&lt;&gt;"",AJ$3='Bonding Program'!$P$38),'Bonding Program'!$O$38,0)-IF(AND('Bonding Program'!$R$38&lt;&gt;"",AJ$3='Bonding Program'!$R$38),'Bonding Program'!$Q$38,0),0)</f>
        <v>0</v>
      </c>
      <c r="AK179" s="19" t="n">
        <f aca="false">IF(AND('Bonding Program'!$S$38=1,AK$3='Bonding Program'!$H$38),'Bonding Program'!$AA$38,0)-IF(AK$3&lt;='Bonding Program'!$C$8,IF(AND('Bonding Program'!$K$38&lt;&gt;"",AK$3='Bonding Program'!$K$38),'Bonding Program'!$J$38,0)-IF(AND('Bonding Program'!$M$38&lt;&gt;"",AK$3='Bonding Program'!$M$38),'Bonding Program'!$L$38,0)-IF(AND('Bonding Program'!$P$38&lt;&gt;"",AK$3='Bonding Program'!$P$38),'Bonding Program'!$O$38,0)-IF(AND('Bonding Program'!$R$38&lt;&gt;"",AK$3='Bonding Program'!$R$38),'Bonding Program'!$Q$38,0),0)</f>
        <v>0</v>
      </c>
      <c r="AL179" s="19" t="n">
        <f aca="false">IF(AND('Bonding Program'!$S$38=1,AL$3='Bonding Program'!$H$38),'Bonding Program'!$AA$38,0)-IF(AL$3&lt;='Bonding Program'!$C$8,IF(AND('Bonding Program'!$K$38&lt;&gt;"",AL$3='Bonding Program'!$K$38),'Bonding Program'!$J$38,0)-IF(AND('Bonding Program'!$M$38&lt;&gt;"",AL$3='Bonding Program'!$M$38),'Bonding Program'!$L$38,0)-IF(AND('Bonding Program'!$P$38&lt;&gt;"",AL$3='Bonding Program'!$P$38),'Bonding Program'!$O$38,0)-IF(AND('Bonding Program'!$R$38&lt;&gt;"",AL$3='Bonding Program'!$R$38),'Bonding Program'!$Q$38,0),0)</f>
        <v>0</v>
      </c>
      <c r="AM179" s="19" t="n">
        <f aca="false">IF(AND('Bonding Program'!$S$38=1,AM$3='Bonding Program'!$H$38),'Bonding Program'!$AA$38,0)-IF(AM$3&lt;='Bonding Program'!$C$8,IF(AND('Bonding Program'!$K$38&lt;&gt;"",AM$3='Bonding Program'!$K$38),'Bonding Program'!$J$38,0)-IF(AND('Bonding Program'!$M$38&lt;&gt;"",AM$3='Bonding Program'!$M$38),'Bonding Program'!$L$38,0)-IF(AND('Bonding Program'!$P$38&lt;&gt;"",AM$3='Bonding Program'!$P$38),'Bonding Program'!$O$38,0)-IF(AND('Bonding Program'!$R$38&lt;&gt;"",AM$3='Bonding Program'!$R$38),'Bonding Program'!$Q$38,0),0)</f>
        <v>0</v>
      </c>
      <c r="AN179" s="19" t="n">
        <f aca="false">IF(AND('Bonding Program'!$S$38=1,AN$3='Bonding Program'!$H$38),'Bonding Program'!$AA$38,0)-IF(AN$3&lt;='Bonding Program'!$C$8,IF(AND('Bonding Program'!$K$38&lt;&gt;"",AN$3='Bonding Program'!$K$38),'Bonding Program'!$J$38,0)-IF(AND('Bonding Program'!$M$38&lt;&gt;"",AN$3='Bonding Program'!$M$38),'Bonding Program'!$L$38,0)-IF(AND('Bonding Program'!$P$38&lt;&gt;"",AN$3='Bonding Program'!$P$38),'Bonding Program'!$O$38,0)-IF(AND('Bonding Program'!$R$38&lt;&gt;"",AN$3='Bonding Program'!$R$38),'Bonding Program'!$Q$38,0),0)</f>
        <v>0</v>
      </c>
      <c r="AO179" s="19" t="n">
        <f aca="false">IF(AND('Bonding Program'!$S$38=1,AO$3='Bonding Program'!$H$38),'Bonding Program'!$AA$38,0)-IF(AO$3&lt;='Bonding Program'!$C$8,IF(AND('Bonding Program'!$K$38&lt;&gt;"",AO$3='Bonding Program'!$K$38),'Bonding Program'!$J$38,0)-IF(AND('Bonding Program'!$M$38&lt;&gt;"",AO$3='Bonding Program'!$M$38),'Bonding Program'!$L$38,0)-IF(AND('Bonding Program'!$P$38&lt;&gt;"",AO$3='Bonding Program'!$P$38),'Bonding Program'!$O$38,0)-IF(AND('Bonding Program'!$R$38&lt;&gt;"",AO$3='Bonding Program'!$R$38),'Bonding Program'!$Q$38,0),0)</f>
        <v>0</v>
      </c>
      <c r="AP179" s="19" t="n">
        <f aca="false">IF(AND('Bonding Program'!$S$38=1,AP$3='Bonding Program'!$H$38),'Bonding Program'!$AA$38,0)-IF(AP$3&lt;='Bonding Program'!$C$8,IF(AND('Bonding Program'!$K$38&lt;&gt;"",AP$3='Bonding Program'!$K$38),'Bonding Program'!$J$38,0)-IF(AND('Bonding Program'!$M$38&lt;&gt;"",AP$3='Bonding Program'!$M$38),'Bonding Program'!$L$38,0)-IF(AND('Bonding Program'!$P$38&lt;&gt;"",AP$3='Bonding Program'!$P$38),'Bonding Program'!$O$38,0)-IF(AND('Bonding Program'!$R$38&lt;&gt;"",AP$3='Bonding Program'!$R$38),'Bonding Program'!$Q$38,0),0)</f>
        <v>0</v>
      </c>
      <c r="AQ179" s="19" t="n">
        <f aca="false">IF(AND('Bonding Program'!$S$38=1,AQ$3='Bonding Program'!$H$38),'Bonding Program'!$AA$38,0)-IF(AQ$3&lt;='Bonding Program'!$C$8,IF(AND('Bonding Program'!$K$38&lt;&gt;"",AQ$3='Bonding Program'!$K$38),'Bonding Program'!$J$38,0)-IF(AND('Bonding Program'!$M$38&lt;&gt;"",AQ$3='Bonding Program'!$M$38),'Bonding Program'!$L$38,0)-IF(AND('Bonding Program'!$P$38&lt;&gt;"",AQ$3='Bonding Program'!$P$38),'Bonding Program'!$O$38,0)-IF(AND('Bonding Program'!$R$38&lt;&gt;"",AQ$3='Bonding Program'!$R$38),'Bonding Program'!$Q$38,0),0)</f>
        <v>0</v>
      </c>
      <c r="AR179" s="19" t="n">
        <f aca="false">IF(AND('Bonding Program'!$S$38=1,AR$3='Bonding Program'!$H$38),'Bonding Program'!$AA$38,0)-IF(AR$3&lt;='Bonding Program'!$C$8,IF(AND('Bonding Program'!$K$38&lt;&gt;"",AR$3='Bonding Program'!$K$38),'Bonding Program'!$J$38,0)-IF(AND('Bonding Program'!$M$38&lt;&gt;"",AR$3='Bonding Program'!$M$38),'Bonding Program'!$L$38,0)-IF(AND('Bonding Program'!$P$38&lt;&gt;"",AR$3='Bonding Program'!$P$38),'Bonding Program'!$O$38,0)-IF(AND('Bonding Program'!$R$38&lt;&gt;"",AR$3='Bonding Program'!$R$38),'Bonding Program'!$Q$38,0),0)</f>
        <v>0</v>
      </c>
      <c r="AS179" s="19" t="n">
        <f aca="false">IF(AND('Bonding Program'!$S$38=1,AS$3='Bonding Program'!$H$38),'Bonding Program'!$AA$38,0)-IF(AS$3&lt;='Bonding Program'!$C$8,IF(AND('Bonding Program'!$K$38&lt;&gt;"",AS$3='Bonding Program'!$K$38),'Bonding Program'!$J$38,0)-IF(AND('Bonding Program'!$M$38&lt;&gt;"",AS$3='Bonding Program'!$M$38),'Bonding Program'!$L$38,0)-IF(AND('Bonding Program'!$P$38&lt;&gt;"",AS$3='Bonding Program'!$P$38),'Bonding Program'!$O$38,0)-IF(AND('Bonding Program'!$R$38&lt;&gt;"",AS$3='Bonding Program'!$R$38),'Bonding Program'!$Q$38,0),0)</f>
        <v>0</v>
      </c>
      <c r="AT179" s="19" t="n">
        <f aca="false">IF(AND('Bonding Program'!$S$38=1,AT$3='Bonding Program'!$H$38),'Bonding Program'!$AA$38,0)-IF(AT$3&lt;='Bonding Program'!$C$8,IF(AND('Bonding Program'!$K$38&lt;&gt;"",AT$3='Bonding Program'!$K$38),'Bonding Program'!$J$38,0)-IF(AND('Bonding Program'!$M$38&lt;&gt;"",AT$3='Bonding Program'!$M$38),'Bonding Program'!$L$38,0)-IF(AND('Bonding Program'!$P$38&lt;&gt;"",AT$3='Bonding Program'!$P$38),'Bonding Program'!$O$38,0)-IF(AND('Bonding Program'!$R$38&lt;&gt;"",AT$3='Bonding Program'!$R$38),'Bonding Program'!$Q$38,0),0)</f>
        <v>0</v>
      </c>
      <c r="AU179" s="19" t="n">
        <f aca="false">IF(AND('Bonding Program'!$S$38=1,AU$3='Bonding Program'!$H$38),'Bonding Program'!$AA$38,0)-IF(AU$3&lt;='Bonding Program'!$C$8,IF(AND('Bonding Program'!$K$38&lt;&gt;"",AU$3='Bonding Program'!$K$38),'Bonding Program'!$J$38,0)-IF(AND('Bonding Program'!$M$38&lt;&gt;"",AU$3='Bonding Program'!$M$38),'Bonding Program'!$L$38,0)-IF(AND('Bonding Program'!$P$38&lt;&gt;"",AU$3='Bonding Program'!$P$38),'Bonding Program'!$O$38,0)-IF(AND('Bonding Program'!$R$38&lt;&gt;"",AU$3='Bonding Program'!$R$38),'Bonding Program'!$Q$38,0),0)</f>
        <v>0</v>
      </c>
      <c r="AV179" s="19" t="n">
        <f aca="false">IF(AND('Bonding Program'!$S$38=1,AV$3='Bonding Program'!$H$38),'Bonding Program'!$AA$38,0)-IF(AV$3&lt;='Bonding Program'!$C$8,IF(AND('Bonding Program'!$K$38&lt;&gt;"",AV$3='Bonding Program'!$K$38),'Bonding Program'!$J$38,0)-IF(AND('Bonding Program'!$M$38&lt;&gt;"",AV$3='Bonding Program'!$M$38),'Bonding Program'!$L$38,0)-IF(AND('Bonding Program'!$P$38&lt;&gt;"",AV$3='Bonding Program'!$P$38),'Bonding Program'!$O$38,0)-IF(AND('Bonding Program'!$R$38&lt;&gt;"",AV$3='Bonding Program'!$R$38),'Bonding Program'!$Q$38,0),0)</f>
        <v>0</v>
      </c>
      <c r="AW179" s="19" t="n">
        <f aca="false">IF(AND('Bonding Program'!$S$38=1,AW$3='Bonding Program'!$H$38),'Bonding Program'!$AA$38,0)-IF(AW$3&lt;='Bonding Program'!$C$8,IF(AND('Bonding Program'!$K$38&lt;&gt;"",AW$3='Bonding Program'!$K$38),'Bonding Program'!$J$38,0)-IF(AND('Bonding Program'!$M$38&lt;&gt;"",AW$3='Bonding Program'!$M$38),'Bonding Program'!$L$38,0)-IF(AND('Bonding Program'!$P$38&lt;&gt;"",AW$3='Bonding Program'!$P$38),'Bonding Program'!$O$38,0)-IF(AND('Bonding Program'!$R$38&lt;&gt;"",AW$3='Bonding Program'!$R$38),'Bonding Program'!$Q$38,0),0)</f>
        <v>0</v>
      </c>
      <c r="AX179" s="19" t="n">
        <f aca="false">IF(AND('Bonding Program'!$S$38=1,AX$3='Bonding Program'!$H$38),'Bonding Program'!$AA$38,0)-IF(AX$3&lt;='Bonding Program'!$C$8,IF(AND('Bonding Program'!$K$38&lt;&gt;"",AX$3='Bonding Program'!$K$38),'Bonding Program'!$J$38,0)-IF(AND('Bonding Program'!$M$38&lt;&gt;"",AX$3='Bonding Program'!$M$38),'Bonding Program'!$L$38,0)-IF(AND('Bonding Program'!$P$38&lt;&gt;"",AX$3='Bonding Program'!$P$38),'Bonding Program'!$O$38,0)-IF(AND('Bonding Program'!$R$38&lt;&gt;"",AX$3='Bonding Program'!$R$38),'Bonding Program'!$Q$38,0),0)</f>
        <v>0</v>
      </c>
      <c r="AY179" s="19" t="n">
        <f aca="false">IF(AND('Bonding Program'!$S$38=1,AY$3='Bonding Program'!$H$38),'Bonding Program'!$AA$38,0)-IF(AY$3&lt;='Bonding Program'!$C$8,IF(AND('Bonding Program'!$K$38&lt;&gt;"",AY$3='Bonding Program'!$K$38),'Bonding Program'!$J$38,0)-IF(AND('Bonding Program'!$M$38&lt;&gt;"",AY$3='Bonding Program'!$M$38),'Bonding Program'!$L$38,0)-IF(AND('Bonding Program'!$P$38&lt;&gt;"",AY$3='Bonding Program'!$P$38),'Bonding Program'!$O$38,0)-IF(AND('Bonding Program'!$R$38&lt;&gt;"",AY$3='Bonding Program'!$R$38),'Bonding Program'!$Q$38,0),0)</f>
        <v>0</v>
      </c>
      <c r="AZ179" s="19" t="n">
        <f aca="false">IF(AND('Bonding Program'!$S$38=1,AZ$3='Bonding Program'!$H$38),'Bonding Program'!$AA$38,0)-IF(AZ$3&lt;='Bonding Program'!$C$8,IF(AND('Bonding Program'!$K$38&lt;&gt;"",AZ$3='Bonding Program'!$K$38),'Bonding Program'!$J$38,0)-IF(AND('Bonding Program'!$M$38&lt;&gt;"",AZ$3='Bonding Program'!$M$38),'Bonding Program'!$L$38,0)-IF(AND('Bonding Program'!$P$38&lt;&gt;"",AZ$3='Bonding Program'!$P$38),'Bonding Program'!$O$38,0)-IF(AND('Bonding Program'!$R$38&lt;&gt;"",AZ$3='Bonding Program'!$R$38),'Bonding Program'!$Q$38,0),0)</f>
        <v>0</v>
      </c>
      <c r="BA179" s="19" t="n">
        <f aca="false">IF(AND('Bonding Program'!$S$38=1,BA$3='Bonding Program'!$H$38),'Bonding Program'!$AA$38,0)-IF(BA$3&lt;='Bonding Program'!$C$8,IF(AND('Bonding Program'!$K$38&lt;&gt;"",BA$3='Bonding Program'!$K$38),'Bonding Program'!$J$38,0)-IF(AND('Bonding Program'!$M$38&lt;&gt;"",BA$3='Bonding Program'!$M$38),'Bonding Program'!$L$38,0)-IF(AND('Bonding Program'!$P$38&lt;&gt;"",BA$3='Bonding Program'!$P$38),'Bonding Program'!$O$38,0)-IF(AND('Bonding Program'!$R$38&lt;&gt;"",BA$3='Bonding Program'!$R$38),'Bonding Program'!$Q$38,0),0)</f>
        <v>0</v>
      </c>
      <c r="BB179" s="19" t="n">
        <f aca="false">IF(AND('Bonding Program'!$S$38=1,BB$3='Bonding Program'!$H$38),'Bonding Program'!$AA$38,0)-IF(BB$3&lt;='Bonding Program'!$C$8,IF(AND('Bonding Program'!$K$38&lt;&gt;"",BB$3='Bonding Program'!$K$38),'Bonding Program'!$J$38,0)-IF(AND('Bonding Program'!$M$38&lt;&gt;"",BB$3='Bonding Program'!$M$38),'Bonding Program'!$L$38,0)-IF(AND('Bonding Program'!$P$38&lt;&gt;"",BB$3='Bonding Program'!$P$38),'Bonding Program'!$O$38,0)-IF(AND('Bonding Program'!$R$38&lt;&gt;"",BB$3='Bonding Program'!$R$38),'Bonding Program'!$Q$38,0),0)</f>
        <v>0</v>
      </c>
      <c r="BC179" s="19" t="n">
        <f aca="false">IF(AND('Bonding Program'!$S$38=1,BC$3='Bonding Program'!$H$38),'Bonding Program'!$AA$38,0)-IF(BC$3&lt;='Bonding Program'!$C$8,IF(AND('Bonding Program'!$K$38&lt;&gt;"",BC$3='Bonding Program'!$K$38),'Bonding Program'!$J$38,0)-IF(AND('Bonding Program'!$M$38&lt;&gt;"",BC$3='Bonding Program'!$M$38),'Bonding Program'!$L$38,0)-IF(AND('Bonding Program'!$P$38&lt;&gt;"",BC$3='Bonding Program'!$P$38),'Bonding Program'!$O$38,0)-IF(AND('Bonding Program'!$R$38&lt;&gt;"",BC$3='Bonding Program'!$R$38),'Bonding Program'!$Q$38,0),0)</f>
        <v>0</v>
      </c>
      <c r="BD179" s="19" t="n">
        <f aca="false">IF(AND('Bonding Program'!$S$38=1,BD$3='Bonding Program'!$H$38),'Bonding Program'!$AA$38,0)-IF(BD$3&lt;='Bonding Program'!$C$8,IF(AND('Bonding Program'!$K$38&lt;&gt;"",BD$3='Bonding Program'!$K$38),'Bonding Program'!$J$38,0)-IF(AND('Bonding Program'!$M$38&lt;&gt;"",BD$3='Bonding Program'!$M$38),'Bonding Program'!$L$38,0)-IF(AND('Bonding Program'!$P$38&lt;&gt;"",BD$3='Bonding Program'!$P$38),'Bonding Program'!$O$38,0)-IF(AND('Bonding Program'!$R$38&lt;&gt;"",BD$3='Bonding Program'!$R$38),'Bonding Program'!$Q$38,0),0)</f>
        <v>0</v>
      </c>
      <c r="BE179" s="19" t="n">
        <f aca="false">IF(AND('Bonding Program'!$S$38=1,BE$3='Bonding Program'!$H$38),'Bonding Program'!$AA$38,0)-IF(BE$3&lt;='Bonding Program'!$C$8,IF(AND('Bonding Program'!$K$38&lt;&gt;"",BE$3='Bonding Program'!$K$38),'Bonding Program'!$J$38,0)-IF(AND('Bonding Program'!$M$38&lt;&gt;"",BE$3='Bonding Program'!$M$38),'Bonding Program'!$L$38,0)-IF(AND('Bonding Program'!$P$38&lt;&gt;"",BE$3='Bonding Program'!$P$38),'Bonding Program'!$O$38,0)-IF(AND('Bonding Program'!$R$38&lt;&gt;"",BE$3='Bonding Program'!$R$38),'Bonding Program'!$Q$38,0),0)</f>
        <v>0</v>
      </c>
      <c r="BF179" s="19" t="n">
        <f aca="false">IF(AND('Bonding Program'!$S$38=1,BF$3='Bonding Program'!$H$38),'Bonding Program'!$AA$38,0)-IF(BF$3&lt;='Bonding Program'!$C$8,IF(AND('Bonding Program'!$K$38&lt;&gt;"",BF$3='Bonding Program'!$K$38),'Bonding Program'!$J$38,0)-IF(AND('Bonding Program'!$M$38&lt;&gt;"",BF$3='Bonding Program'!$M$38),'Bonding Program'!$L$38,0)-IF(AND('Bonding Program'!$P$38&lt;&gt;"",BF$3='Bonding Program'!$P$38),'Bonding Program'!$O$38,0)-IF(AND('Bonding Program'!$R$38&lt;&gt;"",BF$3='Bonding Program'!$R$38),'Bonding Program'!$Q$38,0),0)</f>
        <v>0</v>
      </c>
      <c r="BG179" s="19" t="n">
        <f aca="false">IF(AND('Bonding Program'!$S$38=1,BG$3='Bonding Program'!$H$38),'Bonding Program'!$AA$38,0)-IF(BG$3&lt;='Bonding Program'!$C$8,IF(AND('Bonding Program'!$K$38&lt;&gt;"",BG$3='Bonding Program'!$K$38),'Bonding Program'!$J$38,0)-IF(AND('Bonding Program'!$M$38&lt;&gt;"",BG$3='Bonding Program'!$M$38),'Bonding Program'!$L$38,0)-IF(AND('Bonding Program'!$P$38&lt;&gt;"",BG$3='Bonding Program'!$P$38),'Bonding Program'!$O$38,0)-IF(AND('Bonding Program'!$R$38&lt;&gt;"",BG$3='Bonding Program'!$R$38),'Bonding Program'!$Q$38,0),0)</f>
        <v>0</v>
      </c>
      <c r="BH179" s="19" t="n">
        <f aca="false">IF(AND('Bonding Program'!$S$38=1,BH$3='Bonding Program'!$H$38),'Bonding Program'!$AA$38,0)-IF(BH$3&lt;='Bonding Program'!$C$8,IF(AND('Bonding Program'!$K$38&lt;&gt;"",BH$3='Bonding Program'!$K$38),'Bonding Program'!$J$38,0)-IF(AND('Bonding Program'!$M$38&lt;&gt;"",BH$3='Bonding Program'!$M$38),'Bonding Program'!$L$38,0)-IF(AND('Bonding Program'!$P$38&lt;&gt;"",BH$3='Bonding Program'!$P$38),'Bonding Program'!$O$38,0)-IF(AND('Bonding Program'!$R$38&lt;&gt;"",BH$3='Bonding Program'!$R$38),'Bonding Program'!$Q$38,0),0)</f>
        <v>0</v>
      </c>
      <c r="BI179" s="19" t="n">
        <f aca="false">IF(AND('Bonding Program'!$S$38=1,BI$3='Bonding Program'!$H$38),'Bonding Program'!$AA$38,0)-IF(BI$3&lt;='Bonding Program'!$C$8,IF(AND('Bonding Program'!$K$38&lt;&gt;"",BI$3='Bonding Program'!$K$38),'Bonding Program'!$J$38,0)-IF(AND('Bonding Program'!$M$38&lt;&gt;"",BI$3='Bonding Program'!$M$38),'Bonding Program'!$L$38,0)-IF(AND('Bonding Program'!$P$38&lt;&gt;"",BI$3='Bonding Program'!$P$38),'Bonding Program'!$O$38,0)-IF(AND('Bonding Program'!$R$38&lt;&gt;"",BI$3='Bonding Program'!$R$38),'Bonding Program'!$Q$38,0),0)</f>
        <v>0</v>
      </c>
      <c r="BJ179" s="19" t="n">
        <f aca="false">IF(AND('Bonding Program'!$S$38=1,BJ$3='Bonding Program'!$H$38),'Bonding Program'!$AA$38,0)-IF(BJ$3&lt;='Bonding Program'!$C$8,IF(AND('Bonding Program'!$K$38&lt;&gt;"",BJ$3='Bonding Program'!$K$38),'Bonding Program'!$J$38,0)-IF(AND('Bonding Program'!$M$38&lt;&gt;"",BJ$3='Bonding Program'!$M$38),'Bonding Program'!$L$38,0)-IF(AND('Bonding Program'!$P$38&lt;&gt;"",BJ$3='Bonding Program'!$P$38),'Bonding Program'!$O$38,0)-IF(AND('Bonding Program'!$R$38&lt;&gt;"",BJ$3='Bonding Program'!$R$38),'Bonding Program'!$Q$38,0),0)</f>
        <v>0</v>
      </c>
      <c r="BK179" s="19" t="n">
        <f aca="false">IF(AND('Bonding Program'!$S$38=1,BK$3='Bonding Program'!$H$38),'Bonding Program'!$AA$38,0)-IF(BK$3&lt;='Bonding Program'!$C$8,IF(AND('Bonding Program'!$K$38&lt;&gt;"",BK$3='Bonding Program'!$K$38),'Bonding Program'!$J$38,0)-IF(AND('Bonding Program'!$M$38&lt;&gt;"",BK$3='Bonding Program'!$M$38),'Bonding Program'!$L$38,0)-IF(AND('Bonding Program'!$P$38&lt;&gt;"",BK$3='Bonding Program'!$P$38),'Bonding Program'!$O$38,0)-IF(AND('Bonding Program'!$R$38&lt;&gt;"",BK$3='Bonding Program'!$R$38),'Bonding Program'!$Q$38,0),0)</f>
        <v>0</v>
      </c>
      <c r="BL179" s="19" t="n">
        <f aca="false">IF(AND('Bonding Program'!$S$38=1,BL$3='Bonding Program'!$H$38),'Bonding Program'!$AA$38,0)-IF(BL$3&lt;='Bonding Program'!$C$8,IF(AND('Bonding Program'!$K$38&lt;&gt;"",BL$3='Bonding Program'!$K$38),'Bonding Program'!$J$38,0)-IF(AND('Bonding Program'!$M$38&lt;&gt;"",BL$3='Bonding Program'!$M$38),'Bonding Program'!$L$38,0)-IF(AND('Bonding Program'!$P$38&lt;&gt;"",BL$3='Bonding Program'!$P$38),'Bonding Program'!$O$38,0)-IF(AND('Bonding Program'!$R$38&lt;&gt;"",BL$3='Bonding Program'!$R$38),'Bonding Program'!$Q$38,0),0)</f>
        <v>0</v>
      </c>
      <c r="BM179" s="19" t="n">
        <f aca="false">IF(AND('Bonding Program'!$S$38=1,BM$3='Bonding Program'!$H$38),'Bonding Program'!$AA$38,0)-IF(BM$3&lt;='Bonding Program'!$C$8,IF(AND('Bonding Program'!$K$38&lt;&gt;"",BM$3='Bonding Program'!$K$38),'Bonding Program'!$J$38,0)-IF(AND('Bonding Program'!$M$38&lt;&gt;"",BM$3='Bonding Program'!$M$38),'Bonding Program'!$L$38,0)-IF(AND('Bonding Program'!$P$38&lt;&gt;"",BM$3='Bonding Program'!$P$38),'Bonding Program'!$O$38,0)-IF(AND('Bonding Program'!$R$38&lt;&gt;"",BM$3='Bonding Program'!$R$38),'Bonding Program'!$Q$38,0),0)</f>
        <v>0</v>
      </c>
      <c r="BN179" s="19" t="n">
        <f aca="false">IF(AND('Bonding Program'!$S$38=1,BN$3='Bonding Program'!$H$38),'Bonding Program'!$AA$38,0)-IF(BN$3&lt;='Bonding Program'!$C$8,IF(AND('Bonding Program'!$K$38&lt;&gt;"",BN$3='Bonding Program'!$K$38),'Bonding Program'!$J$38,0)-IF(AND('Bonding Program'!$M$38&lt;&gt;"",BN$3='Bonding Program'!$M$38),'Bonding Program'!$L$38,0)-IF(AND('Bonding Program'!$P$38&lt;&gt;"",BN$3='Bonding Program'!$P$38),'Bonding Program'!$O$38,0)-IF(AND('Bonding Program'!$R$38&lt;&gt;"",BN$3='Bonding Program'!$R$38),'Bonding Program'!$Q$38,0),0)</f>
        <v>0</v>
      </c>
      <c r="BO179" s="19" t="n">
        <f aca="false">IF(AND('Bonding Program'!$S$38=1,BO$3='Bonding Program'!$H$38),'Bonding Program'!$AA$38,0)-IF(BO$3&lt;='Bonding Program'!$C$8,IF(AND('Bonding Program'!$K$38&lt;&gt;"",BO$3='Bonding Program'!$K$38),'Bonding Program'!$J$38,0)-IF(AND('Bonding Program'!$M$38&lt;&gt;"",BO$3='Bonding Program'!$M$38),'Bonding Program'!$L$38,0)-IF(AND('Bonding Program'!$P$38&lt;&gt;"",BO$3='Bonding Program'!$P$38),'Bonding Program'!$O$38,0)-IF(AND('Bonding Program'!$R$38&lt;&gt;"",BO$3='Bonding Program'!$R$38),'Bonding Program'!$Q$38,0),0)</f>
        <v>0</v>
      </c>
      <c r="BP179" s="19" t="n">
        <f aca="false">IF(AND('Bonding Program'!$S$38=1,BP$3='Bonding Program'!$H$38),'Bonding Program'!$AA$38,0)-IF(BP$3&lt;='Bonding Program'!$C$8,IF(AND('Bonding Program'!$K$38&lt;&gt;"",BP$3='Bonding Program'!$K$38),'Bonding Program'!$J$38,0)-IF(AND('Bonding Program'!$M$38&lt;&gt;"",BP$3='Bonding Program'!$M$38),'Bonding Program'!$L$38,0)-IF(AND('Bonding Program'!$P$38&lt;&gt;"",BP$3='Bonding Program'!$P$38),'Bonding Program'!$O$38,0)-IF(AND('Bonding Program'!$R$38&lt;&gt;"",BP$3='Bonding Program'!$R$38),'Bonding Program'!$Q$38,0),0)</f>
        <v>0</v>
      </c>
      <c r="BQ179" s="19" t="n">
        <f aca="false">IF(AND('Bonding Program'!$S$38=1,BQ$3='Bonding Program'!$H$38),'Bonding Program'!$AA$38,0)-IF(BQ$3&lt;='Bonding Program'!$C$8,IF(AND('Bonding Program'!$K$38&lt;&gt;"",BQ$3='Bonding Program'!$K$38),'Bonding Program'!$J$38,0)-IF(AND('Bonding Program'!$M$38&lt;&gt;"",BQ$3='Bonding Program'!$M$38),'Bonding Program'!$L$38,0)-IF(AND('Bonding Program'!$P$38&lt;&gt;"",BQ$3='Bonding Program'!$P$38),'Bonding Program'!$O$38,0)-IF(AND('Bonding Program'!$R$38&lt;&gt;"",BQ$3='Bonding Program'!$R$38),'Bonding Program'!$Q$38,0),0)</f>
        <v>0</v>
      </c>
      <c r="BR179" s="19" t="n">
        <f aca="false">IF(AND('Bonding Program'!$S$38=1,BR$3='Bonding Program'!$H$38),'Bonding Program'!$AA$38,0)-IF(BR$3&lt;='Bonding Program'!$C$8,IF(AND('Bonding Program'!$K$38&lt;&gt;"",BR$3='Bonding Program'!$K$38),'Bonding Program'!$J$38,0)-IF(AND('Bonding Program'!$M$38&lt;&gt;"",BR$3='Bonding Program'!$M$38),'Bonding Program'!$L$38,0)-IF(AND('Bonding Program'!$P$38&lt;&gt;"",BR$3='Bonding Program'!$P$38),'Bonding Program'!$O$38,0)-IF(AND('Bonding Program'!$R$38&lt;&gt;"",BR$3='Bonding Program'!$R$38),'Bonding Program'!$Q$38,0),0)</f>
        <v>0</v>
      </c>
      <c r="BS179" s="19" t="n">
        <f aca="false">IF(AND('Bonding Program'!$S$38=1,BS$3='Bonding Program'!$H$38),'Bonding Program'!$AA$38,0)-IF(BS$3&lt;='Bonding Program'!$C$8,IF(AND('Bonding Program'!$K$38&lt;&gt;"",BS$3='Bonding Program'!$K$38),'Bonding Program'!$J$38,0)-IF(AND('Bonding Program'!$M$38&lt;&gt;"",BS$3='Bonding Program'!$M$38),'Bonding Program'!$L$38,0)-IF(AND('Bonding Program'!$P$38&lt;&gt;"",BS$3='Bonding Program'!$P$38),'Bonding Program'!$O$38,0)-IF(AND('Bonding Program'!$R$38&lt;&gt;"",BS$3='Bonding Program'!$R$38),'Bonding Program'!$Q$38,0),0)</f>
        <v>0</v>
      </c>
      <c r="BT179" s="19" t="n">
        <f aca="false">IF(AND('Bonding Program'!$S$38=1,BT$3='Bonding Program'!$H$38),'Bonding Program'!$AA$38,0)-IF(BT$3&lt;='Bonding Program'!$C$8,IF(AND('Bonding Program'!$K$38&lt;&gt;"",BT$3='Bonding Program'!$K$38),'Bonding Program'!$J$38,0)-IF(AND('Bonding Program'!$M$38&lt;&gt;"",BT$3='Bonding Program'!$M$38),'Bonding Program'!$L$38,0)-IF(AND('Bonding Program'!$P$38&lt;&gt;"",BT$3='Bonding Program'!$P$38),'Bonding Program'!$O$38,0)-IF(AND('Bonding Program'!$R$38&lt;&gt;"",BT$3='Bonding Program'!$R$38),'Bonding Program'!$Q$38,0),0)</f>
        <v>0</v>
      </c>
      <c r="BU179" s="19" t="n">
        <f aca="false">IF(AND('Bonding Program'!$S$38=1,BU$3='Bonding Program'!$H$38),'Bonding Program'!$AA$38,0)-IF(BU$3&lt;='Bonding Program'!$C$8,IF(AND('Bonding Program'!$K$38&lt;&gt;"",BU$3='Bonding Program'!$K$38),'Bonding Program'!$J$38,0)-IF(AND('Bonding Program'!$M$38&lt;&gt;"",BU$3='Bonding Program'!$M$38),'Bonding Program'!$L$38,0)-IF(AND('Bonding Program'!$P$38&lt;&gt;"",BU$3='Bonding Program'!$P$38),'Bonding Program'!$O$38,0)-IF(AND('Bonding Program'!$R$38&lt;&gt;"",BU$3='Bonding Program'!$R$38),'Bonding Program'!$Q$38,0),0)</f>
        <v>0</v>
      </c>
      <c r="BV179" s="19" t="n">
        <f aca="false">IF(AND('Bonding Program'!$S$38=1,BV$3='Bonding Program'!$H$38),'Bonding Program'!$AA$38,0)-IF(BV$3&lt;='Bonding Program'!$C$8,IF(AND('Bonding Program'!$K$38&lt;&gt;"",BV$3='Bonding Program'!$K$38),'Bonding Program'!$J$38,0)-IF(AND('Bonding Program'!$M$38&lt;&gt;"",BV$3='Bonding Program'!$M$38),'Bonding Program'!$L$38,0)-IF(AND('Bonding Program'!$P$38&lt;&gt;"",BV$3='Bonding Program'!$P$38),'Bonding Program'!$O$38,0)-IF(AND('Bonding Program'!$R$38&lt;&gt;"",BV$3='Bonding Program'!$R$38),'Bonding Program'!$Q$38,0),0)</f>
        <v>0</v>
      </c>
      <c r="BW179" s="19" t="n">
        <f aca="false">IF(AND('Bonding Program'!$S$38=1,BW$3='Bonding Program'!$H$38),'Bonding Program'!$AA$38,0)-IF(BW$3&lt;='Bonding Program'!$C$8,IF(AND('Bonding Program'!$K$38&lt;&gt;"",BW$3='Bonding Program'!$K$38),'Bonding Program'!$J$38,0)-IF(AND('Bonding Program'!$M$38&lt;&gt;"",BW$3='Bonding Program'!$M$38),'Bonding Program'!$L$38,0)-IF(AND('Bonding Program'!$P$38&lt;&gt;"",BW$3='Bonding Program'!$P$38),'Bonding Program'!$O$38,0)-IF(AND('Bonding Program'!$R$38&lt;&gt;"",BW$3='Bonding Program'!$R$38),'Bonding Program'!$Q$38,0),0)</f>
        <v>0</v>
      </c>
      <c r="BX179" s="19" t="n">
        <f aca="false">IF(AND('Bonding Program'!$S$38=1,BX$3='Bonding Program'!$H$38),'Bonding Program'!$AA$38,0)-IF(BX$3&lt;='Bonding Program'!$C$8,IF(AND('Bonding Program'!$K$38&lt;&gt;"",BX$3='Bonding Program'!$K$38),'Bonding Program'!$J$38,0)-IF(AND('Bonding Program'!$M$38&lt;&gt;"",BX$3='Bonding Program'!$M$38),'Bonding Program'!$L$38,0)-IF(AND('Bonding Program'!$P$38&lt;&gt;"",BX$3='Bonding Program'!$P$38),'Bonding Program'!$O$38,0)-IF(AND('Bonding Program'!$R$38&lt;&gt;"",BX$3='Bonding Program'!$R$38),'Bonding Program'!$Q$38,0),0)</f>
        <v>0</v>
      </c>
      <c r="BY179" s="19" t="n">
        <f aca="false">IF(AND('Bonding Program'!$S$38=1,BY$3='Bonding Program'!$H$38),'Bonding Program'!$AA$38,0)-IF(BY$3&lt;='Bonding Program'!$C$8,IF(AND('Bonding Program'!$K$38&lt;&gt;"",BY$3='Bonding Program'!$K$38),'Bonding Program'!$J$38,0)-IF(AND('Bonding Program'!$M$38&lt;&gt;"",BY$3='Bonding Program'!$M$38),'Bonding Program'!$L$38,0)-IF(AND('Bonding Program'!$P$38&lt;&gt;"",BY$3='Bonding Program'!$P$38),'Bonding Program'!$O$38,0)-IF(AND('Bonding Program'!$R$38&lt;&gt;"",BY$3='Bonding Program'!$R$38),'Bonding Program'!$Q$38,0),0)</f>
        <v>0</v>
      </c>
      <c r="BZ179" s="19" t="n">
        <f aca="false">IF(AND('Bonding Program'!$S$38=1,BZ$3='Bonding Program'!$H$38),'Bonding Program'!$AA$38,0)-IF(BZ$3&lt;='Bonding Program'!$C$8,IF(AND('Bonding Program'!$K$38&lt;&gt;"",BZ$3='Bonding Program'!$K$38),'Bonding Program'!$J$38,0)-IF(AND('Bonding Program'!$M$38&lt;&gt;"",BZ$3='Bonding Program'!$M$38),'Bonding Program'!$L$38,0)-IF(AND('Bonding Program'!$P$38&lt;&gt;"",BZ$3='Bonding Program'!$P$38),'Bonding Program'!$O$38,0)-IF(AND('Bonding Program'!$R$38&lt;&gt;"",BZ$3='Bonding Program'!$R$38),'Bonding Program'!$Q$38,0),0)</f>
        <v>0</v>
      </c>
      <c r="CA179" s="19" t="n">
        <f aca="false">IF(AND('Bonding Program'!$S$38=1,CA$3='Bonding Program'!$H$38),'Bonding Program'!$AA$38,0)-IF(CA$3&lt;='Bonding Program'!$C$8,IF(AND('Bonding Program'!$K$38&lt;&gt;"",CA$3='Bonding Program'!$K$38),'Bonding Program'!$J$38,0)-IF(AND('Bonding Program'!$M$38&lt;&gt;"",CA$3='Bonding Program'!$M$38),'Bonding Program'!$L$38,0)-IF(AND('Bonding Program'!$P$38&lt;&gt;"",CA$3='Bonding Program'!$P$38),'Bonding Program'!$O$38,0)-IF(AND('Bonding Program'!$R$38&lt;&gt;"",CA$3='Bonding Program'!$R$38),'Bonding Program'!$Q$38,0),0)</f>
        <v>0</v>
      </c>
      <c r="CB179" s="19" t="n">
        <f aca="false">IF(AND('Bonding Program'!$S$38=1,CB$3='Bonding Program'!$H$38),'Bonding Program'!$AA$38,0)-IF(CB$3&lt;='Bonding Program'!$C$8,IF(AND('Bonding Program'!$K$38&lt;&gt;"",CB$3='Bonding Program'!$K$38),'Bonding Program'!$J$38,0)-IF(AND('Bonding Program'!$M$38&lt;&gt;"",CB$3='Bonding Program'!$M$38),'Bonding Program'!$L$38,0)-IF(AND('Bonding Program'!$P$38&lt;&gt;"",CB$3='Bonding Program'!$P$38),'Bonding Program'!$O$38,0)-IF(AND('Bonding Program'!$R$38&lt;&gt;"",CB$3='Bonding Program'!$R$38),'Bonding Program'!$Q$38,0),0)</f>
        <v>0</v>
      </c>
      <c r="CC179" s="19" t="n">
        <f aca="false">IF(AND('Bonding Program'!$S$38=1,CC$3='Bonding Program'!$H$38),'Bonding Program'!$AA$38,0)-IF(CC$3&lt;='Bonding Program'!$C$8,IF(AND('Bonding Program'!$K$38&lt;&gt;"",CC$3='Bonding Program'!$K$38),'Bonding Program'!$J$38,0)-IF(AND('Bonding Program'!$M$38&lt;&gt;"",CC$3='Bonding Program'!$M$38),'Bonding Program'!$L$38,0)-IF(AND('Bonding Program'!$P$38&lt;&gt;"",CC$3='Bonding Program'!$P$38),'Bonding Program'!$O$38,0)-IF(AND('Bonding Program'!$R$38&lt;&gt;"",CC$3='Bonding Program'!$R$38),'Bonding Program'!$Q$38,0),0)</f>
        <v>0</v>
      </c>
      <c r="CD179" s="19" t="n">
        <f aca="false">IF(AND('Bonding Program'!$S$38=1,CD$3='Bonding Program'!$H$38),'Bonding Program'!$AA$38,0)-IF(CD$3&lt;='Bonding Program'!$C$8,IF(AND('Bonding Program'!$K$38&lt;&gt;"",CD$3='Bonding Program'!$K$38),'Bonding Program'!$J$38,0)-IF(AND('Bonding Program'!$M$38&lt;&gt;"",CD$3='Bonding Program'!$M$38),'Bonding Program'!$L$38,0)-IF(AND('Bonding Program'!$P$38&lt;&gt;"",CD$3='Bonding Program'!$P$38),'Bonding Program'!$O$38,0)-IF(AND('Bonding Program'!$R$38&lt;&gt;"",CD$3='Bonding Program'!$R$38),'Bonding Program'!$Q$38,0),0)</f>
        <v>0</v>
      </c>
      <c r="CE179" s="19" t="n">
        <f aca="false">IF(AND('Bonding Program'!$S$38=1,CE$3='Bonding Program'!$H$38),'Bonding Program'!$AA$38,0)-IF(CE$3&lt;='Bonding Program'!$C$8,IF(AND('Bonding Program'!$K$38&lt;&gt;"",CE$3='Bonding Program'!$K$38),'Bonding Program'!$J$38,0)-IF(AND('Bonding Program'!$M$38&lt;&gt;"",CE$3='Bonding Program'!$M$38),'Bonding Program'!$L$38,0)-IF(AND('Bonding Program'!$P$38&lt;&gt;"",CE$3='Bonding Program'!$P$38),'Bonding Program'!$O$38,0)-IF(AND('Bonding Program'!$R$38&lt;&gt;"",CE$3='Bonding Program'!$R$38),'Bonding Program'!$Q$38,0),0)</f>
        <v>0</v>
      </c>
      <c r="CF179" s="19" t="n">
        <f aca="false">IF(AND('Bonding Program'!$S$38=1,CF$3='Bonding Program'!$H$38),'Bonding Program'!$AA$38,0)-IF(CF$3&lt;='Bonding Program'!$C$8,IF(AND('Bonding Program'!$K$38&lt;&gt;"",CF$3='Bonding Program'!$K$38),'Bonding Program'!$J$38,0)-IF(AND('Bonding Program'!$M$38&lt;&gt;"",CF$3='Bonding Program'!$M$38),'Bonding Program'!$L$38,0)-IF(AND('Bonding Program'!$P$38&lt;&gt;"",CF$3='Bonding Program'!$P$38),'Bonding Program'!$O$38,0)-IF(AND('Bonding Program'!$R$38&lt;&gt;"",CF$3='Bonding Program'!$R$38),'Bonding Program'!$Q$38,0),0)</f>
        <v>0</v>
      </c>
      <c r="CG179" s="19" t="n">
        <f aca="false">IF(AND('Bonding Program'!$S$38=1,CG$3='Bonding Program'!$H$38),'Bonding Program'!$AA$38,0)-IF(CG$3&lt;='Bonding Program'!$C$8,IF(AND('Bonding Program'!$K$38&lt;&gt;"",CG$3='Bonding Program'!$K$38),'Bonding Program'!$J$38,0)-IF(AND('Bonding Program'!$M$38&lt;&gt;"",CG$3='Bonding Program'!$M$38),'Bonding Program'!$L$38,0)-IF(AND('Bonding Program'!$P$38&lt;&gt;"",CG$3='Bonding Program'!$P$38),'Bonding Program'!$O$38,0)-IF(AND('Bonding Program'!$R$38&lt;&gt;"",CG$3='Bonding Program'!$R$38),'Bonding Program'!$Q$38,0),0)</f>
        <v>0</v>
      </c>
      <c r="CH179" s="19" t="n">
        <f aca="false">IF(AND('Bonding Program'!$S$38=1,CH$3='Bonding Program'!$H$38),'Bonding Program'!$AA$38,0)-IF(CH$3&lt;='Bonding Program'!$C$8,IF(AND('Bonding Program'!$K$38&lt;&gt;"",CH$3='Bonding Program'!$K$38),'Bonding Program'!$J$38,0)-IF(AND('Bonding Program'!$M$38&lt;&gt;"",CH$3='Bonding Program'!$M$38),'Bonding Program'!$L$38,0)-IF(AND('Bonding Program'!$P$38&lt;&gt;"",CH$3='Bonding Program'!$P$38),'Bonding Program'!$O$38,0)-IF(AND('Bonding Program'!$R$38&lt;&gt;"",CH$3='Bonding Program'!$R$38),'Bonding Program'!$Q$38,0),0)</f>
        <v>0</v>
      </c>
      <c r="CI179" s="19" t="n">
        <f aca="false">IF(AND('Bonding Program'!$S$38=1,CI$3='Bonding Program'!$H$38),'Bonding Program'!$AA$38,0)-IF(CI$3&lt;='Bonding Program'!$C$8,IF(AND('Bonding Program'!$K$38&lt;&gt;"",CI$3='Bonding Program'!$K$38),'Bonding Program'!$J$38,0)-IF(AND('Bonding Program'!$M$38&lt;&gt;"",CI$3='Bonding Program'!$M$38),'Bonding Program'!$L$38,0)-IF(AND('Bonding Program'!$P$38&lt;&gt;"",CI$3='Bonding Program'!$P$38),'Bonding Program'!$O$38,0)-IF(AND('Bonding Program'!$R$38&lt;&gt;"",CI$3='Bonding Program'!$R$38),'Bonding Program'!$Q$38,0),0)</f>
        <v>0</v>
      </c>
      <c r="CJ179" s="19" t="n">
        <f aca="false">IF(AND('Bonding Program'!$S$38=1,CJ$3='Bonding Program'!$H$38),'Bonding Program'!$AA$38,0)-IF(CJ$3&lt;='Bonding Program'!$C$8,IF(AND('Bonding Program'!$K$38&lt;&gt;"",CJ$3='Bonding Program'!$K$38),'Bonding Program'!$J$38,0)-IF(AND('Bonding Program'!$M$38&lt;&gt;"",CJ$3='Bonding Program'!$M$38),'Bonding Program'!$L$38,0)-IF(AND('Bonding Program'!$P$38&lt;&gt;"",CJ$3='Bonding Program'!$P$38),'Bonding Program'!$O$38,0)-IF(AND('Bonding Program'!$R$38&lt;&gt;"",CJ$3='Bonding Program'!$R$38),'Bonding Program'!$Q$38,0),0)</f>
        <v>0</v>
      </c>
      <c r="CK179" s="19" t="n">
        <f aca="false">IF(AND('Bonding Program'!$S$38=1,CK$3='Bonding Program'!$H$38),'Bonding Program'!$AA$38,0)-IF(CK$3&lt;='Bonding Program'!$C$8,IF(AND('Bonding Program'!$K$38&lt;&gt;"",CK$3='Bonding Program'!$K$38),'Bonding Program'!$J$38,0)-IF(AND('Bonding Program'!$M$38&lt;&gt;"",CK$3='Bonding Program'!$M$38),'Bonding Program'!$L$38,0)-IF(AND('Bonding Program'!$P$38&lt;&gt;"",CK$3='Bonding Program'!$P$38),'Bonding Program'!$O$38,0)-IF(AND('Bonding Program'!$R$38&lt;&gt;"",CK$3='Bonding Program'!$R$38),'Bonding Program'!$Q$38,0),0)</f>
        <v>0</v>
      </c>
      <c r="CL179" s="19" t="n">
        <f aca="false">IF(AND('Bonding Program'!$S$38=1,CL$3='Bonding Program'!$H$38),'Bonding Program'!$AA$38,0)-IF(CL$3&lt;='Bonding Program'!$C$8,IF(AND('Bonding Program'!$K$38&lt;&gt;"",CL$3='Bonding Program'!$K$38),'Bonding Program'!$J$38,0)-IF(AND('Bonding Program'!$M$38&lt;&gt;"",CL$3='Bonding Program'!$M$38),'Bonding Program'!$L$38,0)-IF(AND('Bonding Program'!$P$38&lt;&gt;"",CL$3='Bonding Program'!$P$38),'Bonding Program'!$O$38,0)-IF(AND('Bonding Program'!$R$38&lt;&gt;"",CL$3='Bonding Program'!$R$38),'Bonding Program'!$Q$38,0),0)</f>
        <v>0</v>
      </c>
      <c r="CM179" s="19" t="n">
        <f aca="false">IF(AND('Bonding Program'!$S$38=1,CM$3='Bonding Program'!$H$38),'Bonding Program'!$AA$38,0)-IF(CM$3&lt;='Bonding Program'!$C$8,IF(AND('Bonding Program'!$K$38&lt;&gt;"",CM$3='Bonding Program'!$K$38),'Bonding Program'!$J$38,0)-IF(AND('Bonding Program'!$M$38&lt;&gt;"",CM$3='Bonding Program'!$M$38),'Bonding Program'!$L$38,0)-IF(AND('Bonding Program'!$P$38&lt;&gt;"",CM$3='Bonding Program'!$P$38),'Bonding Program'!$O$38,0)-IF(AND('Bonding Program'!$R$38&lt;&gt;"",CM$3='Bonding Program'!$R$38),'Bonding Program'!$Q$38,0),0)</f>
        <v>0</v>
      </c>
      <c r="CN179" s="19" t="n">
        <f aca="false">IF(AND('Bonding Program'!$S$38=1,CN$3='Bonding Program'!$H$38),'Bonding Program'!$AA$38,0)-IF(CN$3&lt;='Bonding Program'!$C$8,IF(AND('Bonding Program'!$K$38&lt;&gt;"",CN$3='Bonding Program'!$K$38),'Bonding Program'!$J$38,0)-IF(AND('Bonding Program'!$M$38&lt;&gt;"",CN$3='Bonding Program'!$M$38),'Bonding Program'!$L$38,0)-IF(AND('Bonding Program'!$P$38&lt;&gt;"",CN$3='Bonding Program'!$P$38),'Bonding Program'!$O$38,0)-IF(AND('Bonding Program'!$R$38&lt;&gt;"",CN$3='Bonding Program'!$R$38),'Bonding Program'!$Q$38,0),0)</f>
        <v>0</v>
      </c>
      <c r="CO179" s="19" t="n">
        <f aca="false">IF(AND('Bonding Program'!$S$38=1,CO$3='Bonding Program'!$H$38),'Bonding Program'!$AA$38,0)-IF(CO$3&lt;='Bonding Program'!$C$8,IF(AND('Bonding Program'!$K$38&lt;&gt;"",CO$3='Bonding Program'!$K$38),'Bonding Program'!$J$38,0)-IF(AND('Bonding Program'!$M$38&lt;&gt;"",CO$3='Bonding Program'!$M$38),'Bonding Program'!$L$38,0)-IF(AND('Bonding Program'!$P$38&lt;&gt;"",CO$3='Bonding Program'!$P$38),'Bonding Program'!$O$38,0)-IF(AND('Bonding Program'!$R$38&lt;&gt;"",CO$3='Bonding Program'!$R$38),'Bonding Program'!$Q$38,0),0)</f>
        <v>0</v>
      </c>
      <c r="CP179" s="19" t="n">
        <f aca="false">IF(AND('Bonding Program'!$S$38=1,CP$3='Bonding Program'!$H$38),'Bonding Program'!$AA$38,0)-IF(CP$3&lt;='Bonding Program'!$C$8,IF(AND('Bonding Program'!$K$38&lt;&gt;"",CP$3='Bonding Program'!$K$38),'Bonding Program'!$J$38,0)-IF(AND('Bonding Program'!$M$38&lt;&gt;"",CP$3='Bonding Program'!$M$38),'Bonding Program'!$L$38,0)-IF(AND('Bonding Program'!$P$38&lt;&gt;"",CP$3='Bonding Program'!$P$38),'Bonding Program'!$O$38,0)-IF(AND('Bonding Program'!$R$38&lt;&gt;"",CP$3='Bonding Program'!$R$38),'Bonding Program'!$Q$38,0),0)</f>
        <v>0</v>
      </c>
      <c r="CQ179" s="19" t="n">
        <f aca="false">IF(AND('Bonding Program'!$S$38=1,CQ$3='Bonding Program'!$H$38),'Bonding Program'!$AA$38,0)-IF(CQ$3&lt;='Bonding Program'!$C$8,IF(AND('Bonding Program'!$K$38&lt;&gt;"",CQ$3='Bonding Program'!$K$38),'Bonding Program'!$J$38,0)-IF(AND('Bonding Program'!$M$38&lt;&gt;"",CQ$3='Bonding Program'!$M$38),'Bonding Program'!$L$38,0)-IF(AND('Bonding Program'!$P$38&lt;&gt;"",CQ$3='Bonding Program'!$P$38),'Bonding Program'!$O$38,0)-IF(AND('Bonding Program'!$R$38&lt;&gt;"",CQ$3='Bonding Program'!$R$38),'Bonding Program'!$Q$38,0),0)</f>
        <v>0</v>
      </c>
      <c r="CR179" s="19" t="n">
        <f aca="false">IF(AND('Bonding Program'!$S$38=1,CR$3='Bonding Program'!$H$38),'Bonding Program'!$AA$38,0)-IF(CR$3&lt;='Bonding Program'!$C$8,IF(AND('Bonding Program'!$K$38&lt;&gt;"",CR$3='Bonding Program'!$K$38),'Bonding Program'!$J$38,0)-IF(AND('Bonding Program'!$M$38&lt;&gt;"",CR$3='Bonding Program'!$M$38),'Bonding Program'!$L$38,0)-IF(AND('Bonding Program'!$P$38&lt;&gt;"",CR$3='Bonding Program'!$P$38),'Bonding Program'!$O$38,0)-IF(AND('Bonding Program'!$R$38&lt;&gt;"",CR$3='Bonding Program'!$R$38),'Bonding Program'!$Q$38,0),0)</f>
        <v>0</v>
      </c>
      <c r="CS179" s="19" t="n">
        <f aca="false">IF(AND('Bonding Program'!$S$38=1,CS$3='Bonding Program'!$H$38),'Bonding Program'!$AA$38,0)-IF(CS$3&lt;='Bonding Program'!$C$8,IF(AND('Bonding Program'!$K$38&lt;&gt;"",CS$3='Bonding Program'!$K$38),'Bonding Program'!$J$38,0)-IF(AND('Bonding Program'!$M$38&lt;&gt;"",CS$3='Bonding Program'!$M$38),'Bonding Program'!$L$38,0)-IF(AND('Bonding Program'!$P$38&lt;&gt;"",CS$3='Bonding Program'!$P$38),'Bonding Program'!$O$38,0)-IF(AND('Bonding Program'!$R$38&lt;&gt;"",CS$3='Bonding Program'!$R$38),'Bonding Program'!$Q$38,0),0)</f>
        <v>0</v>
      </c>
      <c r="CT179" s="19" t="n">
        <f aca="false">IF(AND('Bonding Program'!$S$38=1,CT$3='Bonding Program'!$H$38),'Bonding Program'!$AA$38,0)-IF(CT$3&lt;='Bonding Program'!$C$8,IF(AND('Bonding Program'!$K$38&lt;&gt;"",CT$3='Bonding Program'!$K$38),'Bonding Program'!$J$38,0)-IF(AND('Bonding Program'!$M$38&lt;&gt;"",CT$3='Bonding Program'!$M$38),'Bonding Program'!$L$38,0)-IF(AND('Bonding Program'!$P$38&lt;&gt;"",CT$3='Bonding Program'!$P$38),'Bonding Program'!$O$38,0)-IF(AND('Bonding Program'!$R$38&lt;&gt;"",CT$3='Bonding Program'!$R$38),'Bonding Program'!$Q$38,0),0)</f>
        <v>0</v>
      </c>
      <c r="CU179" s="19" t="n">
        <f aca="false">IF(AND('Bonding Program'!$S$38=1,CU$3='Bonding Program'!$H$38),'Bonding Program'!$AA$38,0)-IF(CU$3&lt;='Bonding Program'!$C$8,IF(AND('Bonding Program'!$K$38&lt;&gt;"",CU$3='Bonding Program'!$K$38),'Bonding Program'!$J$38,0)-IF(AND('Bonding Program'!$M$38&lt;&gt;"",CU$3='Bonding Program'!$M$38),'Bonding Program'!$L$38,0)-IF(AND('Bonding Program'!$P$38&lt;&gt;"",CU$3='Bonding Program'!$P$38),'Bonding Program'!$O$38,0)-IF(AND('Bonding Program'!$R$38&lt;&gt;"",CU$3='Bonding Program'!$R$38),'Bonding Program'!$Q$38,0),0)</f>
        <v>0</v>
      </c>
      <c r="CV179" s="19" t="n">
        <f aca="false">IF(AND('Bonding Program'!$S$38=1,CV$3='Bonding Program'!$H$38),'Bonding Program'!$AA$38,0)-IF(CV$3&lt;='Bonding Program'!$C$8,IF(AND('Bonding Program'!$K$38&lt;&gt;"",CV$3='Bonding Program'!$K$38),'Bonding Program'!$J$38,0)-IF(AND('Bonding Program'!$M$38&lt;&gt;"",CV$3='Bonding Program'!$M$38),'Bonding Program'!$L$38,0)-IF(AND('Bonding Program'!$P$38&lt;&gt;"",CV$3='Bonding Program'!$P$38),'Bonding Program'!$O$38,0)-IF(AND('Bonding Program'!$R$38&lt;&gt;"",CV$3='Bonding Program'!$R$38),'Bonding Program'!$Q$38,0),0)</f>
        <v>0</v>
      </c>
      <c r="CW179" s="19" t="n">
        <f aca="false">IF(AND('Bonding Program'!$S$38=1,CW$3='Bonding Program'!$H$38),'Bonding Program'!$AA$38,0)-IF(CW$3&lt;='Bonding Program'!$C$8,IF(AND('Bonding Program'!$K$38&lt;&gt;"",CW$3='Bonding Program'!$K$38),'Bonding Program'!$J$38,0)-IF(AND('Bonding Program'!$M$38&lt;&gt;"",CW$3='Bonding Program'!$M$38),'Bonding Program'!$L$38,0)-IF(AND('Bonding Program'!$P$38&lt;&gt;"",CW$3='Bonding Program'!$P$38),'Bonding Program'!$O$38,0)-IF(AND('Bonding Program'!$R$38&lt;&gt;"",CW$3='Bonding Program'!$R$38),'Bonding Program'!$Q$38,0),0)</f>
        <v>0</v>
      </c>
      <c r="CX179" s="19" t="n">
        <f aca="false">IF(AND('Bonding Program'!$S$38=1,CX$3='Bonding Program'!$H$38),'Bonding Program'!$AA$38,0)-IF(CX$3&lt;='Bonding Program'!$C$8,IF(AND('Bonding Program'!$K$38&lt;&gt;"",CX$3='Bonding Program'!$K$38),'Bonding Program'!$J$38,0)-IF(AND('Bonding Program'!$M$38&lt;&gt;"",CX$3='Bonding Program'!$M$38),'Bonding Program'!$L$38,0)-IF(AND('Bonding Program'!$P$38&lt;&gt;"",CX$3='Bonding Program'!$P$38),'Bonding Program'!$O$38,0)-IF(AND('Bonding Program'!$R$38&lt;&gt;"",CX$3='Bonding Program'!$R$38),'Bonding Program'!$Q$38,0),0)</f>
        <v>0</v>
      </c>
      <c r="CY179" s="19" t="n">
        <f aca="false">IF(AND('Bonding Program'!$S$38=1,CY$3='Bonding Program'!$H$38),'Bonding Program'!$AA$38,0)-IF(CY$3&lt;='Bonding Program'!$C$8,IF(AND('Bonding Program'!$K$38&lt;&gt;"",CY$3='Bonding Program'!$K$38),'Bonding Program'!$J$38,0)-IF(AND('Bonding Program'!$M$38&lt;&gt;"",CY$3='Bonding Program'!$M$38),'Bonding Program'!$L$38,0)-IF(AND('Bonding Program'!$P$38&lt;&gt;"",CY$3='Bonding Program'!$P$38),'Bonding Program'!$O$38,0)-IF(AND('Bonding Program'!$R$38&lt;&gt;"",CY$3='Bonding Program'!$R$38),'Bonding Program'!$Q$38,0),0)</f>
        <v>0</v>
      </c>
      <c r="CZ179" s="19" t="n">
        <f aca="false">IF(AND('Bonding Program'!$S$38=1,CZ$3='Bonding Program'!$H$38),'Bonding Program'!$AA$38,0)-IF(CZ$3&lt;='Bonding Program'!$C$8,IF(AND('Bonding Program'!$K$38&lt;&gt;"",CZ$3='Bonding Program'!$K$38),'Bonding Program'!$J$38,0)-IF(AND('Bonding Program'!$M$38&lt;&gt;"",CZ$3='Bonding Program'!$M$38),'Bonding Program'!$L$38,0)-IF(AND('Bonding Program'!$P$38&lt;&gt;"",CZ$3='Bonding Program'!$P$38),'Bonding Program'!$O$38,0)-IF(AND('Bonding Program'!$R$38&lt;&gt;"",CZ$3='Bonding Program'!$R$38),'Bonding Program'!$Q$38,0),0)</f>
        <v>0</v>
      </c>
      <c r="DA179" s="19" t="n">
        <f aca="false">IF(AND('Bonding Program'!$S$38=1,DA$3='Bonding Program'!$H$38),'Bonding Program'!$AA$38,0)-IF(DA$3&lt;='Bonding Program'!$C$8,IF(AND('Bonding Program'!$K$38&lt;&gt;"",DA$3='Bonding Program'!$K$38),'Bonding Program'!$J$38,0)-IF(AND('Bonding Program'!$M$38&lt;&gt;"",DA$3='Bonding Program'!$M$38),'Bonding Program'!$L$38,0)-IF(AND('Bonding Program'!$P$38&lt;&gt;"",DA$3='Bonding Program'!$P$38),'Bonding Program'!$O$38,0)-IF(AND('Bonding Program'!$R$38&lt;&gt;"",DA$3='Bonding Program'!$R$38),'Bonding Program'!$Q$38,0),0)</f>
        <v>0</v>
      </c>
      <c r="DB179" s="19" t="n">
        <f aca="false">IF(AND('Bonding Program'!$S$38=1,DB$3='Bonding Program'!$H$38),'Bonding Program'!$AA$38,0)-IF(DB$3&lt;='Bonding Program'!$C$8,IF(AND('Bonding Program'!$K$38&lt;&gt;"",DB$3='Bonding Program'!$K$38),'Bonding Program'!$J$38,0)-IF(AND('Bonding Program'!$M$38&lt;&gt;"",DB$3='Bonding Program'!$M$38),'Bonding Program'!$L$38,0)-IF(AND('Bonding Program'!$P$38&lt;&gt;"",DB$3='Bonding Program'!$P$38),'Bonding Program'!$O$38,0)-IF(AND('Bonding Program'!$R$38&lt;&gt;"",DB$3='Bonding Program'!$R$38),'Bonding Program'!$Q$38,0),0)</f>
        <v>0</v>
      </c>
      <c r="DC179" s="19" t="n">
        <f aca="false">IF(AND('Bonding Program'!$S$38=1,DC$3='Bonding Program'!$H$38),'Bonding Program'!$AA$38,0)-IF(DC$3&lt;='Bonding Program'!$C$8,IF(AND('Bonding Program'!$K$38&lt;&gt;"",DC$3='Bonding Program'!$K$38),'Bonding Program'!$J$38,0)-IF(AND('Bonding Program'!$M$38&lt;&gt;"",DC$3='Bonding Program'!$M$38),'Bonding Program'!$L$38,0)-IF(AND('Bonding Program'!$P$38&lt;&gt;"",DC$3='Bonding Program'!$P$38),'Bonding Program'!$O$38,0)-IF(AND('Bonding Program'!$R$38&lt;&gt;"",DC$3='Bonding Program'!$R$38),'Bonding Program'!$Q$38,0),0)</f>
        <v>0</v>
      </c>
      <c r="DD179" s="19" t="n">
        <f aca="false">IF(AND('Bonding Program'!$S$38=1,DD$3='Bonding Program'!$H$38),'Bonding Program'!$AA$38,0)-IF(DD$3&lt;='Bonding Program'!$C$8,IF(AND('Bonding Program'!$K$38&lt;&gt;"",DD$3='Bonding Program'!$K$38),'Bonding Program'!$J$38,0)-IF(AND('Bonding Program'!$M$38&lt;&gt;"",DD$3='Bonding Program'!$M$38),'Bonding Program'!$L$38,0)-IF(AND('Bonding Program'!$P$38&lt;&gt;"",DD$3='Bonding Program'!$P$38),'Bonding Program'!$O$38,0)-IF(AND('Bonding Program'!$R$38&lt;&gt;"",DD$3='Bonding Program'!$R$38),'Bonding Program'!$Q$38,0),0)</f>
        <v>0</v>
      </c>
      <c r="DE179" s="19" t="n">
        <f aca="false">IF(AND('Bonding Program'!$S$38=1,DE$3='Bonding Program'!$H$38),'Bonding Program'!$AA$38,0)-IF(DE$3&lt;='Bonding Program'!$C$8,IF(AND('Bonding Program'!$K$38&lt;&gt;"",DE$3='Bonding Program'!$K$38),'Bonding Program'!$J$38,0)-IF(AND('Bonding Program'!$M$38&lt;&gt;"",DE$3='Bonding Program'!$M$38),'Bonding Program'!$L$38,0)-IF(AND('Bonding Program'!$P$38&lt;&gt;"",DE$3='Bonding Program'!$P$38),'Bonding Program'!$O$38,0)-IF(AND('Bonding Program'!$R$38&lt;&gt;"",DE$3='Bonding Program'!$R$38),'Bonding Program'!$Q$38,0),0)</f>
        <v>0</v>
      </c>
    </row>
    <row r="180" customFormat="false" ht="15" hidden="false" customHeight="true" outlineLevel="1" collapsed="false">
      <c r="A180" s="28" t="s">
        <v>35</v>
      </c>
      <c r="B180" s="19" t="n">
        <f aca="false">IF(AND('Bonding Program'!$S$39=1,B$3='Bonding Program'!$H$39),'Bonding Program'!$AA$39,0)-IF(B$3&lt;='Bonding Program'!$C$8,IF(AND('Bonding Program'!$K$39&lt;&gt;"",B$3='Bonding Program'!$K$39),'Bonding Program'!$J$39,0)-IF(AND('Bonding Program'!$M$39&lt;&gt;"",B$3='Bonding Program'!$M$39),'Bonding Program'!$L$39,0)-IF(AND('Bonding Program'!$P$39&lt;&gt;"",B$3='Bonding Program'!$P$39),'Bonding Program'!$O$39,0)-IF(AND('Bonding Program'!$R$39&lt;&gt;"",B$3='Bonding Program'!$R$39),'Bonding Program'!$Q$39,0),0)</f>
        <v>0</v>
      </c>
      <c r="C180" s="19" t="n">
        <f aca="false">IF(AND('Bonding Program'!$S$39=1,C$3='Bonding Program'!$H$39),'Bonding Program'!$AA$39,0)-IF(C$3&lt;='Bonding Program'!$C$8,IF(AND('Bonding Program'!$K$39&lt;&gt;"",C$3='Bonding Program'!$K$39),'Bonding Program'!$J$39,0)-IF(AND('Bonding Program'!$M$39&lt;&gt;"",C$3='Bonding Program'!$M$39),'Bonding Program'!$L$39,0)-IF(AND('Bonding Program'!$P$39&lt;&gt;"",C$3='Bonding Program'!$P$39),'Bonding Program'!$O$39,0)-IF(AND('Bonding Program'!$R$39&lt;&gt;"",C$3='Bonding Program'!$R$39),'Bonding Program'!$Q$39,0),0)</f>
        <v>0</v>
      </c>
      <c r="D180" s="19" t="n">
        <f aca="false">IF(AND('Bonding Program'!$S$39=1,D$3='Bonding Program'!$H$39),'Bonding Program'!$AA$39,0)-IF(D$3&lt;='Bonding Program'!$C$8,IF(AND('Bonding Program'!$K$39&lt;&gt;"",D$3='Bonding Program'!$K$39),'Bonding Program'!$J$39,0)-IF(AND('Bonding Program'!$M$39&lt;&gt;"",D$3='Bonding Program'!$M$39),'Bonding Program'!$L$39,0)-IF(AND('Bonding Program'!$P$39&lt;&gt;"",D$3='Bonding Program'!$P$39),'Bonding Program'!$O$39,0)-IF(AND('Bonding Program'!$R$39&lt;&gt;"",D$3='Bonding Program'!$R$39),'Bonding Program'!$Q$39,0),0)</f>
        <v>0</v>
      </c>
      <c r="E180" s="19" t="n">
        <f aca="false">IF(AND('Bonding Program'!$S$39=1,E$3='Bonding Program'!$H$39),'Bonding Program'!$AA$39,0)-IF(E$3&lt;='Bonding Program'!$C$8,IF(AND('Bonding Program'!$K$39&lt;&gt;"",E$3='Bonding Program'!$K$39),'Bonding Program'!$J$39,0)-IF(AND('Bonding Program'!$M$39&lt;&gt;"",E$3='Bonding Program'!$M$39),'Bonding Program'!$L$39,0)-IF(AND('Bonding Program'!$P$39&lt;&gt;"",E$3='Bonding Program'!$P$39),'Bonding Program'!$O$39,0)-IF(AND('Bonding Program'!$R$39&lt;&gt;"",E$3='Bonding Program'!$R$39),'Bonding Program'!$Q$39,0),0)</f>
        <v>0</v>
      </c>
      <c r="F180" s="19" t="n">
        <f aca="false">IF(AND('Bonding Program'!$S$39=1,F$3='Bonding Program'!$H$39),'Bonding Program'!$AA$39,0)-IF(F$3&lt;='Bonding Program'!$C$8,IF(AND('Bonding Program'!$K$39&lt;&gt;"",F$3='Bonding Program'!$K$39),'Bonding Program'!$J$39,0)-IF(AND('Bonding Program'!$M$39&lt;&gt;"",F$3='Bonding Program'!$M$39),'Bonding Program'!$L$39,0)-IF(AND('Bonding Program'!$P$39&lt;&gt;"",F$3='Bonding Program'!$P$39),'Bonding Program'!$O$39,0)-IF(AND('Bonding Program'!$R$39&lt;&gt;"",F$3='Bonding Program'!$R$39),'Bonding Program'!$Q$39,0),0)</f>
        <v>0</v>
      </c>
      <c r="G180" s="19" t="n">
        <f aca="false">IF(AND('Bonding Program'!$S$39=1,G$3='Bonding Program'!$H$39),'Bonding Program'!$AA$39,0)-IF(G$3&lt;='Bonding Program'!$C$8,IF(AND('Bonding Program'!$K$39&lt;&gt;"",G$3='Bonding Program'!$K$39),'Bonding Program'!$J$39,0)-IF(AND('Bonding Program'!$M$39&lt;&gt;"",G$3='Bonding Program'!$M$39),'Bonding Program'!$L$39,0)-IF(AND('Bonding Program'!$P$39&lt;&gt;"",G$3='Bonding Program'!$P$39),'Bonding Program'!$O$39,0)-IF(AND('Bonding Program'!$R$39&lt;&gt;"",G$3='Bonding Program'!$R$39),'Bonding Program'!$Q$39,0),0)</f>
        <v>0</v>
      </c>
      <c r="H180" s="19" t="n">
        <f aca="false">IF(AND('Bonding Program'!$S$39=1,H$3='Bonding Program'!$H$39),'Bonding Program'!$AA$39,0)-IF(H$3&lt;='Bonding Program'!$C$8,IF(AND('Bonding Program'!$K$39&lt;&gt;"",H$3='Bonding Program'!$K$39),'Bonding Program'!$J$39,0)-IF(AND('Bonding Program'!$M$39&lt;&gt;"",H$3='Bonding Program'!$M$39),'Bonding Program'!$L$39,0)-IF(AND('Bonding Program'!$P$39&lt;&gt;"",H$3='Bonding Program'!$P$39),'Bonding Program'!$O$39,0)-IF(AND('Bonding Program'!$R$39&lt;&gt;"",H$3='Bonding Program'!$R$39),'Bonding Program'!$Q$39,0),0)</f>
        <v>0</v>
      </c>
      <c r="I180" s="19" t="n">
        <f aca="false">IF(AND('Bonding Program'!$S$39=1,I$3='Bonding Program'!$H$39),'Bonding Program'!$AA$39,0)-IF(I$3&lt;='Bonding Program'!$C$8,IF(AND('Bonding Program'!$K$39&lt;&gt;"",I$3='Bonding Program'!$K$39),'Bonding Program'!$J$39,0)-IF(AND('Bonding Program'!$M$39&lt;&gt;"",I$3='Bonding Program'!$M$39),'Bonding Program'!$L$39,0)-IF(AND('Bonding Program'!$P$39&lt;&gt;"",I$3='Bonding Program'!$P$39),'Bonding Program'!$O$39,0)-IF(AND('Bonding Program'!$R$39&lt;&gt;"",I$3='Bonding Program'!$R$39),'Bonding Program'!$Q$39,0),0)</f>
        <v>0</v>
      </c>
      <c r="J180" s="19" t="n">
        <f aca="false">IF(AND('Bonding Program'!$S$39=1,J$3='Bonding Program'!$H$39),'Bonding Program'!$AA$39,0)-IF(J$3&lt;='Bonding Program'!$C$8,IF(AND('Bonding Program'!$K$39&lt;&gt;"",J$3='Bonding Program'!$K$39),'Bonding Program'!$J$39,0)-IF(AND('Bonding Program'!$M$39&lt;&gt;"",J$3='Bonding Program'!$M$39),'Bonding Program'!$L$39,0)-IF(AND('Bonding Program'!$P$39&lt;&gt;"",J$3='Bonding Program'!$P$39),'Bonding Program'!$O$39,0)-IF(AND('Bonding Program'!$R$39&lt;&gt;"",J$3='Bonding Program'!$R$39),'Bonding Program'!$Q$39,0),0)</f>
        <v>0</v>
      </c>
      <c r="K180" s="19" t="n">
        <f aca="false">IF(AND('Bonding Program'!$S$39=1,K$3='Bonding Program'!$H$39),'Bonding Program'!$AA$39,0)-IF(K$3&lt;='Bonding Program'!$C$8,IF(AND('Bonding Program'!$K$39&lt;&gt;"",K$3='Bonding Program'!$K$39),'Bonding Program'!$J$39,0)-IF(AND('Bonding Program'!$M$39&lt;&gt;"",K$3='Bonding Program'!$M$39),'Bonding Program'!$L$39,0)-IF(AND('Bonding Program'!$P$39&lt;&gt;"",K$3='Bonding Program'!$P$39),'Bonding Program'!$O$39,0)-IF(AND('Bonding Program'!$R$39&lt;&gt;"",K$3='Bonding Program'!$R$39),'Bonding Program'!$Q$39,0),0)</f>
        <v>0</v>
      </c>
      <c r="L180" s="19" t="n">
        <f aca="false">IF(AND('Bonding Program'!$S$39=1,L$3='Bonding Program'!$H$39),'Bonding Program'!$AA$39,0)-IF(L$3&lt;='Bonding Program'!$C$8,IF(AND('Bonding Program'!$K$39&lt;&gt;"",L$3='Bonding Program'!$K$39),'Bonding Program'!$J$39,0)-IF(AND('Bonding Program'!$M$39&lt;&gt;"",L$3='Bonding Program'!$M$39),'Bonding Program'!$L$39,0)-IF(AND('Bonding Program'!$P$39&lt;&gt;"",L$3='Bonding Program'!$P$39),'Bonding Program'!$O$39,0)-IF(AND('Bonding Program'!$R$39&lt;&gt;"",L$3='Bonding Program'!$R$39),'Bonding Program'!$Q$39,0),0)</f>
        <v>0</v>
      </c>
      <c r="M180" s="19" t="n">
        <f aca="false">IF(AND('Bonding Program'!$S$39=1,M$3='Bonding Program'!$H$39),'Bonding Program'!$AA$39,0)-IF(M$3&lt;='Bonding Program'!$C$8,IF(AND('Bonding Program'!$K$39&lt;&gt;"",M$3='Bonding Program'!$K$39),'Bonding Program'!$J$39,0)-IF(AND('Bonding Program'!$M$39&lt;&gt;"",M$3='Bonding Program'!$M$39),'Bonding Program'!$L$39,0)-IF(AND('Bonding Program'!$P$39&lt;&gt;"",M$3='Bonding Program'!$P$39),'Bonding Program'!$O$39,0)-IF(AND('Bonding Program'!$R$39&lt;&gt;"",M$3='Bonding Program'!$R$39),'Bonding Program'!$Q$39,0),0)</f>
        <v>0</v>
      </c>
      <c r="N180" s="19" t="n">
        <f aca="false">IF(AND('Bonding Program'!$S$39=1,N$3='Bonding Program'!$H$39),'Bonding Program'!$AA$39,0)-IF(N$3&lt;='Bonding Program'!$C$8,IF(AND('Bonding Program'!$K$39&lt;&gt;"",N$3='Bonding Program'!$K$39),'Bonding Program'!$J$39,0)-IF(AND('Bonding Program'!$M$39&lt;&gt;"",N$3='Bonding Program'!$M$39),'Bonding Program'!$L$39,0)-IF(AND('Bonding Program'!$P$39&lt;&gt;"",N$3='Bonding Program'!$P$39),'Bonding Program'!$O$39,0)-IF(AND('Bonding Program'!$R$39&lt;&gt;"",N$3='Bonding Program'!$R$39),'Bonding Program'!$Q$39,0),0)</f>
        <v>0</v>
      </c>
      <c r="O180" s="19" t="n">
        <f aca="false">IF(AND('Bonding Program'!$S$39=1,O$3='Bonding Program'!$H$39),'Bonding Program'!$AA$39,0)-IF(O$3&lt;='Bonding Program'!$C$8,IF(AND('Bonding Program'!$K$39&lt;&gt;"",O$3='Bonding Program'!$K$39),'Bonding Program'!$J$39,0)-IF(AND('Bonding Program'!$M$39&lt;&gt;"",O$3='Bonding Program'!$M$39),'Bonding Program'!$L$39,0)-IF(AND('Bonding Program'!$P$39&lt;&gt;"",O$3='Bonding Program'!$P$39),'Bonding Program'!$O$39,0)-IF(AND('Bonding Program'!$R$39&lt;&gt;"",O$3='Bonding Program'!$R$39),'Bonding Program'!$Q$39,0),0)</f>
        <v>0</v>
      </c>
      <c r="P180" s="19" t="n">
        <f aca="false">IF(AND('Bonding Program'!$S$39=1,P$3='Bonding Program'!$H$39),'Bonding Program'!$AA$39,0)-IF(P$3&lt;='Bonding Program'!$C$8,IF(AND('Bonding Program'!$K$39&lt;&gt;"",P$3='Bonding Program'!$K$39),'Bonding Program'!$J$39,0)-IF(AND('Bonding Program'!$M$39&lt;&gt;"",P$3='Bonding Program'!$M$39),'Bonding Program'!$L$39,0)-IF(AND('Bonding Program'!$P$39&lt;&gt;"",P$3='Bonding Program'!$P$39),'Bonding Program'!$O$39,0)-IF(AND('Bonding Program'!$R$39&lt;&gt;"",P$3='Bonding Program'!$R$39),'Bonding Program'!$Q$39,0),0)</f>
        <v>0</v>
      </c>
      <c r="Q180" s="19" t="n">
        <f aca="false">IF(AND('Bonding Program'!$S$39=1,Q$3='Bonding Program'!$H$39),'Bonding Program'!$AA$39,0)-IF(Q$3&lt;='Bonding Program'!$C$8,IF(AND('Bonding Program'!$K$39&lt;&gt;"",Q$3='Bonding Program'!$K$39),'Bonding Program'!$J$39,0)-IF(AND('Bonding Program'!$M$39&lt;&gt;"",Q$3='Bonding Program'!$M$39),'Bonding Program'!$L$39,0)-IF(AND('Bonding Program'!$P$39&lt;&gt;"",Q$3='Bonding Program'!$P$39),'Bonding Program'!$O$39,0)-IF(AND('Bonding Program'!$R$39&lt;&gt;"",Q$3='Bonding Program'!$R$39),'Bonding Program'!$Q$39,0),0)</f>
        <v>0</v>
      </c>
      <c r="R180" s="19" t="n">
        <f aca="false">IF(AND('Bonding Program'!$S$39=1,R$3='Bonding Program'!$H$39),'Bonding Program'!$AA$39,0)-IF(R$3&lt;='Bonding Program'!$C$8,IF(AND('Bonding Program'!$K$39&lt;&gt;"",R$3='Bonding Program'!$K$39),'Bonding Program'!$J$39,0)-IF(AND('Bonding Program'!$M$39&lt;&gt;"",R$3='Bonding Program'!$M$39),'Bonding Program'!$L$39,0)-IF(AND('Bonding Program'!$P$39&lt;&gt;"",R$3='Bonding Program'!$P$39),'Bonding Program'!$O$39,0)-IF(AND('Bonding Program'!$R$39&lt;&gt;"",R$3='Bonding Program'!$R$39),'Bonding Program'!$Q$39,0),0)</f>
        <v>0</v>
      </c>
      <c r="S180" s="19" t="n">
        <f aca="false">IF(AND('Bonding Program'!$S$39=1,S$3='Bonding Program'!$H$39),'Bonding Program'!$AA$39,0)-IF(S$3&lt;='Bonding Program'!$C$8,IF(AND('Bonding Program'!$K$39&lt;&gt;"",S$3='Bonding Program'!$K$39),'Bonding Program'!$J$39,0)-IF(AND('Bonding Program'!$M$39&lt;&gt;"",S$3='Bonding Program'!$M$39),'Bonding Program'!$L$39,0)-IF(AND('Bonding Program'!$P$39&lt;&gt;"",S$3='Bonding Program'!$P$39),'Bonding Program'!$O$39,0)-IF(AND('Bonding Program'!$R$39&lt;&gt;"",S$3='Bonding Program'!$R$39),'Bonding Program'!$Q$39,0),0)</f>
        <v>0</v>
      </c>
      <c r="T180" s="19" t="n">
        <f aca="false">IF(AND('Bonding Program'!$S$39=1,T$3='Bonding Program'!$H$39),'Bonding Program'!$AA$39,0)-IF(T$3&lt;='Bonding Program'!$C$8,IF(AND('Bonding Program'!$K$39&lt;&gt;"",T$3='Bonding Program'!$K$39),'Bonding Program'!$J$39,0)-IF(AND('Bonding Program'!$M$39&lt;&gt;"",T$3='Bonding Program'!$M$39),'Bonding Program'!$L$39,0)-IF(AND('Bonding Program'!$P$39&lt;&gt;"",T$3='Bonding Program'!$P$39),'Bonding Program'!$O$39,0)-IF(AND('Bonding Program'!$R$39&lt;&gt;"",T$3='Bonding Program'!$R$39),'Bonding Program'!$Q$39,0),0)</f>
        <v>0</v>
      </c>
      <c r="U180" s="19" t="n">
        <f aca="false">IF(AND('Bonding Program'!$S$39=1,U$3='Bonding Program'!$H$39),'Bonding Program'!$AA$39,0)-IF(U$3&lt;='Bonding Program'!$C$8,IF(AND('Bonding Program'!$K$39&lt;&gt;"",U$3='Bonding Program'!$K$39),'Bonding Program'!$J$39,0)-IF(AND('Bonding Program'!$M$39&lt;&gt;"",U$3='Bonding Program'!$M$39),'Bonding Program'!$L$39,0)-IF(AND('Bonding Program'!$P$39&lt;&gt;"",U$3='Bonding Program'!$P$39),'Bonding Program'!$O$39,0)-IF(AND('Bonding Program'!$R$39&lt;&gt;"",U$3='Bonding Program'!$R$39),'Bonding Program'!$Q$39,0),0)</f>
        <v>0</v>
      </c>
      <c r="V180" s="19" t="n">
        <f aca="false">IF(AND('Bonding Program'!$S$39=1,V$3='Bonding Program'!$H$39),'Bonding Program'!$AA$39,0)-IF(V$3&lt;='Bonding Program'!$C$8,IF(AND('Bonding Program'!$K$39&lt;&gt;"",V$3='Bonding Program'!$K$39),'Bonding Program'!$J$39,0)-IF(AND('Bonding Program'!$M$39&lt;&gt;"",V$3='Bonding Program'!$M$39),'Bonding Program'!$L$39,0)-IF(AND('Bonding Program'!$P$39&lt;&gt;"",V$3='Bonding Program'!$P$39),'Bonding Program'!$O$39,0)-IF(AND('Bonding Program'!$R$39&lt;&gt;"",V$3='Bonding Program'!$R$39),'Bonding Program'!$Q$39,0),0)</f>
        <v>0</v>
      </c>
      <c r="W180" s="19" t="n">
        <f aca="false">IF(AND('Bonding Program'!$S$39=1,W$3='Bonding Program'!$H$39),'Bonding Program'!$AA$39,0)-IF(W$3&lt;='Bonding Program'!$C$8,IF(AND('Bonding Program'!$K$39&lt;&gt;"",W$3='Bonding Program'!$K$39),'Bonding Program'!$J$39,0)-IF(AND('Bonding Program'!$M$39&lt;&gt;"",W$3='Bonding Program'!$M$39),'Bonding Program'!$L$39,0)-IF(AND('Bonding Program'!$P$39&lt;&gt;"",W$3='Bonding Program'!$P$39),'Bonding Program'!$O$39,0)-IF(AND('Bonding Program'!$R$39&lt;&gt;"",W$3='Bonding Program'!$R$39),'Bonding Program'!$Q$39,0),0)</f>
        <v>0</v>
      </c>
      <c r="X180" s="19" t="n">
        <f aca="false">IF(AND('Bonding Program'!$S$39=1,X$3='Bonding Program'!$H$39),'Bonding Program'!$AA$39,0)-IF(X$3&lt;='Bonding Program'!$C$8,IF(AND('Bonding Program'!$K$39&lt;&gt;"",X$3='Bonding Program'!$K$39),'Bonding Program'!$J$39,0)-IF(AND('Bonding Program'!$M$39&lt;&gt;"",X$3='Bonding Program'!$M$39),'Bonding Program'!$L$39,0)-IF(AND('Bonding Program'!$P$39&lt;&gt;"",X$3='Bonding Program'!$P$39),'Bonding Program'!$O$39,0)-IF(AND('Bonding Program'!$R$39&lt;&gt;"",X$3='Bonding Program'!$R$39),'Bonding Program'!$Q$39,0),0)</f>
        <v>0</v>
      </c>
      <c r="Y180" s="19" t="n">
        <f aca="false">IF(AND('Bonding Program'!$S$39=1,Y$3='Bonding Program'!$H$39),'Bonding Program'!$AA$39,0)-IF(Y$3&lt;='Bonding Program'!$C$8,IF(AND('Bonding Program'!$K$39&lt;&gt;"",Y$3='Bonding Program'!$K$39),'Bonding Program'!$J$39,0)-IF(AND('Bonding Program'!$M$39&lt;&gt;"",Y$3='Bonding Program'!$M$39),'Bonding Program'!$L$39,0)-IF(AND('Bonding Program'!$P$39&lt;&gt;"",Y$3='Bonding Program'!$P$39),'Bonding Program'!$O$39,0)-IF(AND('Bonding Program'!$R$39&lt;&gt;"",Y$3='Bonding Program'!$R$39),'Bonding Program'!$Q$39,0),0)</f>
        <v>0</v>
      </c>
      <c r="Z180" s="19" t="n">
        <f aca="false">IF(AND('Bonding Program'!$S$39=1,Z$3='Bonding Program'!$H$39),'Bonding Program'!$AA$39,0)-IF(Z$3&lt;='Bonding Program'!$C$8,IF(AND('Bonding Program'!$K$39&lt;&gt;"",Z$3='Bonding Program'!$K$39),'Bonding Program'!$J$39,0)-IF(AND('Bonding Program'!$M$39&lt;&gt;"",Z$3='Bonding Program'!$M$39),'Bonding Program'!$L$39,0)-IF(AND('Bonding Program'!$P$39&lt;&gt;"",Z$3='Bonding Program'!$P$39),'Bonding Program'!$O$39,0)-IF(AND('Bonding Program'!$R$39&lt;&gt;"",Z$3='Bonding Program'!$R$39),'Bonding Program'!$Q$39,0),0)</f>
        <v>0</v>
      </c>
      <c r="AA180" s="19" t="n">
        <f aca="false">IF(AND('Bonding Program'!$S$39=1,AA$3='Bonding Program'!$H$39),'Bonding Program'!$AA$39,0)-IF(AA$3&lt;='Bonding Program'!$C$8,IF(AND('Bonding Program'!$K$39&lt;&gt;"",AA$3='Bonding Program'!$K$39),'Bonding Program'!$J$39,0)-IF(AND('Bonding Program'!$M$39&lt;&gt;"",AA$3='Bonding Program'!$M$39),'Bonding Program'!$L$39,0)-IF(AND('Bonding Program'!$P$39&lt;&gt;"",AA$3='Bonding Program'!$P$39),'Bonding Program'!$O$39,0)-IF(AND('Bonding Program'!$R$39&lt;&gt;"",AA$3='Bonding Program'!$R$39),'Bonding Program'!$Q$39,0),0)</f>
        <v>0</v>
      </c>
      <c r="AB180" s="19" t="n">
        <f aca="false">IF(AND('Bonding Program'!$S$39=1,AB$3='Bonding Program'!$H$39),'Bonding Program'!$AA$39,0)-IF(AB$3&lt;='Bonding Program'!$C$8,IF(AND('Bonding Program'!$K$39&lt;&gt;"",AB$3='Bonding Program'!$K$39),'Bonding Program'!$J$39,0)-IF(AND('Bonding Program'!$M$39&lt;&gt;"",AB$3='Bonding Program'!$M$39),'Bonding Program'!$L$39,0)-IF(AND('Bonding Program'!$P$39&lt;&gt;"",AB$3='Bonding Program'!$P$39),'Bonding Program'!$O$39,0)-IF(AND('Bonding Program'!$R$39&lt;&gt;"",AB$3='Bonding Program'!$R$39),'Bonding Program'!$Q$39,0),0)</f>
        <v>0</v>
      </c>
      <c r="AC180" s="19" t="n">
        <f aca="false">IF(AND('Bonding Program'!$S$39=1,AC$3='Bonding Program'!$H$39),'Bonding Program'!$AA$39,0)-IF(AC$3&lt;='Bonding Program'!$C$8,IF(AND('Bonding Program'!$K$39&lt;&gt;"",AC$3='Bonding Program'!$K$39),'Bonding Program'!$J$39,0)-IF(AND('Bonding Program'!$M$39&lt;&gt;"",AC$3='Bonding Program'!$M$39),'Bonding Program'!$L$39,0)-IF(AND('Bonding Program'!$P$39&lt;&gt;"",AC$3='Bonding Program'!$P$39),'Bonding Program'!$O$39,0)-IF(AND('Bonding Program'!$R$39&lt;&gt;"",AC$3='Bonding Program'!$R$39),'Bonding Program'!$Q$39,0),0)</f>
        <v>0</v>
      </c>
      <c r="AD180" s="19" t="n">
        <f aca="false">IF(AND('Bonding Program'!$S$39=1,AD$3='Bonding Program'!$H$39),'Bonding Program'!$AA$39,0)-IF(AD$3&lt;='Bonding Program'!$C$8,IF(AND('Bonding Program'!$K$39&lt;&gt;"",AD$3='Bonding Program'!$K$39),'Bonding Program'!$J$39,0)-IF(AND('Bonding Program'!$M$39&lt;&gt;"",AD$3='Bonding Program'!$M$39),'Bonding Program'!$L$39,0)-IF(AND('Bonding Program'!$P$39&lt;&gt;"",AD$3='Bonding Program'!$P$39),'Bonding Program'!$O$39,0)-IF(AND('Bonding Program'!$R$39&lt;&gt;"",AD$3='Bonding Program'!$R$39),'Bonding Program'!$Q$39,0),0)</f>
        <v>0</v>
      </c>
      <c r="AE180" s="19" t="n">
        <f aca="false">IF(AND('Bonding Program'!$S$39=1,AE$3='Bonding Program'!$H$39),'Bonding Program'!$AA$39,0)-IF(AE$3&lt;='Bonding Program'!$C$8,IF(AND('Bonding Program'!$K$39&lt;&gt;"",AE$3='Bonding Program'!$K$39),'Bonding Program'!$J$39,0)-IF(AND('Bonding Program'!$M$39&lt;&gt;"",AE$3='Bonding Program'!$M$39),'Bonding Program'!$L$39,0)-IF(AND('Bonding Program'!$P$39&lt;&gt;"",AE$3='Bonding Program'!$P$39),'Bonding Program'!$O$39,0)-IF(AND('Bonding Program'!$R$39&lt;&gt;"",AE$3='Bonding Program'!$R$39),'Bonding Program'!$Q$39,0),0)</f>
        <v>0</v>
      </c>
      <c r="AF180" s="19" t="n">
        <f aca="false">IF(AND('Bonding Program'!$S$39=1,AF$3='Bonding Program'!$H$39),'Bonding Program'!$AA$39,0)-IF(AF$3&lt;='Bonding Program'!$C$8,IF(AND('Bonding Program'!$K$39&lt;&gt;"",AF$3='Bonding Program'!$K$39),'Bonding Program'!$J$39,0)-IF(AND('Bonding Program'!$M$39&lt;&gt;"",AF$3='Bonding Program'!$M$39),'Bonding Program'!$L$39,0)-IF(AND('Bonding Program'!$P$39&lt;&gt;"",AF$3='Bonding Program'!$P$39),'Bonding Program'!$O$39,0)-IF(AND('Bonding Program'!$R$39&lt;&gt;"",AF$3='Bonding Program'!$R$39),'Bonding Program'!$Q$39,0),0)</f>
        <v>0</v>
      </c>
      <c r="AG180" s="19" t="n">
        <f aca="false">IF(AND('Bonding Program'!$S$39=1,AG$3='Bonding Program'!$H$39),'Bonding Program'!$AA$39,0)-IF(AG$3&lt;='Bonding Program'!$C$8,IF(AND('Bonding Program'!$K$39&lt;&gt;"",AG$3='Bonding Program'!$K$39),'Bonding Program'!$J$39,0)-IF(AND('Bonding Program'!$M$39&lt;&gt;"",AG$3='Bonding Program'!$M$39),'Bonding Program'!$L$39,0)-IF(AND('Bonding Program'!$P$39&lt;&gt;"",AG$3='Bonding Program'!$P$39),'Bonding Program'!$O$39,0)-IF(AND('Bonding Program'!$R$39&lt;&gt;"",AG$3='Bonding Program'!$R$39),'Bonding Program'!$Q$39,0),0)</f>
        <v>0</v>
      </c>
      <c r="AH180" s="19" t="n">
        <f aca="false">IF(AND('Bonding Program'!$S$39=1,AH$3='Bonding Program'!$H$39),'Bonding Program'!$AA$39,0)-IF(AH$3&lt;='Bonding Program'!$C$8,IF(AND('Bonding Program'!$K$39&lt;&gt;"",AH$3='Bonding Program'!$K$39),'Bonding Program'!$J$39,0)-IF(AND('Bonding Program'!$M$39&lt;&gt;"",AH$3='Bonding Program'!$M$39),'Bonding Program'!$L$39,0)-IF(AND('Bonding Program'!$P$39&lt;&gt;"",AH$3='Bonding Program'!$P$39),'Bonding Program'!$O$39,0)-IF(AND('Bonding Program'!$R$39&lt;&gt;"",AH$3='Bonding Program'!$R$39),'Bonding Program'!$Q$39,0),0)</f>
        <v>0</v>
      </c>
      <c r="AI180" s="19" t="n">
        <f aca="false">IF(AND('Bonding Program'!$S$39=1,AI$3='Bonding Program'!$H$39),'Bonding Program'!$AA$39,0)-IF(AI$3&lt;='Bonding Program'!$C$8,IF(AND('Bonding Program'!$K$39&lt;&gt;"",AI$3='Bonding Program'!$K$39),'Bonding Program'!$J$39,0)-IF(AND('Bonding Program'!$M$39&lt;&gt;"",AI$3='Bonding Program'!$M$39),'Bonding Program'!$L$39,0)-IF(AND('Bonding Program'!$P$39&lt;&gt;"",AI$3='Bonding Program'!$P$39),'Bonding Program'!$O$39,0)-IF(AND('Bonding Program'!$R$39&lt;&gt;"",AI$3='Bonding Program'!$R$39),'Bonding Program'!$Q$39,0),0)</f>
        <v>0</v>
      </c>
      <c r="AJ180" s="19" t="n">
        <f aca="false">IF(AND('Bonding Program'!$S$39=1,AJ$3='Bonding Program'!$H$39),'Bonding Program'!$AA$39,0)-IF(AJ$3&lt;='Bonding Program'!$C$8,IF(AND('Bonding Program'!$K$39&lt;&gt;"",AJ$3='Bonding Program'!$K$39),'Bonding Program'!$J$39,0)-IF(AND('Bonding Program'!$M$39&lt;&gt;"",AJ$3='Bonding Program'!$M$39),'Bonding Program'!$L$39,0)-IF(AND('Bonding Program'!$P$39&lt;&gt;"",AJ$3='Bonding Program'!$P$39),'Bonding Program'!$O$39,0)-IF(AND('Bonding Program'!$R$39&lt;&gt;"",AJ$3='Bonding Program'!$R$39),'Bonding Program'!$Q$39,0),0)</f>
        <v>0</v>
      </c>
      <c r="AK180" s="19" t="n">
        <f aca="false">IF(AND('Bonding Program'!$S$39=1,AK$3='Bonding Program'!$H$39),'Bonding Program'!$AA$39,0)-IF(AK$3&lt;='Bonding Program'!$C$8,IF(AND('Bonding Program'!$K$39&lt;&gt;"",AK$3='Bonding Program'!$K$39),'Bonding Program'!$J$39,0)-IF(AND('Bonding Program'!$M$39&lt;&gt;"",AK$3='Bonding Program'!$M$39),'Bonding Program'!$L$39,0)-IF(AND('Bonding Program'!$P$39&lt;&gt;"",AK$3='Bonding Program'!$P$39),'Bonding Program'!$O$39,0)-IF(AND('Bonding Program'!$R$39&lt;&gt;"",AK$3='Bonding Program'!$R$39),'Bonding Program'!$Q$39,0),0)</f>
        <v>0</v>
      </c>
      <c r="AL180" s="19" t="n">
        <f aca="false">IF(AND('Bonding Program'!$S$39=1,AL$3='Bonding Program'!$H$39),'Bonding Program'!$AA$39,0)-IF(AL$3&lt;='Bonding Program'!$C$8,IF(AND('Bonding Program'!$K$39&lt;&gt;"",AL$3='Bonding Program'!$K$39),'Bonding Program'!$J$39,0)-IF(AND('Bonding Program'!$M$39&lt;&gt;"",AL$3='Bonding Program'!$M$39),'Bonding Program'!$L$39,0)-IF(AND('Bonding Program'!$P$39&lt;&gt;"",AL$3='Bonding Program'!$P$39),'Bonding Program'!$O$39,0)-IF(AND('Bonding Program'!$R$39&lt;&gt;"",AL$3='Bonding Program'!$R$39),'Bonding Program'!$Q$39,0),0)</f>
        <v>0</v>
      </c>
      <c r="AM180" s="19" t="n">
        <f aca="false">IF(AND('Bonding Program'!$S$39=1,AM$3='Bonding Program'!$H$39),'Bonding Program'!$AA$39,0)-IF(AM$3&lt;='Bonding Program'!$C$8,IF(AND('Bonding Program'!$K$39&lt;&gt;"",AM$3='Bonding Program'!$K$39),'Bonding Program'!$J$39,0)-IF(AND('Bonding Program'!$M$39&lt;&gt;"",AM$3='Bonding Program'!$M$39),'Bonding Program'!$L$39,0)-IF(AND('Bonding Program'!$P$39&lt;&gt;"",AM$3='Bonding Program'!$P$39),'Bonding Program'!$O$39,0)-IF(AND('Bonding Program'!$R$39&lt;&gt;"",AM$3='Bonding Program'!$R$39),'Bonding Program'!$Q$39,0),0)</f>
        <v>0</v>
      </c>
      <c r="AN180" s="19" t="n">
        <f aca="false">IF(AND('Bonding Program'!$S$39=1,AN$3='Bonding Program'!$H$39),'Bonding Program'!$AA$39,0)-IF(AN$3&lt;='Bonding Program'!$C$8,IF(AND('Bonding Program'!$K$39&lt;&gt;"",AN$3='Bonding Program'!$K$39),'Bonding Program'!$J$39,0)-IF(AND('Bonding Program'!$M$39&lt;&gt;"",AN$3='Bonding Program'!$M$39),'Bonding Program'!$L$39,0)-IF(AND('Bonding Program'!$P$39&lt;&gt;"",AN$3='Bonding Program'!$P$39),'Bonding Program'!$O$39,0)-IF(AND('Bonding Program'!$R$39&lt;&gt;"",AN$3='Bonding Program'!$R$39),'Bonding Program'!$Q$39,0),0)</f>
        <v>0</v>
      </c>
      <c r="AO180" s="19" t="n">
        <f aca="false">IF(AND('Bonding Program'!$S$39=1,AO$3='Bonding Program'!$H$39),'Bonding Program'!$AA$39,0)-IF(AO$3&lt;='Bonding Program'!$C$8,IF(AND('Bonding Program'!$K$39&lt;&gt;"",AO$3='Bonding Program'!$K$39),'Bonding Program'!$J$39,0)-IF(AND('Bonding Program'!$M$39&lt;&gt;"",AO$3='Bonding Program'!$M$39),'Bonding Program'!$L$39,0)-IF(AND('Bonding Program'!$P$39&lt;&gt;"",AO$3='Bonding Program'!$P$39),'Bonding Program'!$O$39,0)-IF(AND('Bonding Program'!$R$39&lt;&gt;"",AO$3='Bonding Program'!$R$39),'Bonding Program'!$Q$39,0),0)</f>
        <v>0</v>
      </c>
      <c r="AP180" s="19" t="n">
        <f aca="false">IF(AND('Bonding Program'!$S$39=1,AP$3='Bonding Program'!$H$39),'Bonding Program'!$AA$39,0)-IF(AP$3&lt;='Bonding Program'!$C$8,IF(AND('Bonding Program'!$K$39&lt;&gt;"",AP$3='Bonding Program'!$K$39),'Bonding Program'!$J$39,0)-IF(AND('Bonding Program'!$M$39&lt;&gt;"",AP$3='Bonding Program'!$M$39),'Bonding Program'!$L$39,0)-IF(AND('Bonding Program'!$P$39&lt;&gt;"",AP$3='Bonding Program'!$P$39),'Bonding Program'!$O$39,0)-IF(AND('Bonding Program'!$R$39&lt;&gt;"",AP$3='Bonding Program'!$R$39),'Bonding Program'!$Q$39,0),0)</f>
        <v>0</v>
      </c>
      <c r="AQ180" s="19" t="n">
        <f aca="false">IF(AND('Bonding Program'!$S$39=1,AQ$3='Bonding Program'!$H$39),'Bonding Program'!$AA$39,0)-IF(AQ$3&lt;='Bonding Program'!$C$8,IF(AND('Bonding Program'!$K$39&lt;&gt;"",AQ$3='Bonding Program'!$K$39),'Bonding Program'!$J$39,0)-IF(AND('Bonding Program'!$M$39&lt;&gt;"",AQ$3='Bonding Program'!$M$39),'Bonding Program'!$L$39,0)-IF(AND('Bonding Program'!$P$39&lt;&gt;"",AQ$3='Bonding Program'!$P$39),'Bonding Program'!$O$39,0)-IF(AND('Bonding Program'!$R$39&lt;&gt;"",AQ$3='Bonding Program'!$R$39),'Bonding Program'!$Q$39,0),0)</f>
        <v>0</v>
      </c>
      <c r="AR180" s="19" t="n">
        <f aca="false">IF(AND('Bonding Program'!$S$39=1,AR$3='Bonding Program'!$H$39),'Bonding Program'!$AA$39,0)-IF(AR$3&lt;='Bonding Program'!$C$8,IF(AND('Bonding Program'!$K$39&lt;&gt;"",AR$3='Bonding Program'!$K$39),'Bonding Program'!$J$39,0)-IF(AND('Bonding Program'!$M$39&lt;&gt;"",AR$3='Bonding Program'!$M$39),'Bonding Program'!$L$39,0)-IF(AND('Bonding Program'!$P$39&lt;&gt;"",AR$3='Bonding Program'!$P$39),'Bonding Program'!$O$39,0)-IF(AND('Bonding Program'!$R$39&lt;&gt;"",AR$3='Bonding Program'!$R$39),'Bonding Program'!$Q$39,0),0)</f>
        <v>0</v>
      </c>
      <c r="AS180" s="19" t="n">
        <f aca="false">IF(AND('Bonding Program'!$S$39=1,AS$3='Bonding Program'!$H$39),'Bonding Program'!$AA$39,0)-IF(AS$3&lt;='Bonding Program'!$C$8,IF(AND('Bonding Program'!$K$39&lt;&gt;"",AS$3='Bonding Program'!$K$39),'Bonding Program'!$J$39,0)-IF(AND('Bonding Program'!$M$39&lt;&gt;"",AS$3='Bonding Program'!$M$39),'Bonding Program'!$L$39,0)-IF(AND('Bonding Program'!$P$39&lt;&gt;"",AS$3='Bonding Program'!$P$39),'Bonding Program'!$O$39,0)-IF(AND('Bonding Program'!$R$39&lt;&gt;"",AS$3='Bonding Program'!$R$39),'Bonding Program'!$Q$39,0),0)</f>
        <v>0</v>
      </c>
      <c r="AT180" s="19" t="n">
        <f aca="false">IF(AND('Bonding Program'!$S$39=1,AT$3='Bonding Program'!$H$39),'Bonding Program'!$AA$39,0)-IF(AT$3&lt;='Bonding Program'!$C$8,IF(AND('Bonding Program'!$K$39&lt;&gt;"",AT$3='Bonding Program'!$K$39),'Bonding Program'!$J$39,0)-IF(AND('Bonding Program'!$M$39&lt;&gt;"",AT$3='Bonding Program'!$M$39),'Bonding Program'!$L$39,0)-IF(AND('Bonding Program'!$P$39&lt;&gt;"",AT$3='Bonding Program'!$P$39),'Bonding Program'!$O$39,0)-IF(AND('Bonding Program'!$R$39&lt;&gt;"",AT$3='Bonding Program'!$R$39),'Bonding Program'!$Q$39,0),0)</f>
        <v>0</v>
      </c>
      <c r="AU180" s="19" t="n">
        <f aca="false">IF(AND('Bonding Program'!$S$39=1,AU$3='Bonding Program'!$H$39),'Bonding Program'!$AA$39,0)-IF(AU$3&lt;='Bonding Program'!$C$8,IF(AND('Bonding Program'!$K$39&lt;&gt;"",AU$3='Bonding Program'!$K$39),'Bonding Program'!$J$39,0)-IF(AND('Bonding Program'!$M$39&lt;&gt;"",AU$3='Bonding Program'!$M$39),'Bonding Program'!$L$39,0)-IF(AND('Bonding Program'!$P$39&lt;&gt;"",AU$3='Bonding Program'!$P$39),'Bonding Program'!$O$39,0)-IF(AND('Bonding Program'!$R$39&lt;&gt;"",AU$3='Bonding Program'!$R$39),'Bonding Program'!$Q$39,0),0)</f>
        <v>0</v>
      </c>
      <c r="AV180" s="19" t="n">
        <f aca="false">IF(AND('Bonding Program'!$S$39=1,AV$3='Bonding Program'!$H$39),'Bonding Program'!$AA$39,0)-IF(AV$3&lt;='Bonding Program'!$C$8,IF(AND('Bonding Program'!$K$39&lt;&gt;"",AV$3='Bonding Program'!$K$39),'Bonding Program'!$J$39,0)-IF(AND('Bonding Program'!$M$39&lt;&gt;"",AV$3='Bonding Program'!$M$39),'Bonding Program'!$L$39,0)-IF(AND('Bonding Program'!$P$39&lt;&gt;"",AV$3='Bonding Program'!$P$39),'Bonding Program'!$O$39,0)-IF(AND('Bonding Program'!$R$39&lt;&gt;"",AV$3='Bonding Program'!$R$39),'Bonding Program'!$Q$39,0),0)</f>
        <v>0</v>
      </c>
      <c r="AW180" s="19" t="n">
        <f aca="false">IF(AND('Bonding Program'!$S$39=1,AW$3='Bonding Program'!$H$39),'Bonding Program'!$AA$39,0)-IF(AW$3&lt;='Bonding Program'!$C$8,IF(AND('Bonding Program'!$K$39&lt;&gt;"",AW$3='Bonding Program'!$K$39),'Bonding Program'!$J$39,0)-IF(AND('Bonding Program'!$M$39&lt;&gt;"",AW$3='Bonding Program'!$M$39),'Bonding Program'!$L$39,0)-IF(AND('Bonding Program'!$P$39&lt;&gt;"",AW$3='Bonding Program'!$P$39),'Bonding Program'!$O$39,0)-IF(AND('Bonding Program'!$R$39&lt;&gt;"",AW$3='Bonding Program'!$R$39),'Bonding Program'!$Q$39,0),0)</f>
        <v>0</v>
      </c>
      <c r="AX180" s="19" t="n">
        <f aca="false">IF(AND('Bonding Program'!$S$39=1,AX$3='Bonding Program'!$H$39),'Bonding Program'!$AA$39,0)-IF(AX$3&lt;='Bonding Program'!$C$8,IF(AND('Bonding Program'!$K$39&lt;&gt;"",AX$3='Bonding Program'!$K$39),'Bonding Program'!$J$39,0)-IF(AND('Bonding Program'!$M$39&lt;&gt;"",AX$3='Bonding Program'!$M$39),'Bonding Program'!$L$39,0)-IF(AND('Bonding Program'!$P$39&lt;&gt;"",AX$3='Bonding Program'!$P$39),'Bonding Program'!$O$39,0)-IF(AND('Bonding Program'!$R$39&lt;&gt;"",AX$3='Bonding Program'!$R$39),'Bonding Program'!$Q$39,0),0)</f>
        <v>0</v>
      </c>
      <c r="AY180" s="19" t="n">
        <f aca="false">IF(AND('Bonding Program'!$S$39=1,AY$3='Bonding Program'!$H$39),'Bonding Program'!$AA$39,0)-IF(AY$3&lt;='Bonding Program'!$C$8,IF(AND('Bonding Program'!$K$39&lt;&gt;"",AY$3='Bonding Program'!$K$39),'Bonding Program'!$J$39,0)-IF(AND('Bonding Program'!$M$39&lt;&gt;"",AY$3='Bonding Program'!$M$39),'Bonding Program'!$L$39,0)-IF(AND('Bonding Program'!$P$39&lt;&gt;"",AY$3='Bonding Program'!$P$39),'Bonding Program'!$O$39,0)-IF(AND('Bonding Program'!$R$39&lt;&gt;"",AY$3='Bonding Program'!$R$39),'Bonding Program'!$Q$39,0),0)</f>
        <v>0</v>
      </c>
      <c r="AZ180" s="19" t="n">
        <f aca="false">IF(AND('Bonding Program'!$S$39=1,AZ$3='Bonding Program'!$H$39),'Bonding Program'!$AA$39,0)-IF(AZ$3&lt;='Bonding Program'!$C$8,IF(AND('Bonding Program'!$K$39&lt;&gt;"",AZ$3='Bonding Program'!$K$39),'Bonding Program'!$J$39,0)-IF(AND('Bonding Program'!$M$39&lt;&gt;"",AZ$3='Bonding Program'!$M$39),'Bonding Program'!$L$39,0)-IF(AND('Bonding Program'!$P$39&lt;&gt;"",AZ$3='Bonding Program'!$P$39),'Bonding Program'!$O$39,0)-IF(AND('Bonding Program'!$R$39&lt;&gt;"",AZ$3='Bonding Program'!$R$39),'Bonding Program'!$Q$39,0),0)</f>
        <v>0</v>
      </c>
      <c r="BA180" s="19" t="n">
        <f aca="false">IF(AND('Bonding Program'!$S$39=1,BA$3='Bonding Program'!$H$39),'Bonding Program'!$AA$39,0)-IF(BA$3&lt;='Bonding Program'!$C$8,IF(AND('Bonding Program'!$K$39&lt;&gt;"",BA$3='Bonding Program'!$K$39),'Bonding Program'!$J$39,0)-IF(AND('Bonding Program'!$M$39&lt;&gt;"",BA$3='Bonding Program'!$M$39),'Bonding Program'!$L$39,0)-IF(AND('Bonding Program'!$P$39&lt;&gt;"",BA$3='Bonding Program'!$P$39),'Bonding Program'!$O$39,0)-IF(AND('Bonding Program'!$R$39&lt;&gt;"",BA$3='Bonding Program'!$R$39),'Bonding Program'!$Q$39,0),0)</f>
        <v>0</v>
      </c>
      <c r="BB180" s="19" t="n">
        <f aca="false">IF(AND('Bonding Program'!$S$39=1,BB$3='Bonding Program'!$H$39),'Bonding Program'!$AA$39,0)-IF(BB$3&lt;='Bonding Program'!$C$8,IF(AND('Bonding Program'!$K$39&lt;&gt;"",BB$3='Bonding Program'!$K$39),'Bonding Program'!$J$39,0)-IF(AND('Bonding Program'!$M$39&lt;&gt;"",BB$3='Bonding Program'!$M$39),'Bonding Program'!$L$39,0)-IF(AND('Bonding Program'!$P$39&lt;&gt;"",BB$3='Bonding Program'!$P$39),'Bonding Program'!$O$39,0)-IF(AND('Bonding Program'!$R$39&lt;&gt;"",BB$3='Bonding Program'!$R$39),'Bonding Program'!$Q$39,0),0)</f>
        <v>0</v>
      </c>
      <c r="BC180" s="19" t="n">
        <f aca="false">IF(AND('Bonding Program'!$S$39=1,BC$3='Bonding Program'!$H$39),'Bonding Program'!$AA$39,0)-IF(BC$3&lt;='Bonding Program'!$C$8,IF(AND('Bonding Program'!$K$39&lt;&gt;"",BC$3='Bonding Program'!$K$39),'Bonding Program'!$J$39,0)-IF(AND('Bonding Program'!$M$39&lt;&gt;"",BC$3='Bonding Program'!$M$39),'Bonding Program'!$L$39,0)-IF(AND('Bonding Program'!$P$39&lt;&gt;"",BC$3='Bonding Program'!$P$39),'Bonding Program'!$O$39,0)-IF(AND('Bonding Program'!$R$39&lt;&gt;"",BC$3='Bonding Program'!$R$39),'Bonding Program'!$Q$39,0),0)</f>
        <v>0</v>
      </c>
      <c r="BD180" s="19" t="n">
        <f aca="false">IF(AND('Bonding Program'!$S$39=1,BD$3='Bonding Program'!$H$39),'Bonding Program'!$AA$39,0)-IF(BD$3&lt;='Bonding Program'!$C$8,IF(AND('Bonding Program'!$K$39&lt;&gt;"",BD$3='Bonding Program'!$K$39),'Bonding Program'!$J$39,0)-IF(AND('Bonding Program'!$M$39&lt;&gt;"",BD$3='Bonding Program'!$M$39),'Bonding Program'!$L$39,0)-IF(AND('Bonding Program'!$P$39&lt;&gt;"",BD$3='Bonding Program'!$P$39),'Bonding Program'!$O$39,0)-IF(AND('Bonding Program'!$R$39&lt;&gt;"",BD$3='Bonding Program'!$R$39),'Bonding Program'!$Q$39,0),0)</f>
        <v>0</v>
      </c>
      <c r="BE180" s="19" t="n">
        <f aca="false">IF(AND('Bonding Program'!$S$39=1,BE$3='Bonding Program'!$H$39),'Bonding Program'!$AA$39,0)-IF(BE$3&lt;='Bonding Program'!$C$8,IF(AND('Bonding Program'!$K$39&lt;&gt;"",BE$3='Bonding Program'!$K$39),'Bonding Program'!$J$39,0)-IF(AND('Bonding Program'!$M$39&lt;&gt;"",BE$3='Bonding Program'!$M$39),'Bonding Program'!$L$39,0)-IF(AND('Bonding Program'!$P$39&lt;&gt;"",BE$3='Bonding Program'!$P$39),'Bonding Program'!$O$39,0)-IF(AND('Bonding Program'!$R$39&lt;&gt;"",BE$3='Bonding Program'!$R$39),'Bonding Program'!$Q$39,0),0)</f>
        <v>0</v>
      </c>
      <c r="BF180" s="19" t="n">
        <f aca="false">IF(AND('Bonding Program'!$S$39=1,BF$3='Bonding Program'!$H$39),'Bonding Program'!$AA$39,0)-IF(BF$3&lt;='Bonding Program'!$C$8,IF(AND('Bonding Program'!$K$39&lt;&gt;"",BF$3='Bonding Program'!$K$39),'Bonding Program'!$J$39,0)-IF(AND('Bonding Program'!$M$39&lt;&gt;"",BF$3='Bonding Program'!$M$39),'Bonding Program'!$L$39,0)-IF(AND('Bonding Program'!$P$39&lt;&gt;"",BF$3='Bonding Program'!$P$39),'Bonding Program'!$O$39,0)-IF(AND('Bonding Program'!$R$39&lt;&gt;"",BF$3='Bonding Program'!$R$39),'Bonding Program'!$Q$39,0),0)</f>
        <v>0</v>
      </c>
      <c r="BG180" s="19" t="n">
        <f aca="false">IF(AND('Bonding Program'!$S$39=1,BG$3='Bonding Program'!$H$39),'Bonding Program'!$AA$39,0)-IF(BG$3&lt;='Bonding Program'!$C$8,IF(AND('Bonding Program'!$K$39&lt;&gt;"",BG$3='Bonding Program'!$K$39),'Bonding Program'!$J$39,0)-IF(AND('Bonding Program'!$M$39&lt;&gt;"",BG$3='Bonding Program'!$M$39),'Bonding Program'!$L$39,0)-IF(AND('Bonding Program'!$P$39&lt;&gt;"",BG$3='Bonding Program'!$P$39),'Bonding Program'!$O$39,0)-IF(AND('Bonding Program'!$R$39&lt;&gt;"",BG$3='Bonding Program'!$R$39),'Bonding Program'!$Q$39,0),0)</f>
        <v>0</v>
      </c>
      <c r="BH180" s="19" t="n">
        <f aca="false">IF(AND('Bonding Program'!$S$39=1,BH$3='Bonding Program'!$H$39),'Bonding Program'!$AA$39,0)-IF(BH$3&lt;='Bonding Program'!$C$8,IF(AND('Bonding Program'!$K$39&lt;&gt;"",BH$3='Bonding Program'!$K$39),'Bonding Program'!$J$39,0)-IF(AND('Bonding Program'!$M$39&lt;&gt;"",BH$3='Bonding Program'!$M$39),'Bonding Program'!$L$39,0)-IF(AND('Bonding Program'!$P$39&lt;&gt;"",BH$3='Bonding Program'!$P$39),'Bonding Program'!$O$39,0)-IF(AND('Bonding Program'!$R$39&lt;&gt;"",BH$3='Bonding Program'!$R$39),'Bonding Program'!$Q$39,0),0)</f>
        <v>0</v>
      </c>
      <c r="BI180" s="19" t="n">
        <f aca="false">IF(AND('Bonding Program'!$S$39=1,BI$3='Bonding Program'!$H$39),'Bonding Program'!$AA$39,0)-IF(BI$3&lt;='Bonding Program'!$C$8,IF(AND('Bonding Program'!$K$39&lt;&gt;"",BI$3='Bonding Program'!$K$39),'Bonding Program'!$J$39,0)-IF(AND('Bonding Program'!$M$39&lt;&gt;"",BI$3='Bonding Program'!$M$39),'Bonding Program'!$L$39,0)-IF(AND('Bonding Program'!$P$39&lt;&gt;"",BI$3='Bonding Program'!$P$39),'Bonding Program'!$O$39,0)-IF(AND('Bonding Program'!$R$39&lt;&gt;"",BI$3='Bonding Program'!$R$39),'Bonding Program'!$Q$39,0),0)</f>
        <v>0</v>
      </c>
      <c r="BJ180" s="19" t="n">
        <f aca="false">IF(AND('Bonding Program'!$S$39=1,BJ$3='Bonding Program'!$H$39),'Bonding Program'!$AA$39,0)-IF(BJ$3&lt;='Bonding Program'!$C$8,IF(AND('Bonding Program'!$K$39&lt;&gt;"",BJ$3='Bonding Program'!$K$39),'Bonding Program'!$J$39,0)-IF(AND('Bonding Program'!$M$39&lt;&gt;"",BJ$3='Bonding Program'!$M$39),'Bonding Program'!$L$39,0)-IF(AND('Bonding Program'!$P$39&lt;&gt;"",BJ$3='Bonding Program'!$P$39),'Bonding Program'!$O$39,0)-IF(AND('Bonding Program'!$R$39&lt;&gt;"",BJ$3='Bonding Program'!$R$39),'Bonding Program'!$Q$39,0),0)</f>
        <v>0</v>
      </c>
      <c r="BK180" s="19" t="n">
        <f aca="false">IF(AND('Bonding Program'!$S$39=1,BK$3='Bonding Program'!$H$39),'Bonding Program'!$AA$39,0)-IF(BK$3&lt;='Bonding Program'!$C$8,IF(AND('Bonding Program'!$K$39&lt;&gt;"",BK$3='Bonding Program'!$K$39),'Bonding Program'!$J$39,0)-IF(AND('Bonding Program'!$M$39&lt;&gt;"",BK$3='Bonding Program'!$M$39),'Bonding Program'!$L$39,0)-IF(AND('Bonding Program'!$P$39&lt;&gt;"",BK$3='Bonding Program'!$P$39),'Bonding Program'!$O$39,0)-IF(AND('Bonding Program'!$R$39&lt;&gt;"",BK$3='Bonding Program'!$R$39),'Bonding Program'!$Q$39,0),0)</f>
        <v>0</v>
      </c>
      <c r="BL180" s="19" t="n">
        <f aca="false">IF(AND('Bonding Program'!$S$39=1,BL$3='Bonding Program'!$H$39),'Bonding Program'!$AA$39,0)-IF(BL$3&lt;='Bonding Program'!$C$8,IF(AND('Bonding Program'!$K$39&lt;&gt;"",BL$3='Bonding Program'!$K$39),'Bonding Program'!$J$39,0)-IF(AND('Bonding Program'!$M$39&lt;&gt;"",BL$3='Bonding Program'!$M$39),'Bonding Program'!$L$39,0)-IF(AND('Bonding Program'!$P$39&lt;&gt;"",BL$3='Bonding Program'!$P$39),'Bonding Program'!$O$39,0)-IF(AND('Bonding Program'!$R$39&lt;&gt;"",BL$3='Bonding Program'!$R$39),'Bonding Program'!$Q$39,0),0)</f>
        <v>0</v>
      </c>
      <c r="BM180" s="19" t="n">
        <f aca="false">IF(AND('Bonding Program'!$S$39=1,BM$3='Bonding Program'!$H$39),'Bonding Program'!$AA$39,0)-IF(BM$3&lt;='Bonding Program'!$C$8,IF(AND('Bonding Program'!$K$39&lt;&gt;"",BM$3='Bonding Program'!$K$39),'Bonding Program'!$J$39,0)-IF(AND('Bonding Program'!$M$39&lt;&gt;"",BM$3='Bonding Program'!$M$39),'Bonding Program'!$L$39,0)-IF(AND('Bonding Program'!$P$39&lt;&gt;"",BM$3='Bonding Program'!$P$39),'Bonding Program'!$O$39,0)-IF(AND('Bonding Program'!$R$39&lt;&gt;"",BM$3='Bonding Program'!$R$39),'Bonding Program'!$Q$39,0),0)</f>
        <v>0</v>
      </c>
      <c r="BN180" s="19" t="n">
        <f aca="false">IF(AND('Bonding Program'!$S$39=1,BN$3='Bonding Program'!$H$39),'Bonding Program'!$AA$39,0)-IF(BN$3&lt;='Bonding Program'!$C$8,IF(AND('Bonding Program'!$K$39&lt;&gt;"",BN$3='Bonding Program'!$K$39),'Bonding Program'!$J$39,0)-IF(AND('Bonding Program'!$M$39&lt;&gt;"",BN$3='Bonding Program'!$M$39),'Bonding Program'!$L$39,0)-IF(AND('Bonding Program'!$P$39&lt;&gt;"",BN$3='Bonding Program'!$P$39),'Bonding Program'!$O$39,0)-IF(AND('Bonding Program'!$R$39&lt;&gt;"",BN$3='Bonding Program'!$R$39),'Bonding Program'!$Q$39,0),0)</f>
        <v>0</v>
      </c>
      <c r="BO180" s="19" t="n">
        <f aca="false">IF(AND('Bonding Program'!$S$39=1,BO$3='Bonding Program'!$H$39),'Bonding Program'!$AA$39,0)-IF(BO$3&lt;='Bonding Program'!$C$8,IF(AND('Bonding Program'!$K$39&lt;&gt;"",BO$3='Bonding Program'!$K$39),'Bonding Program'!$J$39,0)-IF(AND('Bonding Program'!$M$39&lt;&gt;"",BO$3='Bonding Program'!$M$39),'Bonding Program'!$L$39,0)-IF(AND('Bonding Program'!$P$39&lt;&gt;"",BO$3='Bonding Program'!$P$39),'Bonding Program'!$O$39,0)-IF(AND('Bonding Program'!$R$39&lt;&gt;"",BO$3='Bonding Program'!$R$39),'Bonding Program'!$Q$39,0),0)</f>
        <v>0</v>
      </c>
      <c r="BP180" s="19" t="n">
        <f aca="false">IF(AND('Bonding Program'!$S$39=1,BP$3='Bonding Program'!$H$39),'Bonding Program'!$AA$39,0)-IF(BP$3&lt;='Bonding Program'!$C$8,IF(AND('Bonding Program'!$K$39&lt;&gt;"",BP$3='Bonding Program'!$K$39),'Bonding Program'!$J$39,0)-IF(AND('Bonding Program'!$M$39&lt;&gt;"",BP$3='Bonding Program'!$M$39),'Bonding Program'!$L$39,0)-IF(AND('Bonding Program'!$P$39&lt;&gt;"",BP$3='Bonding Program'!$P$39),'Bonding Program'!$O$39,0)-IF(AND('Bonding Program'!$R$39&lt;&gt;"",BP$3='Bonding Program'!$R$39),'Bonding Program'!$Q$39,0),0)</f>
        <v>0</v>
      </c>
      <c r="BQ180" s="19" t="n">
        <f aca="false">IF(AND('Bonding Program'!$S$39=1,BQ$3='Bonding Program'!$H$39),'Bonding Program'!$AA$39,0)-IF(BQ$3&lt;='Bonding Program'!$C$8,IF(AND('Bonding Program'!$K$39&lt;&gt;"",BQ$3='Bonding Program'!$K$39),'Bonding Program'!$J$39,0)-IF(AND('Bonding Program'!$M$39&lt;&gt;"",BQ$3='Bonding Program'!$M$39),'Bonding Program'!$L$39,0)-IF(AND('Bonding Program'!$P$39&lt;&gt;"",BQ$3='Bonding Program'!$P$39),'Bonding Program'!$O$39,0)-IF(AND('Bonding Program'!$R$39&lt;&gt;"",BQ$3='Bonding Program'!$R$39),'Bonding Program'!$Q$39,0),0)</f>
        <v>0</v>
      </c>
      <c r="BR180" s="19" t="n">
        <f aca="false">IF(AND('Bonding Program'!$S$39=1,BR$3='Bonding Program'!$H$39),'Bonding Program'!$AA$39,0)-IF(BR$3&lt;='Bonding Program'!$C$8,IF(AND('Bonding Program'!$K$39&lt;&gt;"",BR$3='Bonding Program'!$K$39),'Bonding Program'!$J$39,0)-IF(AND('Bonding Program'!$M$39&lt;&gt;"",BR$3='Bonding Program'!$M$39),'Bonding Program'!$L$39,0)-IF(AND('Bonding Program'!$P$39&lt;&gt;"",BR$3='Bonding Program'!$P$39),'Bonding Program'!$O$39,0)-IF(AND('Bonding Program'!$R$39&lt;&gt;"",BR$3='Bonding Program'!$R$39),'Bonding Program'!$Q$39,0),0)</f>
        <v>0</v>
      </c>
      <c r="BS180" s="19" t="n">
        <f aca="false">IF(AND('Bonding Program'!$S$39=1,BS$3='Bonding Program'!$H$39),'Bonding Program'!$AA$39,0)-IF(BS$3&lt;='Bonding Program'!$C$8,IF(AND('Bonding Program'!$K$39&lt;&gt;"",BS$3='Bonding Program'!$K$39),'Bonding Program'!$J$39,0)-IF(AND('Bonding Program'!$M$39&lt;&gt;"",BS$3='Bonding Program'!$M$39),'Bonding Program'!$L$39,0)-IF(AND('Bonding Program'!$P$39&lt;&gt;"",BS$3='Bonding Program'!$P$39),'Bonding Program'!$O$39,0)-IF(AND('Bonding Program'!$R$39&lt;&gt;"",BS$3='Bonding Program'!$R$39),'Bonding Program'!$Q$39,0),0)</f>
        <v>0</v>
      </c>
      <c r="BT180" s="19" t="n">
        <f aca="false">IF(AND('Bonding Program'!$S$39=1,BT$3='Bonding Program'!$H$39),'Bonding Program'!$AA$39,0)-IF(BT$3&lt;='Bonding Program'!$C$8,IF(AND('Bonding Program'!$K$39&lt;&gt;"",BT$3='Bonding Program'!$K$39),'Bonding Program'!$J$39,0)-IF(AND('Bonding Program'!$M$39&lt;&gt;"",BT$3='Bonding Program'!$M$39),'Bonding Program'!$L$39,0)-IF(AND('Bonding Program'!$P$39&lt;&gt;"",BT$3='Bonding Program'!$P$39),'Bonding Program'!$O$39,0)-IF(AND('Bonding Program'!$R$39&lt;&gt;"",BT$3='Bonding Program'!$R$39),'Bonding Program'!$Q$39,0),0)</f>
        <v>0</v>
      </c>
      <c r="BU180" s="19" t="n">
        <f aca="false">IF(AND('Bonding Program'!$S$39=1,BU$3='Bonding Program'!$H$39),'Bonding Program'!$AA$39,0)-IF(BU$3&lt;='Bonding Program'!$C$8,IF(AND('Bonding Program'!$K$39&lt;&gt;"",BU$3='Bonding Program'!$K$39),'Bonding Program'!$J$39,0)-IF(AND('Bonding Program'!$M$39&lt;&gt;"",BU$3='Bonding Program'!$M$39),'Bonding Program'!$L$39,0)-IF(AND('Bonding Program'!$P$39&lt;&gt;"",BU$3='Bonding Program'!$P$39),'Bonding Program'!$O$39,0)-IF(AND('Bonding Program'!$R$39&lt;&gt;"",BU$3='Bonding Program'!$R$39),'Bonding Program'!$Q$39,0),0)</f>
        <v>0</v>
      </c>
      <c r="BV180" s="19" t="n">
        <f aca="false">IF(AND('Bonding Program'!$S$39=1,BV$3='Bonding Program'!$H$39),'Bonding Program'!$AA$39,0)-IF(BV$3&lt;='Bonding Program'!$C$8,IF(AND('Bonding Program'!$K$39&lt;&gt;"",BV$3='Bonding Program'!$K$39),'Bonding Program'!$J$39,0)-IF(AND('Bonding Program'!$M$39&lt;&gt;"",BV$3='Bonding Program'!$M$39),'Bonding Program'!$L$39,0)-IF(AND('Bonding Program'!$P$39&lt;&gt;"",BV$3='Bonding Program'!$P$39),'Bonding Program'!$O$39,0)-IF(AND('Bonding Program'!$R$39&lt;&gt;"",BV$3='Bonding Program'!$R$39),'Bonding Program'!$Q$39,0),0)</f>
        <v>0</v>
      </c>
      <c r="BW180" s="19" t="n">
        <f aca="false">IF(AND('Bonding Program'!$S$39=1,BW$3='Bonding Program'!$H$39),'Bonding Program'!$AA$39,0)-IF(BW$3&lt;='Bonding Program'!$C$8,IF(AND('Bonding Program'!$K$39&lt;&gt;"",BW$3='Bonding Program'!$K$39),'Bonding Program'!$J$39,0)-IF(AND('Bonding Program'!$M$39&lt;&gt;"",BW$3='Bonding Program'!$M$39),'Bonding Program'!$L$39,0)-IF(AND('Bonding Program'!$P$39&lt;&gt;"",BW$3='Bonding Program'!$P$39),'Bonding Program'!$O$39,0)-IF(AND('Bonding Program'!$R$39&lt;&gt;"",BW$3='Bonding Program'!$R$39),'Bonding Program'!$Q$39,0),0)</f>
        <v>0</v>
      </c>
      <c r="BX180" s="19" t="n">
        <f aca="false">IF(AND('Bonding Program'!$S$39=1,BX$3='Bonding Program'!$H$39),'Bonding Program'!$AA$39,0)-IF(BX$3&lt;='Bonding Program'!$C$8,IF(AND('Bonding Program'!$K$39&lt;&gt;"",BX$3='Bonding Program'!$K$39),'Bonding Program'!$J$39,0)-IF(AND('Bonding Program'!$M$39&lt;&gt;"",BX$3='Bonding Program'!$M$39),'Bonding Program'!$L$39,0)-IF(AND('Bonding Program'!$P$39&lt;&gt;"",BX$3='Bonding Program'!$P$39),'Bonding Program'!$O$39,0)-IF(AND('Bonding Program'!$R$39&lt;&gt;"",BX$3='Bonding Program'!$R$39),'Bonding Program'!$Q$39,0),0)</f>
        <v>0</v>
      </c>
      <c r="BY180" s="19" t="n">
        <f aca="false">IF(AND('Bonding Program'!$S$39=1,BY$3='Bonding Program'!$H$39),'Bonding Program'!$AA$39,0)-IF(BY$3&lt;='Bonding Program'!$C$8,IF(AND('Bonding Program'!$K$39&lt;&gt;"",BY$3='Bonding Program'!$K$39),'Bonding Program'!$J$39,0)-IF(AND('Bonding Program'!$M$39&lt;&gt;"",BY$3='Bonding Program'!$M$39),'Bonding Program'!$L$39,0)-IF(AND('Bonding Program'!$P$39&lt;&gt;"",BY$3='Bonding Program'!$P$39),'Bonding Program'!$O$39,0)-IF(AND('Bonding Program'!$R$39&lt;&gt;"",BY$3='Bonding Program'!$R$39),'Bonding Program'!$Q$39,0),0)</f>
        <v>0</v>
      </c>
      <c r="BZ180" s="19" t="n">
        <f aca="false">IF(AND('Bonding Program'!$S$39=1,BZ$3='Bonding Program'!$H$39),'Bonding Program'!$AA$39,0)-IF(BZ$3&lt;='Bonding Program'!$C$8,IF(AND('Bonding Program'!$K$39&lt;&gt;"",BZ$3='Bonding Program'!$K$39),'Bonding Program'!$J$39,0)-IF(AND('Bonding Program'!$M$39&lt;&gt;"",BZ$3='Bonding Program'!$M$39),'Bonding Program'!$L$39,0)-IF(AND('Bonding Program'!$P$39&lt;&gt;"",BZ$3='Bonding Program'!$P$39),'Bonding Program'!$O$39,0)-IF(AND('Bonding Program'!$R$39&lt;&gt;"",BZ$3='Bonding Program'!$R$39),'Bonding Program'!$Q$39,0),0)</f>
        <v>0</v>
      </c>
      <c r="CA180" s="19" t="n">
        <f aca="false">IF(AND('Bonding Program'!$S$39=1,CA$3='Bonding Program'!$H$39),'Bonding Program'!$AA$39,0)-IF(CA$3&lt;='Bonding Program'!$C$8,IF(AND('Bonding Program'!$K$39&lt;&gt;"",CA$3='Bonding Program'!$K$39),'Bonding Program'!$J$39,0)-IF(AND('Bonding Program'!$M$39&lt;&gt;"",CA$3='Bonding Program'!$M$39),'Bonding Program'!$L$39,0)-IF(AND('Bonding Program'!$P$39&lt;&gt;"",CA$3='Bonding Program'!$P$39),'Bonding Program'!$O$39,0)-IF(AND('Bonding Program'!$R$39&lt;&gt;"",CA$3='Bonding Program'!$R$39),'Bonding Program'!$Q$39,0),0)</f>
        <v>0</v>
      </c>
      <c r="CB180" s="19" t="n">
        <f aca="false">IF(AND('Bonding Program'!$S$39=1,CB$3='Bonding Program'!$H$39),'Bonding Program'!$AA$39,0)-IF(CB$3&lt;='Bonding Program'!$C$8,IF(AND('Bonding Program'!$K$39&lt;&gt;"",CB$3='Bonding Program'!$K$39),'Bonding Program'!$J$39,0)-IF(AND('Bonding Program'!$M$39&lt;&gt;"",CB$3='Bonding Program'!$M$39),'Bonding Program'!$L$39,0)-IF(AND('Bonding Program'!$P$39&lt;&gt;"",CB$3='Bonding Program'!$P$39),'Bonding Program'!$O$39,0)-IF(AND('Bonding Program'!$R$39&lt;&gt;"",CB$3='Bonding Program'!$R$39),'Bonding Program'!$Q$39,0),0)</f>
        <v>0</v>
      </c>
      <c r="CC180" s="19" t="n">
        <f aca="false">IF(AND('Bonding Program'!$S$39=1,CC$3='Bonding Program'!$H$39),'Bonding Program'!$AA$39,0)-IF(CC$3&lt;='Bonding Program'!$C$8,IF(AND('Bonding Program'!$K$39&lt;&gt;"",CC$3='Bonding Program'!$K$39),'Bonding Program'!$J$39,0)-IF(AND('Bonding Program'!$M$39&lt;&gt;"",CC$3='Bonding Program'!$M$39),'Bonding Program'!$L$39,0)-IF(AND('Bonding Program'!$P$39&lt;&gt;"",CC$3='Bonding Program'!$P$39),'Bonding Program'!$O$39,0)-IF(AND('Bonding Program'!$R$39&lt;&gt;"",CC$3='Bonding Program'!$R$39),'Bonding Program'!$Q$39,0),0)</f>
        <v>0</v>
      </c>
      <c r="CD180" s="19" t="n">
        <f aca="false">IF(AND('Bonding Program'!$S$39=1,CD$3='Bonding Program'!$H$39),'Bonding Program'!$AA$39,0)-IF(CD$3&lt;='Bonding Program'!$C$8,IF(AND('Bonding Program'!$K$39&lt;&gt;"",CD$3='Bonding Program'!$K$39),'Bonding Program'!$J$39,0)-IF(AND('Bonding Program'!$M$39&lt;&gt;"",CD$3='Bonding Program'!$M$39),'Bonding Program'!$L$39,0)-IF(AND('Bonding Program'!$P$39&lt;&gt;"",CD$3='Bonding Program'!$P$39),'Bonding Program'!$O$39,0)-IF(AND('Bonding Program'!$R$39&lt;&gt;"",CD$3='Bonding Program'!$R$39),'Bonding Program'!$Q$39,0),0)</f>
        <v>0</v>
      </c>
      <c r="CE180" s="19" t="n">
        <f aca="false">IF(AND('Bonding Program'!$S$39=1,CE$3='Bonding Program'!$H$39),'Bonding Program'!$AA$39,0)-IF(CE$3&lt;='Bonding Program'!$C$8,IF(AND('Bonding Program'!$K$39&lt;&gt;"",CE$3='Bonding Program'!$K$39),'Bonding Program'!$J$39,0)-IF(AND('Bonding Program'!$M$39&lt;&gt;"",CE$3='Bonding Program'!$M$39),'Bonding Program'!$L$39,0)-IF(AND('Bonding Program'!$P$39&lt;&gt;"",CE$3='Bonding Program'!$P$39),'Bonding Program'!$O$39,0)-IF(AND('Bonding Program'!$R$39&lt;&gt;"",CE$3='Bonding Program'!$R$39),'Bonding Program'!$Q$39,0),0)</f>
        <v>0</v>
      </c>
      <c r="CF180" s="19" t="n">
        <f aca="false">IF(AND('Bonding Program'!$S$39=1,CF$3='Bonding Program'!$H$39),'Bonding Program'!$AA$39,0)-IF(CF$3&lt;='Bonding Program'!$C$8,IF(AND('Bonding Program'!$K$39&lt;&gt;"",CF$3='Bonding Program'!$K$39),'Bonding Program'!$J$39,0)-IF(AND('Bonding Program'!$M$39&lt;&gt;"",CF$3='Bonding Program'!$M$39),'Bonding Program'!$L$39,0)-IF(AND('Bonding Program'!$P$39&lt;&gt;"",CF$3='Bonding Program'!$P$39),'Bonding Program'!$O$39,0)-IF(AND('Bonding Program'!$R$39&lt;&gt;"",CF$3='Bonding Program'!$R$39),'Bonding Program'!$Q$39,0),0)</f>
        <v>0</v>
      </c>
      <c r="CG180" s="19" t="n">
        <f aca="false">IF(AND('Bonding Program'!$S$39=1,CG$3='Bonding Program'!$H$39),'Bonding Program'!$AA$39,0)-IF(CG$3&lt;='Bonding Program'!$C$8,IF(AND('Bonding Program'!$K$39&lt;&gt;"",CG$3='Bonding Program'!$K$39),'Bonding Program'!$J$39,0)-IF(AND('Bonding Program'!$M$39&lt;&gt;"",CG$3='Bonding Program'!$M$39),'Bonding Program'!$L$39,0)-IF(AND('Bonding Program'!$P$39&lt;&gt;"",CG$3='Bonding Program'!$P$39),'Bonding Program'!$O$39,0)-IF(AND('Bonding Program'!$R$39&lt;&gt;"",CG$3='Bonding Program'!$R$39),'Bonding Program'!$Q$39,0),0)</f>
        <v>0</v>
      </c>
      <c r="CH180" s="19" t="n">
        <f aca="false">IF(AND('Bonding Program'!$S$39=1,CH$3='Bonding Program'!$H$39),'Bonding Program'!$AA$39,0)-IF(CH$3&lt;='Bonding Program'!$C$8,IF(AND('Bonding Program'!$K$39&lt;&gt;"",CH$3='Bonding Program'!$K$39),'Bonding Program'!$J$39,0)-IF(AND('Bonding Program'!$M$39&lt;&gt;"",CH$3='Bonding Program'!$M$39),'Bonding Program'!$L$39,0)-IF(AND('Bonding Program'!$P$39&lt;&gt;"",CH$3='Bonding Program'!$P$39),'Bonding Program'!$O$39,0)-IF(AND('Bonding Program'!$R$39&lt;&gt;"",CH$3='Bonding Program'!$R$39),'Bonding Program'!$Q$39,0),0)</f>
        <v>0</v>
      </c>
      <c r="CI180" s="19" t="n">
        <f aca="false">IF(AND('Bonding Program'!$S$39=1,CI$3='Bonding Program'!$H$39),'Bonding Program'!$AA$39,0)-IF(CI$3&lt;='Bonding Program'!$C$8,IF(AND('Bonding Program'!$K$39&lt;&gt;"",CI$3='Bonding Program'!$K$39),'Bonding Program'!$J$39,0)-IF(AND('Bonding Program'!$M$39&lt;&gt;"",CI$3='Bonding Program'!$M$39),'Bonding Program'!$L$39,0)-IF(AND('Bonding Program'!$P$39&lt;&gt;"",CI$3='Bonding Program'!$P$39),'Bonding Program'!$O$39,0)-IF(AND('Bonding Program'!$R$39&lt;&gt;"",CI$3='Bonding Program'!$R$39),'Bonding Program'!$Q$39,0),0)</f>
        <v>0</v>
      </c>
      <c r="CJ180" s="19" t="n">
        <f aca="false">IF(AND('Bonding Program'!$S$39=1,CJ$3='Bonding Program'!$H$39),'Bonding Program'!$AA$39,0)-IF(CJ$3&lt;='Bonding Program'!$C$8,IF(AND('Bonding Program'!$K$39&lt;&gt;"",CJ$3='Bonding Program'!$K$39),'Bonding Program'!$J$39,0)-IF(AND('Bonding Program'!$M$39&lt;&gt;"",CJ$3='Bonding Program'!$M$39),'Bonding Program'!$L$39,0)-IF(AND('Bonding Program'!$P$39&lt;&gt;"",CJ$3='Bonding Program'!$P$39),'Bonding Program'!$O$39,0)-IF(AND('Bonding Program'!$R$39&lt;&gt;"",CJ$3='Bonding Program'!$R$39),'Bonding Program'!$Q$39,0),0)</f>
        <v>0</v>
      </c>
      <c r="CK180" s="19" t="n">
        <f aca="false">IF(AND('Bonding Program'!$S$39=1,CK$3='Bonding Program'!$H$39),'Bonding Program'!$AA$39,0)-IF(CK$3&lt;='Bonding Program'!$C$8,IF(AND('Bonding Program'!$K$39&lt;&gt;"",CK$3='Bonding Program'!$K$39),'Bonding Program'!$J$39,0)-IF(AND('Bonding Program'!$M$39&lt;&gt;"",CK$3='Bonding Program'!$M$39),'Bonding Program'!$L$39,0)-IF(AND('Bonding Program'!$P$39&lt;&gt;"",CK$3='Bonding Program'!$P$39),'Bonding Program'!$O$39,0)-IF(AND('Bonding Program'!$R$39&lt;&gt;"",CK$3='Bonding Program'!$R$39),'Bonding Program'!$Q$39,0),0)</f>
        <v>0</v>
      </c>
      <c r="CL180" s="19" t="n">
        <f aca="false">IF(AND('Bonding Program'!$S$39=1,CL$3='Bonding Program'!$H$39),'Bonding Program'!$AA$39,0)-IF(CL$3&lt;='Bonding Program'!$C$8,IF(AND('Bonding Program'!$K$39&lt;&gt;"",CL$3='Bonding Program'!$K$39),'Bonding Program'!$J$39,0)-IF(AND('Bonding Program'!$M$39&lt;&gt;"",CL$3='Bonding Program'!$M$39),'Bonding Program'!$L$39,0)-IF(AND('Bonding Program'!$P$39&lt;&gt;"",CL$3='Bonding Program'!$P$39),'Bonding Program'!$O$39,0)-IF(AND('Bonding Program'!$R$39&lt;&gt;"",CL$3='Bonding Program'!$R$39),'Bonding Program'!$Q$39,0),0)</f>
        <v>0</v>
      </c>
      <c r="CM180" s="19" t="n">
        <f aca="false">IF(AND('Bonding Program'!$S$39=1,CM$3='Bonding Program'!$H$39),'Bonding Program'!$AA$39,0)-IF(CM$3&lt;='Bonding Program'!$C$8,IF(AND('Bonding Program'!$K$39&lt;&gt;"",CM$3='Bonding Program'!$K$39),'Bonding Program'!$J$39,0)-IF(AND('Bonding Program'!$M$39&lt;&gt;"",CM$3='Bonding Program'!$M$39),'Bonding Program'!$L$39,0)-IF(AND('Bonding Program'!$P$39&lt;&gt;"",CM$3='Bonding Program'!$P$39),'Bonding Program'!$O$39,0)-IF(AND('Bonding Program'!$R$39&lt;&gt;"",CM$3='Bonding Program'!$R$39),'Bonding Program'!$Q$39,0),0)</f>
        <v>0</v>
      </c>
      <c r="CN180" s="19" t="n">
        <f aca="false">IF(AND('Bonding Program'!$S$39=1,CN$3='Bonding Program'!$H$39),'Bonding Program'!$AA$39,0)-IF(CN$3&lt;='Bonding Program'!$C$8,IF(AND('Bonding Program'!$K$39&lt;&gt;"",CN$3='Bonding Program'!$K$39),'Bonding Program'!$J$39,0)-IF(AND('Bonding Program'!$M$39&lt;&gt;"",CN$3='Bonding Program'!$M$39),'Bonding Program'!$L$39,0)-IF(AND('Bonding Program'!$P$39&lt;&gt;"",CN$3='Bonding Program'!$P$39),'Bonding Program'!$O$39,0)-IF(AND('Bonding Program'!$R$39&lt;&gt;"",CN$3='Bonding Program'!$R$39),'Bonding Program'!$Q$39,0),0)</f>
        <v>0</v>
      </c>
      <c r="CO180" s="19" t="n">
        <f aca="false">IF(AND('Bonding Program'!$S$39=1,CO$3='Bonding Program'!$H$39),'Bonding Program'!$AA$39,0)-IF(CO$3&lt;='Bonding Program'!$C$8,IF(AND('Bonding Program'!$K$39&lt;&gt;"",CO$3='Bonding Program'!$K$39),'Bonding Program'!$J$39,0)-IF(AND('Bonding Program'!$M$39&lt;&gt;"",CO$3='Bonding Program'!$M$39),'Bonding Program'!$L$39,0)-IF(AND('Bonding Program'!$P$39&lt;&gt;"",CO$3='Bonding Program'!$P$39),'Bonding Program'!$O$39,0)-IF(AND('Bonding Program'!$R$39&lt;&gt;"",CO$3='Bonding Program'!$R$39),'Bonding Program'!$Q$39,0),0)</f>
        <v>0</v>
      </c>
      <c r="CP180" s="19" t="n">
        <f aca="false">IF(AND('Bonding Program'!$S$39=1,CP$3='Bonding Program'!$H$39),'Bonding Program'!$AA$39,0)-IF(CP$3&lt;='Bonding Program'!$C$8,IF(AND('Bonding Program'!$K$39&lt;&gt;"",CP$3='Bonding Program'!$K$39),'Bonding Program'!$J$39,0)-IF(AND('Bonding Program'!$M$39&lt;&gt;"",CP$3='Bonding Program'!$M$39),'Bonding Program'!$L$39,0)-IF(AND('Bonding Program'!$P$39&lt;&gt;"",CP$3='Bonding Program'!$P$39),'Bonding Program'!$O$39,0)-IF(AND('Bonding Program'!$R$39&lt;&gt;"",CP$3='Bonding Program'!$R$39),'Bonding Program'!$Q$39,0),0)</f>
        <v>0</v>
      </c>
      <c r="CQ180" s="19" t="n">
        <f aca="false">IF(AND('Bonding Program'!$S$39=1,CQ$3='Bonding Program'!$H$39),'Bonding Program'!$AA$39,0)-IF(CQ$3&lt;='Bonding Program'!$C$8,IF(AND('Bonding Program'!$K$39&lt;&gt;"",CQ$3='Bonding Program'!$K$39),'Bonding Program'!$J$39,0)-IF(AND('Bonding Program'!$M$39&lt;&gt;"",CQ$3='Bonding Program'!$M$39),'Bonding Program'!$L$39,0)-IF(AND('Bonding Program'!$P$39&lt;&gt;"",CQ$3='Bonding Program'!$P$39),'Bonding Program'!$O$39,0)-IF(AND('Bonding Program'!$R$39&lt;&gt;"",CQ$3='Bonding Program'!$R$39),'Bonding Program'!$Q$39,0),0)</f>
        <v>0</v>
      </c>
      <c r="CR180" s="19" t="n">
        <f aca="false">IF(AND('Bonding Program'!$S$39=1,CR$3='Bonding Program'!$H$39),'Bonding Program'!$AA$39,0)-IF(CR$3&lt;='Bonding Program'!$C$8,IF(AND('Bonding Program'!$K$39&lt;&gt;"",CR$3='Bonding Program'!$K$39),'Bonding Program'!$J$39,0)-IF(AND('Bonding Program'!$M$39&lt;&gt;"",CR$3='Bonding Program'!$M$39),'Bonding Program'!$L$39,0)-IF(AND('Bonding Program'!$P$39&lt;&gt;"",CR$3='Bonding Program'!$P$39),'Bonding Program'!$O$39,0)-IF(AND('Bonding Program'!$R$39&lt;&gt;"",CR$3='Bonding Program'!$R$39),'Bonding Program'!$Q$39,0),0)</f>
        <v>0</v>
      </c>
      <c r="CS180" s="19" t="n">
        <f aca="false">IF(AND('Bonding Program'!$S$39=1,CS$3='Bonding Program'!$H$39),'Bonding Program'!$AA$39,0)-IF(CS$3&lt;='Bonding Program'!$C$8,IF(AND('Bonding Program'!$K$39&lt;&gt;"",CS$3='Bonding Program'!$K$39),'Bonding Program'!$J$39,0)-IF(AND('Bonding Program'!$M$39&lt;&gt;"",CS$3='Bonding Program'!$M$39),'Bonding Program'!$L$39,0)-IF(AND('Bonding Program'!$P$39&lt;&gt;"",CS$3='Bonding Program'!$P$39),'Bonding Program'!$O$39,0)-IF(AND('Bonding Program'!$R$39&lt;&gt;"",CS$3='Bonding Program'!$R$39),'Bonding Program'!$Q$39,0),0)</f>
        <v>0</v>
      </c>
      <c r="CT180" s="19" t="n">
        <f aca="false">IF(AND('Bonding Program'!$S$39=1,CT$3='Bonding Program'!$H$39),'Bonding Program'!$AA$39,0)-IF(CT$3&lt;='Bonding Program'!$C$8,IF(AND('Bonding Program'!$K$39&lt;&gt;"",CT$3='Bonding Program'!$K$39),'Bonding Program'!$J$39,0)-IF(AND('Bonding Program'!$M$39&lt;&gt;"",CT$3='Bonding Program'!$M$39),'Bonding Program'!$L$39,0)-IF(AND('Bonding Program'!$P$39&lt;&gt;"",CT$3='Bonding Program'!$P$39),'Bonding Program'!$O$39,0)-IF(AND('Bonding Program'!$R$39&lt;&gt;"",CT$3='Bonding Program'!$R$39),'Bonding Program'!$Q$39,0),0)</f>
        <v>0</v>
      </c>
      <c r="CU180" s="19" t="n">
        <f aca="false">IF(AND('Bonding Program'!$S$39=1,CU$3='Bonding Program'!$H$39),'Bonding Program'!$AA$39,0)-IF(CU$3&lt;='Bonding Program'!$C$8,IF(AND('Bonding Program'!$K$39&lt;&gt;"",CU$3='Bonding Program'!$K$39),'Bonding Program'!$J$39,0)-IF(AND('Bonding Program'!$M$39&lt;&gt;"",CU$3='Bonding Program'!$M$39),'Bonding Program'!$L$39,0)-IF(AND('Bonding Program'!$P$39&lt;&gt;"",CU$3='Bonding Program'!$P$39),'Bonding Program'!$O$39,0)-IF(AND('Bonding Program'!$R$39&lt;&gt;"",CU$3='Bonding Program'!$R$39),'Bonding Program'!$Q$39,0),0)</f>
        <v>0</v>
      </c>
      <c r="CV180" s="19" t="n">
        <f aca="false">IF(AND('Bonding Program'!$S$39=1,CV$3='Bonding Program'!$H$39),'Bonding Program'!$AA$39,0)-IF(CV$3&lt;='Bonding Program'!$C$8,IF(AND('Bonding Program'!$K$39&lt;&gt;"",CV$3='Bonding Program'!$K$39),'Bonding Program'!$J$39,0)-IF(AND('Bonding Program'!$M$39&lt;&gt;"",CV$3='Bonding Program'!$M$39),'Bonding Program'!$L$39,0)-IF(AND('Bonding Program'!$P$39&lt;&gt;"",CV$3='Bonding Program'!$P$39),'Bonding Program'!$O$39,0)-IF(AND('Bonding Program'!$R$39&lt;&gt;"",CV$3='Bonding Program'!$R$39),'Bonding Program'!$Q$39,0),0)</f>
        <v>0</v>
      </c>
      <c r="CW180" s="19" t="n">
        <f aca="false">IF(AND('Bonding Program'!$S$39=1,CW$3='Bonding Program'!$H$39),'Bonding Program'!$AA$39,0)-IF(CW$3&lt;='Bonding Program'!$C$8,IF(AND('Bonding Program'!$K$39&lt;&gt;"",CW$3='Bonding Program'!$K$39),'Bonding Program'!$J$39,0)-IF(AND('Bonding Program'!$M$39&lt;&gt;"",CW$3='Bonding Program'!$M$39),'Bonding Program'!$L$39,0)-IF(AND('Bonding Program'!$P$39&lt;&gt;"",CW$3='Bonding Program'!$P$39),'Bonding Program'!$O$39,0)-IF(AND('Bonding Program'!$R$39&lt;&gt;"",CW$3='Bonding Program'!$R$39),'Bonding Program'!$Q$39,0),0)</f>
        <v>0</v>
      </c>
      <c r="CX180" s="19" t="n">
        <f aca="false">IF(AND('Bonding Program'!$S$39=1,CX$3='Bonding Program'!$H$39),'Bonding Program'!$AA$39,0)-IF(CX$3&lt;='Bonding Program'!$C$8,IF(AND('Bonding Program'!$K$39&lt;&gt;"",CX$3='Bonding Program'!$K$39),'Bonding Program'!$J$39,0)-IF(AND('Bonding Program'!$M$39&lt;&gt;"",CX$3='Bonding Program'!$M$39),'Bonding Program'!$L$39,0)-IF(AND('Bonding Program'!$P$39&lt;&gt;"",CX$3='Bonding Program'!$P$39),'Bonding Program'!$O$39,0)-IF(AND('Bonding Program'!$R$39&lt;&gt;"",CX$3='Bonding Program'!$R$39),'Bonding Program'!$Q$39,0),0)</f>
        <v>0</v>
      </c>
      <c r="CY180" s="19" t="n">
        <f aca="false">IF(AND('Bonding Program'!$S$39=1,CY$3='Bonding Program'!$H$39),'Bonding Program'!$AA$39,0)-IF(CY$3&lt;='Bonding Program'!$C$8,IF(AND('Bonding Program'!$K$39&lt;&gt;"",CY$3='Bonding Program'!$K$39),'Bonding Program'!$J$39,0)-IF(AND('Bonding Program'!$M$39&lt;&gt;"",CY$3='Bonding Program'!$M$39),'Bonding Program'!$L$39,0)-IF(AND('Bonding Program'!$P$39&lt;&gt;"",CY$3='Bonding Program'!$P$39),'Bonding Program'!$O$39,0)-IF(AND('Bonding Program'!$R$39&lt;&gt;"",CY$3='Bonding Program'!$R$39),'Bonding Program'!$Q$39,0),0)</f>
        <v>0</v>
      </c>
      <c r="CZ180" s="19" t="n">
        <f aca="false">IF(AND('Bonding Program'!$S$39=1,CZ$3='Bonding Program'!$H$39),'Bonding Program'!$AA$39,0)-IF(CZ$3&lt;='Bonding Program'!$C$8,IF(AND('Bonding Program'!$K$39&lt;&gt;"",CZ$3='Bonding Program'!$K$39),'Bonding Program'!$J$39,0)-IF(AND('Bonding Program'!$M$39&lt;&gt;"",CZ$3='Bonding Program'!$M$39),'Bonding Program'!$L$39,0)-IF(AND('Bonding Program'!$P$39&lt;&gt;"",CZ$3='Bonding Program'!$P$39),'Bonding Program'!$O$39,0)-IF(AND('Bonding Program'!$R$39&lt;&gt;"",CZ$3='Bonding Program'!$R$39),'Bonding Program'!$Q$39,0),0)</f>
        <v>0</v>
      </c>
      <c r="DA180" s="19" t="n">
        <f aca="false">IF(AND('Bonding Program'!$S$39=1,DA$3='Bonding Program'!$H$39),'Bonding Program'!$AA$39,0)-IF(DA$3&lt;='Bonding Program'!$C$8,IF(AND('Bonding Program'!$K$39&lt;&gt;"",DA$3='Bonding Program'!$K$39),'Bonding Program'!$J$39,0)-IF(AND('Bonding Program'!$M$39&lt;&gt;"",DA$3='Bonding Program'!$M$39),'Bonding Program'!$L$39,0)-IF(AND('Bonding Program'!$P$39&lt;&gt;"",DA$3='Bonding Program'!$P$39),'Bonding Program'!$O$39,0)-IF(AND('Bonding Program'!$R$39&lt;&gt;"",DA$3='Bonding Program'!$R$39),'Bonding Program'!$Q$39,0),0)</f>
        <v>0</v>
      </c>
      <c r="DB180" s="19" t="n">
        <f aca="false">IF(AND('Bonding Program'!$S$39=1,DB$3='Bonding Program'!$H$39),'Bonding Program'!$AA$39,0)-IF(DB$3&lt;='Bonding Program'!$C$8,IF(AND('Bonding Program'!$K$39&lt;&gt;"",DB$3='Bonding Program'!$K$39),'Bonding Program'!$J$39,0)-IF(AND('Bonding Program'!$M$39&lt;&gt;"",DB$3='Bonding Program'!$M$39),'Bonding Program'!$L$39,0)-IF(AND('Bonding Program'!$P$39&lt;&gt;"",DB$3='Bonding Program'!$P$39),'Bonding Program'!$O$39,0)-IF(AND('Bonding Program'!$R$39&lt;&gt;"",DB$3='Bonding Program'!$R$39),'Bonding Program'!$Q$39,0),0)</f>
        <v>0</v>
      </c>
      <c r="DC180" s="19" t="n">
        <f aca="false">IF(AND('Bonding Program'!$S$39=1,DC$3='Bonding Program'!$H$39),'Bonding Program'!$AA$39,0)-IF(DC$3&lt;='Bonding Program'!$C$8,IF(AND('Bonding Program'!$K$39&lt;&gt;"",DC$3='Bonding Program'!$K$39),'Bonding Program'!$J$39,0)-IF(AND('Bonding Program'!$M$39&lt;&gt;"",DC$3='Bonding Program'!$M$39),'Bonding Program'!$L$39,0)-IF(AND('Bonding Program'!$P$39&lt;&gt;"",DC$3='Bonding Program'!$P$39),'Bonding Program'!$O$39,0)-IF(AND('Bonding Program'!$R$39&lt;&gt;"",DC$3='Bonding Program'!$R$39),'Bonding Program'!$Q$39,0),0)</f>
        <v>0</v>
      </c>
      <c r="DD180" s="19" t="n">
        <f aca="false">IF(AND('Bonding Program'!$S$39=1,DD$3='Bonding Program'!$H$39),'Bonding Program'!$AA$39,0)-IF(DD$3&lt;='Bonding Program'!$C$8,IF(AND('Bonding Program'!$K$39&lt;&gt;"",DD$3='Bonding Program'!$K$39),'Bonding Program'!$J$39,0)-IF(AND('Bonding Program'!$M$39&lt;&gt;"",DD$3='Bonding Program'!$M$39),'Bonding Program'!$L$39,0)-IF(AND('Bonding Program'!$P$39&lt;&gt;"",DD$3='Bonding Program'!$P$39),'Bonding Program'!$O$39,0)-IF(AND('Bonding Program'!$R$39&lt;&gt;"",DD$3='Bonding Program'!$R$39),'Bonding Program'!$Q$39,0),0)</f>
        <v>0</v>
      </c>
      <c r="DE180" s="19" t="n">
        <f aca="false">IF(AND('Bonding Program'!$S$39=1,DE$3='Bonding Program'!$H$39),'Bonding Program'!$AA$39,0)-IF(DE$3&lt;='Bonding Program'!$C$8,IF(AND('Bonding Program'!$K$39&lt;&gt;"",DE$3='Bonding Program'!$K$39),'Bonding Program'!$J$39,0)-IF(AND('Bonding Program'!$M$39&lt;&gt;"",DE$3='Bonding Program'!$M$39),'Bonding Program'!$L$39,0)-IF(AND('Bonding Program'!$P$39&lt;&gt;"",DE$3='Bonding Program'!$P$39),'Bonding Program'!$O$39,0)-IF(AND('Bonding Program'!$R$39&lt;&gt;"",DE$3='Bonding Program'!$R$39),'Bonding Program'!$Q$39,0),0)</f>
        <v>0</v>
      </c>
    </row>
    <row r="181" customFormat="false" ht="15" hidden="false" customHeight="true" outlineLevel="1" collapsed="false">
      <c r="A181" s="28" t="s">
        <v>36</v>
      </c>
      <c r="B181" s="19" t="n">
        <f aca="false">IF(AND('Bonding Program'!$S$40=1,B$3='Bonding Program'!$H$40),'Bonding Program'!$AA$40,0)-IF(B$3&lt;='Bonding Program'!$C$8,IF(AND('Bonding Program'!$K$40&lt;&gt;"",B$3='Bonding Program'!$K$40),'Bonding Program'!$J$40,0)-IF(AND('Bonding Program'!$M$40&lt;&gt;"",B$3='Bonding Program'!$M$40),'Bonding Program'!$L$40,0)-IF(AND('Bonding Program'!$P$40&lt;&gt;"",B$3='Bonding Program'!$P$40),'Bonding Program'!$O$40,0)-IF(AND('Bonding Program'!$R$40&lt;&gt;"",B$3='Bonding Program'!$R$40),'Bonding Program'!$Q$40,0),0)</f>
        <v>0</v>
      </c>
      <c r="C181" s="19" t="n">
        <f aca="false">IF(AND('Bonding Program'!$S$40=1,C$3='Bonding Program'!$H$40),'Bonding Program'!$AA$40,0)-IF(C$3&lt;='Bonding Program'!$C$8,IF(AND('Bonding Program'!$K$40&lt;&gt;"",C$3='Bonding Program'!$K$40),'Bonding Program'!$J$40,0)-IF(AND('Bonding Program'!$M$40&lt;&gt;"",C$3='Bonding Program'!$M$40),'Bonding Program'!$L$40,0)-IF(AND('Bonding Program'!$P$40&lt;&gt;"",C$3='Bonding Program'!$P$40),'Bonding Program'!$O$40,0)-IF(AND('Bonding Program'!$R$40&lt;&gt;"",C$3='Bonding Program'!$R$40),'Bonding Program'!$Q$40,0),0)</f>
        <v>0</v>
      </c>
      <c r="D181" s="19" t="n">
        <f aca="false">IF(AND('Bonding Program'!$S$40=1,D$3='Bonding Program'!$H$40),'Bonding Program'!$AA$40,0)-IF(D$3&lt;='Bonding Program'!$C$8,IF(AND('Bonding Program'!$K$40&lt;&gt;"",D$3='Bonding Program'!$K$40),'Bonding Program'!$J$40,0)-IF(AND('Bonding Program'!$M$40&lt;&gt;"",D$3='Bonding Program'!$M$40),'Bonding Program'!$L$40,0)-IF(AND('Bonding Program'!$P$40&lt;&gt;"",D$3='Bonding Program'!$P$40),'Bonding Program'!$O$40,0)-IF(AND('Bonding Program'!$R$40&lt;&gt;"",D$3='Bonding Program'!$R$40),'Bonding Program'!$Q$40,0),0)</f>
        <v>0</v>
      </c>
      <c r="E181" s="19" t="n">
        <f aca="false">IF(AND('Bonding Program'!$S$40=1,E$3='Bonding Program'!$H$40),'Bonding Program'!$AA$40,0)-IF(E$3&lt;='Bonding Program'!$C$8,IF(AND('Bonding Program'!$K$40&lt;&gt;"",E$3='Bonding Program'!$K$40),'Bonding Program'!$J$40,0)-IF(AND('Bonding Program'!$M$40&lt;&gt;"",E$3='Bonding Program'!$M$40),'Bonding Program'!$L$40,0)-IF(AND('Bonding Program'!$P$40&lt;&gt;"",E$3='Bonding Program'!$P$40),'Bonding Program'!$O$40,0)-IF(AND('Bonding Program'!$R$40&lt;&gt;"",E$3='Bonding Program'!$R$40),'Bonding Program'!$Q$40,0),0)</f>
        <v>0</v>
      </c>
      <c r="F181" s="19" t="n">
        <f aca="false">IF(AND('Bonding Program'!$S$40=1,F$3='Bonding Program'!$H$40),'Bonding Program'!$AA$40,0)-IF(F$3&lt;='Bonding Program'!$C$8,IF(AND('Bonding Program'!$K$40&lt;&gt;"",F$3='Bonding Program'!$K$40),'Bonding Program'!$J$40,0)-IF(AND('Bonding Program'!$M$40&lt;&gt;"",F$3='Bonding Program'!$M$40),'Bonding Program'!$L$40,0)-IF(AND('Bonding Program'!$P$40&lt;&gt;"",F$3='Bonding Program'!$P$40),'Bonding Program'!$O$40,0)-IF(AND('Bonding Program'!$R$40&lt;&gt;"",F$3='Bonding Program'!$R$40),'Bonding Program'!$Q$40,0),0)</f>
        <v>0</v>
      </c>
      <c r="G181" s="19" t="n">
        <f aca="false">IF(AND('Bonding Program'!$S$40=1,G$3='Bonding Program'!$H$40),'Bonding Program'!$AA$40,0)-IF(G$3&lt;='Bonding Program'!$C$8,IF(AND('Bonding Program'!$K$40&lt;&gt;"",G$3='Bonding Program'!$K$40),'Bonding Program'!$J$40,0)-IF(AND('Bonding Program'!$M$40&lt;&gt;"",G$3='Bonding Program'!$M$40),'Bonding Program'!$L$40,0)-IF(AND('Bonding Program'!$P$40&lt;&gt;"",G$3='Bonding Program'!$P$40),'Bonding Program'!$O$40,0)-IF(AND('Bonding Program'!$R$40&lt;&gt;"",G$3='Bonding Program'!$R$40),'Bonding Program'!$Q$40,0),0)</f>
        <v>0</v>
      </c>
      <c r="H181" s="19" t="n">
        <f aca="false">IF(AND('Bonding Program'!$S$40=1,H$3='Bonding Program'!$H$40),'Bonding Program'!$AA$40,0)-IF(H$3&lt;='Bonding Program'!$C$8,IF(AND('Bonding Program'!$K$40&lt;&gt;"",H$3='Bonding Program'!$K$40),'Bonding Program'!$J$40,0)-IF(AND('Bonding Program'!$M$40&lt;&gt;"",H$3='Bonding Program'!$M$40),'Bonding Program'!$L$40,0)-IF(AND('Bonding Program'!$P$40&lt;&gt;"",H$3='Bonding Program'!$P$40),'Bonding Program'!$O$40,0)-IF(AND('Bonding Program'!$R$40&lt;&gt;"",H$3='Bonding Program'!$R$40),'Bonding Program'!$Q$40,0),0)</f>
        <v>0</v>
      </c>
      <c r="I181" s="19" t="n">
        <f aca="false">IF(AND('Bonding Program'!$S$40=1,I$3='Bonding Program'!$H$40),'Bonding Program'!$AA$40,0)-IF(I$3&lt;='Bonding Program'!$C$8,IF(AND('Bonding Program'!$K$40&lt;&gt;"",I$3='Bonding Program'!$K$40),'Bonding Program'!$J$40,0)-IF(AND('Bonding Program'!$M$40&lt;&gt;"",I$3='Bonding Program'!$M$40),'Bonding Program'!$L$40,0)-IF(AND('Bonding Program'!$P$40&lt;&gt;"",I$3='Bonding Program'!$P$40),'Bonding Program'!$O$40,0)-IF(AND('Bonding Program'!$R$40&lt;&gt;"",I$3='Bonding Program'!$R$40),'Bonding Program'!$Q$40,0),0)</f>
        <v>0</v>
      </c>
      <c r="J181" s="19" t="n">
        <f aca="false">IF(AND('Bonding Program'!$S$40=1,J$3='Bonding Program'!$H$40),'Bonding Program'!$AA$40,0)-IF(J$3&lt;='Bonding Program'!$C$8,IF(AND('Bonding Program'!$K$40&lt;&gt;"",J$3='Bonding Program'!$K$40),'Bonding Program'!$J$40,0)-IF(AND('Bonding Program'!$M$40&lt;&gt;"",J$3='Bonding Program'!$M$40),'Bonding Program'!$L$40,0)-IF(AND('Bonding Program'!$P$40&lt;&gt;"",J$3='Bonding Program'!$P$40),'Bonding Program'!$O$40,0)-IF(AND('Bonding Program'!$R$40&lt;&gt;"",J$3='Bonding Program'!$R$40),'Bonding Program'!$Q$40,0),0)</f>
        <v>0</v>
      </c>
      <c r="K181" s="19" t="n">
        <f aca="false">IF(AND('Bonding Program'!$S$40=1,K$3='Bonding Program'!$H$40),'Bonding Program'!$AA$40,0)-IF(K$3&lt;='Bonding Program'!$C$8,IF(AND('Bonding Program'!$K$40&lt;&gt;"",K$3='Bonding Program'!$K$40),'Bonding Program'!$J$40,0)-IF(AND('Bonding Program'!$M$40&lt;&gt;"",K$3='Bonding Program'!$M$40),'Bonding Program'!$L$40,0)-IF(AND('Bonding Program'!$P$40&lt;&gt;"",K$3='Bonding Program'!$P$40),'Bonding Program'!$O$40,0)-IF(AND('Bonding Program'!$R$40&lt;&gt;"",K$3='Bonding Program'!$R$40),'Bonding Program'!$Q$40,0),0)</f>
        <v>0</v>
      </c>
      <c r="L181" s="19" t="n">
        <f aca="false">IF(AND('Bonding Program'!$S$40=1,L$3='Bonding Program'!$H$40),'Bonding Program'!$AA$40,0)-IF(L$3&lt;='Bonding Program'!$C$8,IF(AND('Bonding Program'!$K$40&lt;&gt;"",L$3='Bonding Program'!$K$40),'Bonding Program'!$J$40,0)-IF(AND('Bonding Program'!$M$40&lt;&gt;"",L$3='Bonding Program'!$M$40),'Bonding Program'!$L$40,0)-IF(AND('Bonding Program'!$P$40&lt;&gt;"",L$3='Bonding Program'!$P$40),'Bonding Program'!$O$40,0)-IF(AND('Bonding Program'!$R$40&lt;&gt;"",L$3='Bonding Program'!$R$40),'Bonding Program'!$Q$40,0),0)</f>
        <v>0</v>
      </c>
      <c r="M181" s="19" t="n">
        <f aca="false">IF(AND('Bonding Program'!$S$40=1,M$3='Bonding Program'!$H$40),'Bonding Program'!$AA$40,0)-IF(M$3&lt;='Bonding Program'!$C$8,IF(AND('Bonding Program'!$K$40&lt;&gt;"",M$3='Bonding Program'!$K$40),'Bonding Program'!$J$40,0)-IF(AND('Bonding Program'!$M$40&lt;&gt;"",M$3='Bonding Program'!$M$40),'Bonding Program'!$L$40,0)-IF(AND('Bonding Program'!$P$40&lt;&gt;"",M$3='Bonding Program'!$P$40),'Bonding Program'!$O$40,0)-IF(AND('Bonding Program'!$R$40&lt;&gt;"",M$3='Bonding Program'!$R$40),'Bonding Program'!$Q$40,0),0)</f>
        <v>0</v>
      </c>
      <c r="N181" s="19" t="n">
        <f aca="false">IF(AND('Bonding Program'!$S$40=1,N$3='Bonding Program'!$H$40),'Bonding Program'!$AA$40,0)-IF(N$3&lt;='Bonding Program'!$C$8,IF(AND('Bonding Program'!$K$40&lt;&gt;"",N$3='Bonding Program'!$K$40),'Bonding Program'!$J$40,0)-IF(AND('Bonding Program'!$M$40&lt;&gt;"",N$3='Bonding Program'!$M$40),'Bonding Program'!$L$40,0)-IF(AND('Bonding Program'!$P$40&lt;&gt;"",N$3='Bonding Program'!$P$40),'Bonding Program'!$O$40,0)-IF(AND('Bonding Program'!$R$40&lt;&gt;"",N$3='Bonding Program'!$R$40),'Bonding Program'!$Q$40,0),0)</f>
        <v>0</v>
      </c>
      <c r="O181" s="19" t="n">
        <f aca="false">IF(AND('Bonding Program'!$S$40=1,O$3='Bonding Program'!$H$40),'Bonding Program'!$AA$40,0)-IF(O$3&lt;='Bonding Program'!$C$8,IF(AND('Bonding Program'!$K$40&lt;&gt;"",O$3='Bonding Program'!$K$40),'Bonding Program'!$J$40,0)-IF(AND('Bonding Program'!$M$40&lt;&gt;"",O$3='Bonding Program'!$M$40),'Bonding Program'!$L$40,0)-IF(AND('Bonding Program'!$P$40&lt;&gt;"",O$3='Bonding Program'!$P$40),'Bonding Program'!$O$40,0)-IF(AND('Bonding Program'!$R$40&lt;&gt;"",O$3='Bonding Program'!$R$40),'Bonding Program'!$Q$40,0),0)</f>
        <v>0</v>
      </c>
      <c r="P181" s="19" t="n">
        <f aca="false">IF(AND('Bonding Program'!$S$40=1,P$3='Bonding Program'!$H$40),'Bonding Program'!$AA$40,0)-IF(P$3&lt;='Bonding Program'!$C$8,IF(AND('Bonding Program'!$K$40&lt;&gt;"",P$3='Bonding Program'!$K$40),'Bonding Program'!$J$40,0)-IF(AND('Bonding Program'!$M$40&lt;&gt;"",P$3='Bonding Program'!$M$40),'Bonding Program'!$L$40,0)-IF(AND('Bonding Program'!$P$40&lt;&gt;"",P$3='Bonding Program'!$P$40),'Bonding Program'!$O$40,0)-IF(AND('Bonding Program'!$R$40&lt;&gt;"",P$3='Bonding Program'!$R$40),'Bonding Program'!$Q$40,0),0)</f>
        <v>0</v>
      </c>
      <c r="Q181" s="19" t="n">
        <f aca="false">IF(AND('Bonding Program'!$S$40=1,Q$3='Bonding Program'!$H$40),'Bonding Program'!$AA$40,0)-IF(Q$3&lt;='Bonding Program'!$C$8,IF(AND('Bonding Program'!$K$40&lt;&gt;"",Q$3='Bonding Program'!$K$40),'Bonding Program'!$J$40,0)-IF(AND('Bonding Program'!$M$40&lt;&gt;"",Q$3='Bonding Program'!$M$40),'Bonding Program'!$L$40,0)-IF(AND('Bonding Program'!$P$40&lt;&gt;"",Q$3='Bonding Program'!$P$40),'Bonding Program'!$O$40,0)-IF(AND('Bonding Program'!$R$40&lt;&gt;"",Q$3='Bonding Program'!$R$40),'Bonding Program'!$Q$40,0),0)</f>
        <v>0</v>
      </c>
      <c r="R181" s="19" t="n">
        <f aca="false">IF(AND('Bonding Program'!$S$40=1,R$3='Bonding Program'!$H$40),'Bonding Program'!$AA$40,0)-IF(R$3&lt;='Bonding Program'!$C$8,IF(AND('Bonding Program'!$K$40&lt;&gt;"",R$3='Bonding Program'!$K$40),'Bonding Program'!$J$40,0)-IF(AND('Bonding Program'!$M$40&lt;&gt;"",R$3='Bonding Program'!$M$40),'Bonding Program'!$L$40,0)-IF(AND('Bonding Program'!$P$40&lt;&gt;"",R$3='Bonding Program'!$P$40),'Bonding Program'!$O$40,0)-IF(AND('Bonding Program'!$R$40&lt;&gt;"",R$3='Bonding Program'!$R$40),'Bonding Program'!$Q$40,0),0)</f>
        <v>0</v>
      </c>
      <c r="S181" s="19" t="n">
        <f aca="false">IF(AND('Bonding Program'!$S$40=1,S$3='Bonding Program'!$H$40),'Bonding Program'!$AA$40,0)-IF(S$3&lt;='Bonding Program'!$C$8,IF(AND('Bonding Program'!$K$40&lt;&gt;"",S$3='Bonding Program'!$K$40),'Bonding Program'!$J$40,0)-IF(AND('Bonding Program'!$M$40&lt;&gt;"",S$3='Bonding Program'!$M$40),'Bonding Program'!$L$40,0)-IF(AND('Bonding Program'!$P$40&lt;&gt;"",S$3='Bonding Program'!$P$40),'Bonding Program'!$O$40,0)-IF(AND('Bonding Program'!$R$40&lt;&gt;"",S$3='Bonding Program'!$R$40),'Bonding Program'!$Q$40,0),0)</f>
        <v>0</v>
      </c>
      <c r="T181" s="19" t="n">
        <f aca="false">IF(AND('Bonding Program'!$S$40=1,T$3='Bonding Program'!$H$40),'Bonding Program'!$AA$40,0)-IF(T$3&lt;='Bonding Program'!$C$8,IF(AND('Bonding Program'!$K$40&lt;&gt;"",T$3='Bonding Program'!$K$40),'Bonding Program'!$J$40,0)-IF(AND('Bonding Program'!$M$40&lt;&gt;"",T$3='Bonding Program'!$M$40),'Bonding Program'!$L$40,0)-IF(AND('Bonding Program'!$P$40&lt;&gt;"",T$3='Bonding Program'!$P$40),'Bonding Program'!$O$40,0)-IF(AND('Bonding Program'!$R$40&lt;&gt;"",T$3='Bonding Program'!$R$40),'Bonding Program'!$Q$40,0),0)</f>
        <v>0</v>
      </c>
      <c r="U181" s="19" t="n">
        <f aca="false">IF(AND('Bonding Program'!$S$40=1,U$3='Bonding Program'!$H$40),'Bonding Program'!$AA$40,0)-IF(U$3&lt;='Bonding Program'!$C$8,IF(AND('Bonding Program'!$K$40&lt;&gt;"",U$3='Bonding Program'!$K$40),'Bonding Program'!$J$40,0)-IF(AND('Bonding Program'!$M$40&lt;&gt;"",U$3='Bonding Program'!$M$40),'Bonding Program'!$L$40,0)-IF(AND('Bonding Program'!$P$40&lt;&gt;"",U$3='Bonding Program'!$P$40),'Bonding Program'!$O$40,0)-IF(AND('Bonding Program'!$R$40&lt;&gt;"",U$3='Bonding Program'!$R$40),'Bonding Program'!$Q$40,0),0)</f>
        <v>0</v>
      </c>
      <c r="V181" s="19" t="n">
        <f aca="false">IF(AND('Bonding Program'!$S$40=1,V$3='Bonding Program'!$H$40),'Bonding Program'!$AA$40,0)-IF(V$3&lt;='Bonding Program'!$C$8,IF(AND('Bonding Program'!$K$40&lt;&gt;"",V$3='Bonding Program'!$K$40),'Bonding Program'!$J$40,0)-IF(AND('Bonding Program'!$M$40&lt;&gt;"",V$3='Bonding Program'!$M$40),'Bonding Program'!$L$40,0)-IF(AND('Bonding Program'!$P$40&lt;&gt;"",V$3='Bonding Program'!$P$40),'Bonding Program'!$O$40,0)-IF(AND('Bonding Program'!$R$40&lt;&gt;"",V$3='Bonding Program'!$R$40),'Bonding Program'!$Q$40,0),0)</f>
        <v>0</v>
      </c>
      <c r="W181" s="19" t="n">
        <f aca="false">IF(AND('Bonding Program'!$S$40=1,W$3='Bonding Program'!$H$40),'Bonding Program'!$AA$40,0)-IF(W$3&lt;='Bonding Program'!$C$8,IF(AND('Bonding Program'!$K$40&lt;&gt;"",W$3='Bonding Program'!$K$40),'Bonding Program'!$J$40,0)-IF(AND('Bonding Program'!$M$40&lt;&gt;"",W$3='Bonding Program'!$M$40),'Bonding Program'!$L$40,0)-IF(AND('Bonding Program'!$P$40&lt;&gt;"",W$3='Bonding Program'!$P$40),'Bonding Program'!$O$40,0)-IF(AND('Bonding Program'!$R$40&lt;&gt;"",W$3='Bonding Program'!$R$40),'Bonding Program'!$Q$40,0),0)</f>
        <v>0</v>
      </c>
      <c r="X181" s="19" t="n">
        <f aca="false">IF(AND('Bonding Program'!$S$40=1,X$3='Bonding Program'!$H$40),'Bonding Program'!$AA$40,0)-IF(X$3&lt;='Bonding Program'!$C$8,IF(AND('Bonding Program'!$K$40&lt;&gt;"",X$3='Bonding Program'!$K$40),'Bonding Program'!$J$40,0)-IF(AND('Bonding Program'!$M$40&lt;&gt;"",X$3='Bonding Program'!$M$40),'Bonding Program'!$L$40,0)-IF(AND('Bonding Program'!$P$40&lt;&gt;"",X$3='Bonding Program'!$P$40),'Bonding Program'!$O$40,0)-IF(AND('Bonding Program'!$R$40&lt;&gt;"",X$3='Bonding Program'!$R$40),'Bonding Program'!$Q$40,0),0)</f>
        <v>0</v>
      </c>
      <c r="Y181" s="19" t="n">
        <f aca="false">IF(AND('Bonding Program'!$S$40=1,Y$3='Bonding Program'!$H$40),'Bonding Program'!$AA$40,0)-IF(Y$3&lt;='Bonding Program'!$C$8,IF(AND('Bonding Program'!$K$40&lt;&gt;"",Y$3='Bonding Program'!$K$40),'Bonding Program'!$J$40,0)-IF(AND('Bonding Program'!$M$40&lt;&gt;"",Y$3='Bonding Program'!$M$40),'Bonding Program'!$L$40,0)-IF(AND('Bonding Program'!$P$40&lt;&gt;"",Y$3='Bonding Program'!$P$40),'Bonding Program'!$O$40,0)-IF(AND('Bonding Program'!$R$40&lt;&gt;"",Y$3='Bonding Program'!$R$40),'Bonding Program'!$Q$40,0),0)</f>
        <v>0</v>
      </c>
      <c r="Z181" s="19" t="n">
        <f aca="false">IF(AND('Bonding Program'!$S$40=1,Z$3='Bonding Program'!$H$40),'Bonding Program'!$AA$40,0)-IF(Z$3&lt;='Bonding Program'!$C$8,IF(AND('Bonding Program'!$K$40&lt;&gt;"",Z$3='Bonding Program'!$K$40),'Bonding Program'!$J$40,0)-IF(AND('Bonding Program'!$M$40&lt;&gt;"",Z$3='Bonding Program'!$M$40),'Bonding Program'!$L$40,0)-IF(AND('Bonding Program'!$P$40&lt;&gt;"",Z$3='Bonding Program'!$P$40),'Bonding Program'!$O$40,0)-IF(AND('Bonding Program'!$R$40&lt;&gt;"",Z$3='Bonding Program'!$R$40),'Bonding Program'!$Q$40,0),0)</f>
        <v>0</v>
      </c>
      <c r="AA181" s="19" t="n">
        <f aca="false">IF(AND('Bonding Program'!$S$40=1,AA$3='Bonding Program'!$H$40),'Bonding Program'!$AA$40,0)-IF(AA$3&lt;='Bonding Program'!$C$8,IF(AND('Bonding Program'!$K$40&lt;&gt;"",AA$3='Bonding Program'!$K$40),'Bonding Program'!$J$40,0)-IF(AND('Bonding Program'!$M$40&lt;&gt;"",AA$3='Bonding Program'!$M$40),'Bonding Program'!$L$40,0)-IF(AND('Bonding Program'!$P$40&lt;&gt;"",AA$3='Bonding Program'!$P$40),'Bonding Program'!$O$40,0)-IF(AND('Bonding Program'!$R$40&lt;&gt;"",AA$3='Bonding Program'!$R$40),'Bonding Program'!$Q$40,0),0)</f>
        <v>0</v>
      </c>
      <c r="AB181" s="19" t="n">
        <f aca="false">IF(AND('Bonding Program'!$S$40=1,AB$3='Bonding Program'!$H$40),'Bonding Program'!$AA$40,0)-IF(AB$3&lt;='Bonding Program'!$C$8,IF(AND('Bonding Program'!$K$40&lt;&gt;"",AB$3='Bonding Program'!$K$40),'Bonding Program'!$J$40,0)-IF(AND('Bonding Program'!$M$40&lt;&gt;"",AB$3='Bonding Program'!$M$40),'Bonding Program'!$L$40,0)-IF(AND('Bonding Program'!$P$40&lt;&gt;"",AB$3='Bonding Program'!$P$40),'Bonding Program'!$O$40,0)-IF(AND('Bonding Program'!$R$40&lt;&gt;"",AB$3='Bonding Program'!$R$40),'Bonding Program'!$Q$40,0),0)</f>
        <v>0</v>
      </c>
      <c r="AC181" s="19" t="n">
        <f aca="false">IF(AND('Bonding Program'!$S$40=1,AC$3='Bonding Program'!$H$40),'Bonding Program'!$AA$40,0)-IF(AC$3&lt;='Bonding Program'!$C$8,IF(AND('Bonding Program'!$K$40&lt;&gt;"",AC$3='Bonding Program'!$K$40),'Bonding Program'!$J$40,0)-IF(AND('Bonding Program'!$M$40&lt;&gt;"",AC$3='Bonding Program'!$M$40),'Bonding Program'!$L$40,0)-IF(AND('Bonding Program'!$P$40&lt;&gt;"",AC$3='Bonding Program'!$P$40),'Bonding Program'!$O$40,0)-IF(AND('Bonding Program'!$R$40&lt;&gt;"",AC$3='Bonding Program'!$R$40),'Bonding Program'!$Q$40,0),0)</f>
        <v>0</v>
      </c>
      <c r="AD181" s="19" t="n">
        <f aca="false">IF(AND('Bonding Program'!$S$40=1,AD$3='Bonding Program'!$H$40),'Bonding Program'!$AA$40,0)-IF(AD$3&lt;='Bonding Program'!$C$8,IF(AND('Bonding Program'!$K$40&lt;&gt;"",AD$3='Bonding Program'!$K$40),'Bonding Program'!$J$40,0)-IF(AND('Bonding Program'!$M$40&lt;&gt;"",AD$3='Bonding Program'!$M$40),'Bonding Program'!$L$40,0)-IF(AND('Bonding Program'!$P$40&lt;&gt;"",AD$3='Bonding Program'!$P$40),'Bonding Program'!$O$40,0)-IF(AND('Bonding Program'!$R$40&lt;&gt;"",AD$3='Bonding Program'!$R$40),'Bonding Program'!$Q$40,0),0)</f>
        <v>0</v>
      </c>
      <c r="AE181" s="19" t="n">
        <f aca="false">IF(AND('Bonding Program'!$S$40=1,AE$3='Bonding Program'!$H$40),'Bonding Program'!$AA$40,0)-IF(AE$3&lt;='Bonding Program'!$C$8,IF(AND('Bonding Program'!$K$40&lt;&gt;"",AE$3='Bonding Program'!$K$40),'Bonding Program'!$J$40,0)-IF(AND('Bonding Program'!$M$40&lt;&gt;"",AE$3='Bonding Program'!$M$40),'Bonding Program'!$L$40,0)-IF(AND('Bonding Program'!$P$40&lt;&gt;"",AE$3='Bonding Program'!$P$40),'Bonding Program'!$O$40,0)-IF(AND('Bonding Program'!$R$40&lt;&gt;"",AE$3='Bonding Program'!$R$40),'Bonding Program'!$Q$40,0),0)</f>
        <v>0</v>
      </c>
      <c r="AF181" s="19" t="n">
        <f aca="false">IF(AND('Bonding Program'!$S$40=1,AF$3='Bonding Program'!$H$40),'Bonding Program'!$AA$40,0)-IF(AF$3&lt;='Bonding Program'!$C$8,IF(AND('Bonding Program'!$K$40&lt;&gt;"",AF$3='Bonding Program'!$K$40),'Bonding Program'!$J$40,0)-IF(AND('Bonding Program'!$M$40&lt;&gt;"",AF$3='Bonding Program'!$M$40),'Bonding Program'!$L$40,0)-IF(AND('Bonding Program'!$P$40&lt;&gt;"",AF$3='Bonding Program'!$P$40),'Bonding Program'!$O$40,0)-IF(AND('Bonding Program'!$R$40&lt;&gt;"",AF$3='Bonding Program'!$R$40),'Bonding Program'!$Q$40,0),0)</f>
        <v>0</v>
      </c>
      <c r="AG181" s="19" t="n">
        <f aca="false">IF(AND('Bonding Program'!$S$40=1,AG$3='Bonding Program'!$H$40),'Bonding Program'!$AA$40,0)-IF(AG$3&lt;='Bonding Program'!$C$8,IF(AND('Bonding Program'!$K$40&lt;&gt;"",AG$3='Bonding Program'!$K$40),'Bonding Program'!$J$40,0)-IF(AND('Bonding Program'!$M$40&lt;&gt;"",AG$3='Bonding Program'!$M$40),'Bonding Program'!$L$40,0)-IF(AND('Bonding Program'!$P$40&lt;&gt;"",AG$3='Bonding Program'!$P$40),'Bonding Program'!$O$40,0)-IF(AND('Bonding Program'!$R$40&lt;&gt;"",AG$3='Bonding Program'!$R$40),'Bonding Program'!$Q$40,0),0)</f>
        <v>0</v>
      </c>
      <c r="AH181" s="19" t="n">
        <f aca="false">IF(AND('Bonding Program'!$S$40=1,AH$3='Bonding Program'!$H$40),'Bonding Program'!$AA$40,0)-IF(AH$3&lt;='Bonding Program'!$C$8,IF(AND('Bonding Program'!$K$40&lt;&gt;"",AH$3='Bonding Program'!$K$40),'Bonding Program'!$J$40,0)-IF(AND('Bonding Program'!$M$40&lt;&gt;"",AH$3='Bonding Program'!$M$40),'Bonding Program'!$L$40,0)-IF(AND('Bonding Program'!$P$40&lt;&gt;"",AH$3='Bonding Program'!$P$40),'Bonding Program'!$O$40,0)-IF(AND('Bonding Program'!$R$40&lt;&gt;"",AH$3='Bonding Program'!$R$40),'Bonding Program'!$Q$40,0),0)</f>
        <v>0</v>
      </c>
      <c r="AI181" s="19" t="n">
        <f aca="false">IF(AND('Bonding Program'!$S$40=1,AI$3='Bonding Program'!$H$40),'Bonding Program'!$AA$40,0)-IF(AI$3&lt;='Bonding Program'!$C$8,IF(AND('Bonding Program'!$K$40&lt;&gt;"",AI$3='Bonding Program'!$K$40),'Bonding Program'!$J$40,0)-IF(AND('Bonding Program'!$M$40&lt;&gt;"",AI$3='Bonding Program'!$M$40),'Bonding Program'!$L$40,0)-IF(AND('Bonding Program'!$P$40&lt;&gt;"",AI$3='Bonding Program'!$P$40),'Bonding Program'!$O$40,0)-IF(AND('Bonding Program'!$R$40&lt;&gt;"",AI$3='Bonding Program'!$R$40),'Bonding Program'!$Q$40,0),0)</f>
        <v>0</v>
      </c>
      <c r="AJ181" s="19" t="n">
        <f aca="false">IF(AND('Bonding Program'!$S$40=1,AJ$3='Bonding Program'!$H$40),'Bonding Program'!$AA$40,0)-IF(AJ$3&lt;='Bonding Program'!$C$8,IF(AND('Bonding Program'!$K$40&lt;&gt;"",AJ$3='Bonding Program'!$K$40),'Bonding Program'!$J$40,0)-IF(AND('Bonding Program'!$M$40&lt;&gt;"",AJ$3='Bonding Program'!$M$40),'Bonding Program'!$L$40,0)-IF(AND('Bonding Program'!$P$40&lt;&gt;"",AJ$3='Bonding Program'!$P$40),'Bonding Program'!$O$40,0)-IF(AND('Bonding Program'!$R$40&lt;&gt;"",AJ$3='Bonding Program'!$R$40),'Bonding Program'!$Q$40,0),0)</f>
        <v>0</v>
      </c>
      <c r="AK181" s="19" t="n">
        <f aca="false">IF(AND('Bonding Program'!$S$40=1,AK$3='Bonding Program'!$H$40),'Bonding Program'!$AA$40,0)-IF(AK$3&lt;='Bonding Program'!$C$8,IF(AND('Bonding Program'!$K$40&lt;&gt;"",AK$3='Bonding Program'!$K$40),'Bonding Program'!$J$40,0)-IF(AND('Bonding Program'!$M$40&lt;&gt;"",AK$3='Bonding Program'!$M$40),'Bonding Program'!$L$40,0)-IF(AND('Bonding Program'!$P$40&lt;&gt;"",AK$3='Bonding Program'!$P$40),'Bonding Program'!$O$40,0)-IF(AND('Bonding Program'!$R$40&lt;&gt;"",AK$3='Bonding Program'!$R$40),'Bonding Program'!$Q$40,0),0)</f>
        <v>0</v>
      </c>
      <c r="AL181" s="19" t="n">
        <f aca="false">IF(AND('Bonding Program'!$S$40=1,AL$3='Bonding Program'!$H$40),'Bonding Program'!$AA$40,0)-IF(AL$3&lt;='Bonding Program'!$C$8,IF(AND('Bonding Program'!$K$40&lt;&gt;"",AL$3='Bonding Program'!$K$40),'Bonding Program'!$J$40,0)-IF(AND('Bonding Program'!$M$40&lt;&gt;"",AL$3='Bonding Program'!$M$40),'Bonding Program'!$L$40,0)-IF(AND('Bonding Program'!$P$40&lt;&gt;"",AL$3='Bonding Program'!$P$40),'Bonding Program'!$O$40,0)-IF(AND('Bonding Program'!$R$40&lt;&gt;"",AL$3='Bonding Program'!$R$40),'Bonding Program'!$Q$40,0),0)</f>
        <v>0</v>
      </c>
      <c r="AM181" s="19" t="n">
        <f aca="false">IF(AND('Bonding Program'!$S$40=1,AM$3='Bonding Program'!$H$40),'Bonding Program'!$AA$40,0)-IF(AM$3&lt;='Bonding Program'!$C$8,IF(AND('Bonding Program'!$K$40&lt;&gt;"",AM$3='Bonding Program'!$K$40),'Bonding Program'!$J$40,0)-IF(AND('Bonding Program'!$M$40&lt;&gt;"",AM$3='Bonding Program'!$M$40),'Bonding Program'!$L$40,0)-IF(AND('Bonding Program'!$P$40&lt;&gt;"",AM$3='Bonding Program'!$P$40),'Bonding Program'!$O$40,0)-IF(AND('Bonding Program'!$R$40&lt;&gt;"",AM$3='Bonding Program'!$R$40),'Bonding Program'!$Q$40,0),0)</f>
        <v>0</v>
      </c>
      <c r="AN181" s="19" t="n">
        <f aca="false">IF(AND('Bonding Program'!$S$40=1,AN$3='Bonding Program'!$H$40),'Bonding Program'!$AA$40,0)-IF(AN$3&lt;='Bonding Program'!$C$8,IF(AND('Bonding Program'!$K$40&lt;&gt;"",AN$3='Bonding Program'!$K$40),'Bonding Program'!$J$40,0)-IF(AND('Bonding Program'!$M$40&lt;&gt;"",AN$3='Bonding Program'!$M$40),'Bonding Program'!$L$40,0)-IF(AND('Bonding Program'!$P$40&lt;&gt;"",AN$3='Bonding Program'!$P$40),'Bonding Program'!$O$40,0)-IF(AND('Bonding Program'!$R$40&lt;&gt;"",AN$3='Bonding Program'!$R$40),'Bonding Program'!$Q$40,0),0)</f>
        <v>0</v>
      </c>
      <c r="AO181" s="19" t="n">
        <f aca="false">IF(AND('Bonding Program'!$S$40=1,AO$3='Bonding Program'!$H$40),'Bonding Program'!$AA$40,0)-IF(AO$3&lt;='Bonding Program'!$C$8,IF(AND('Bonding Program'!$K$40&lt;&gt;"",AO$3='Bonding Program'!$K$40),'Bonding Program'!$J$40,0)-IF(AND('Bonding Program'!$M$40&lt;&gt;"",AO$3='Bonding Program'!$M$40),'Bonding Program'!$L$40,0)-IF(AND('Bonding Program'!$P$40&lt;&gt;"",AO$3='Bonding Program'!$P$40),'Bonding Program'!$O$40,0)-IF(AND('Bonding Program'!$R$40&lt;&gt;"",AO$3='Bonding Program'!$R$40),'Bonding Program'!$Q$40,0),0)</f>
        <v>0</v>
      </c>
      <c r="AP181" s="19" t="n">
        <f aca="false">IF(AND('Bonding Program'!$S$40=1,AP$3='Bonding Program'!$H$40),'Bonding Program'!$AA$40,0)-IF(AP$3&lt;='Bonding Program'!$C$8,IF(AND('Bonding Program'!$K$40&lt;&gt;"",AP$3='Bonding Program'!$K$40),'Bonding Program'!$J$40,0)-IF(AND('Bonding Program'!$M$40&lt;&gt;"",AP$3='Bonding Program'!$M$40),'Bonding Program'!$L$40,0)-IF(AND('Bonding Program'!$P$40&lt;&gt;"",AP$3='Bonding Program'!$P$40),'Bonding Program'!$O$40,0)-IF(AND('Bonding Program'!$R$40&lt;&gt;"",AP$3='Bonding Program'!$R$40),'Bonding Program'!$Q$40,0),0)</f>
        <v>0</v>
      </c>
      <c r="AQ181" s="19" t="n">
        <f aca="false">IF(AND('Bonding Program'!$S$40=1,AQ$3='Bonding Program'!$H$40),'Bonding Program'!$AA$40,0)-IF(AQ$3&lt;='Bonding Program'!$C$8,IF(AND('Bonding Program'!$K$40&lt;&gt;"",AQ$3='Bonding Program'!$K$40),'Bonding Program'!$J$40,0)-IF(AND('Bonding Program'!$M$40&lt;&gt;"",AQ$3='Bonding Program'!$M$40),'Bonding Program'!$L$40,0)-IF(AND('Bonding Program'!$P$40&lt;&gt;"",AQ$3='Bonding Program'!$P$40),'Bonding Program'!$O$40,0)-IF(AND('Bonding Program'!$R$40&lt;&gt;"",AQ$3='Bonding Program'!$R$40),'Bonding Program'!$Q$40,0),0)</f>
        <v>0</v>
      </c>
      <c r="AR181" s="19" t="n">
        <f aca="false">IF(AND('Bonding Program'!$S$40=1,AR$3='Bonding Program'!$H$40),'Bonding Program'!$AA$40,0)-IF(AR$3&lt;='Bonding Program'!$C$8,IF(AND('Bonding Program'!$K$40&lt;&gt;"",AR$3='Bonding Program'!$K$40),'Bonding Program'!$J$40,0)-IF(AND('Bonding Program'!$M$40&lt;&gt;"",AR$3='Bonding Program'!$M$40),'Bonding Program'!$L$40,0)-IF(AND('Bonding Program'!$P$40&lt;&gt;"",AR$3='Bonding Program'!$P$40),'Bonding Program'!$O$40,0)-IF(AND('Bonding Program'!$R$40&lt;&gt;"",AR$3='Bonding Program'!$R$40),'Bonding Program'!$Q$40,0),0)</f>
        <v>0</v>
      </c>
      <c r="AS181" s="19" t="n">
        <f aca="false">IF(AND('Bonding Program'!$S$40=1,AS$3='Bonding Program'!$H$40),'Bonding Program'!$AA$40,0)-IF(AS$3&lt;='Bonding Program'!$C$8,IF(AND('Bonding Program'!$K$40&lt;&gt;"",AS$3='Bonding Program'!$K$40),'Bonding Program'!$J$40,0)-IF(AND('Bonding Program'!$M$40&lt;&gt;"",AS$3='Bonding Program'!$M$40),'Bonding Program'!$L$40,0)-IF(AND('Bonding Program'!$P$40&lt;&gt;"",AS$3='Bonding Program'!$P$40),'Bonding Program'!$O$40,0)-IF(AND('Bonding Program'!$R$40&lt;&gt;"",AS$3='Bonding Program'!$R$40),'Bonding Program'!$Q$40,0),0)</f>
        <v>0</v>
      </c>
      <c r="AT181" s="19" t="n">
        <f aca="false">IF(AND('Bonding Program'!$S$40=1,AT$3='Bonding Program'!$H$40),'Bonding Program'!$AA$40,0)-IF(AT$3&lt;='Bonding Program'!$C$8,IF(AND('Bonding Program'!$K$40&lt;&gt;"",AT$3='Bonding Program'!$K$40),'Bonding Program'!$J$40,0)-IF(AND('Bonding Program'!$M$40&lt;&gt;"",AT$3='Bonding Program'!$M$40),'Bonding Program'!$L$40,0)-IF(AND('Bonding Program'!$P$40&lt;&gt;"",AT$3='Bonding Program'!$P$40),'Bonding Program'!$O$40,0)-IF(AND('Bonding Program'!$R$40&lt;&gt;"",AT$3='Bonding Program'!$R$40),'Bonding Program'!$Q$40,0),0)</f>
        <v>0</v>
      </c>
      <c r="AU181" s="19" t="n">
        <f aca="false">IF(AND('Bonding Program'!$S$40=1,AU$3='Bonding Program'!$H$40),'Bonding Program'!$AA$40,0)-IF(AU$3&lt;='Bonding Program'!$C$8,IF(AND('Bonding Program'!$K$40&lt;&gt;"",AU$3='Bonding Program'!$K$40),'Bonding Program'!$J$40,0)-IF(AND('Bonding Program'!$M$40&lt;&gt;"",AU$3='Bonding Program'!$M$40),'Bonding Program'!$L$40,0)-IF(AND('Bonding Program'!$P$40&lt;&gt;"",AU$3='Bonding Program'!$P$40),'Bonding Program'!$O$40,0)-IF(AND('Bonding Program'!$R$40&lt;&gt;"",AU$3='Bonding Program'!$R$40),'Bonding Program'!$Q$40,0),0)</f>
        <v>0</v>
      </c>
      <c r="AV181" s="19" t="n">
        <f aca="false">IF(AND('Bonding Program'!$S$40=1,AV$3='Bonding Program'!$H$40),'Bonding Program'!$AA$40,0)-IF(AV$3&lt;='Bonding Program'!$C$8,IF(AND('Bonding Program'!$K$40&lt;&gt;"",AV$3='Bonding Program'!$K$40),'Bonding Program'!$J$40,0)-IF(AND('Bonding Program'!$M$40&lt;&gt;"",AV$3='Bonding Program'!$M$40),'Bonding Program'!$L$40,0)-IF(AND('Bonding Program'!$P$40&lt;&gt;"",AV$3='Bonding Program'!$P$40),'Bonding Program'!$O$40,0)-IF(AND('Bonding Program'!$R$40&lt;&gt;"",AV$3='Bonding Program'!$R$40),'Bonding Program'!$Q$40,0),0)</f>
        <v>0</v>
      </c>
      <c r="AW181" s="19" t="n">
        <f aca="false">IF(AND('Bonding Program'!$S$40=1,AW$3='Bonding Program'!$H$40),'Bonding Program'!$AA$40,0)-IF(AW$3&lt;='Bonding Program'!$C$8,IF(AND('Bonding Program'!$K$40&lt;&gt;"",AW$3='Bonding Program'!$K$40),'Bonding Program'!$J$40,0)-IF(AND('Bonding Program'!$M$40&lt;&gt;"",AW$3='Bonding Program'!$M$40),'Bonding Program'!$L$40,0)-IF(AND('Bonding Program'!$P$40&lt;&gt;"",AW$3='Bonding Program'!$P$40),'Bonding Program'!$O$40,0)-IF(AND('Bonding Program'!$R$40&lt;&gt;"",AW$3='Bonding Program'!$R$40),'Bonding Program'!$Q$40,0),0)</f>
        <v>0</v>
      </c>
      <c r="AX181" s="19" t="n">
        <f aca="false">IF(AND('Bonding Program'!$S$40=1,AX$3='Bonding Program'!$H$40),'Bonding Program'!$AA$40,0)-IF(AX$3&lt;='Bonding Program'!$C$8,IF(AND('Bonding Program'!$K$40&lt;&gt;"",AX$3='Bonding Program'!$K$40),'Bonding Program'!$J$40,0)-IF(AND('Bonding Program'!$M$40&lt;&gt;"",AX$3='Bonding Program'!$M$40),'Bonding Program'!$L$40,0)-IF(AND('Bonding Program'!$P$40&lt;&gt;"",AX$3='Bonding Program'!$P$40),'Bonding Program'!$O$40,0)-IF(AND('Bonding Program'!$R$40&lt;&gt;"",AX$3='Bonding Program'!$R$40),'Bonding Program'!$Q$40,0),0)</f>
        <v>0</v>
      </c>
      <c r="AY181" s="19" t="n">
        <f aca="false">IF(AND('Bonding Program'!$S$40=1,AY$3='Bonding Program'!$H$40),'Bonding Program'!$AA$40,0)-IF(AY$3&lt;='Bonding Program'!$C$8,IF(AND('Bonding Program'!$K$40&lt;&gt;"",AY$3='Bonding Program'!$K$40),'Bonding Program'!$J$40,0)-IF(AND('Bonding Program'!$M$40&lt;&gt;"",AY$3='Bonding Program'!$M$40),'Bonding Program'!$L$40,0)-IF(AND('Bonding Program'!$P$40&lt;&gt;"",AY$3='Bonding Program'!$P$40),'Bonding Program'!$O$40,0)-IF(AND('Bonding Program'!$R$40&lt;&gt;"",AY$3='Bonding Program'!$R$40),'Bonding Program'!$Q$40,0),0)</f>
        <v>0</v>
      </c>
      <c r="AZ181" s="19" t="n">
        <f aca="false">IF(AND('Bonding Program'!$S$40=1,AZ$3='Bonding Program'!$H$40),'Bonding Program'!$AA$40,0)-IF(AZ$3&lt;='Bonding Program'!$C$8,IF(AND('Bonding Program'!$K$40&lt;&gt;"",AZ$3='Bonding Program'!$K$40),'Bonding Program'!$J$40,0)-IF(AND('Bonding Program'!$M$40&lt;&gt;"",AZ$3='Bonding Program'!$M$40),'Bonding Program'!$L$40,0)-IF(AND('Bonding Program'!$P$40&lt;&gt;"",AZ$3='Bonding Program'!$P$40),'Bonding Program'!$O$40,0)-IF(AND('Bonding Program'!$R$40&lt;&gt;"",AZ$3='Bonding Program'!$R$40),'Bonding Program'!$Q$40,0),0)</f>
        <v>0</v>
      </c>
      <c r="BA181" s="19" t="n">
        <f aca="false">IF(AND('Bonding Program'!$S$40=1,BA$3='Bonding Program'!$H$40),'Bonding Program'!$AA$40,0)-IF(BA$3&lt;='Bonding Program'!$C$8,IF(AND('Bonding Program'!$K$40&lt;&gt;"",BA$3='Bonding Program'!$K$40),'Bonding Program'!$J$40,0)-IF(AND('Bonding Program'!$M$40&lt;&gt;"",BA$3='Bonding Program'!$M$40),'Bonding Program'!$L$40,0)-IF(AND('Bonding Program'!$P$40&lt;&gt;"",BA$3='Bonding Program'!$P$40),'Bonding Program'!$O$40,0)-IF(AND('Bonding Program'!$R$40&lt;&gt;"",BA$3='Bonding Program'!$R$40),'Bonding Program'!$Q$40,0),0)</f>
        <v>0</v>
      </c>
      <c r="BB181" s="19" t="n">
        <f aca="false">IF(AND('Bonding Program'!$S$40=1,BB$3='Bonding Program'!$H$40),'Bonding Program'!$AA$40,0)-IF(BB$3&lt;='Bonding Program'!$C$8,IF(AND('Bonding Program'!$K$40&lt;&gt;"",BB$3='Bonding Program'!$K$40),'Bonding Program'!$J$40,0)-IF(AND('Bonding Program'!$M$40&lt;&gt;"",BB$3='Bonding Program'!$M$40),'Bonding Program'!$L$40,0)-IF(AND('Bonding Program'!$P$40&lt;&gt;"",BB$3='Bonding Program'!$P$40),'Bonding Program'!$O$40,0)-IF(AND('Bonding Program'!$R$40&lt;&gt;"",BB$3='Bonding Program'!$R$40),'Bonding Program'!$Q$40,0),0)</f>
        <v>0</v>
      </c>
      <c r="BC181" s="19" t="n">
        <f aca="false">IF(AND('Bonding Program'!$S$40=1,BC$3='Bonding Program'!$H$40),'Bonding Program'!$AA$40,0)-IF(BC$3&lt;='Bonding Program'!$C$8,IF(AND('Bonding Program'!$K$40&lt;&gt;"",BC$3='Bonding Program'!$K$40),'Bonding Program'!$J$40,0)-IF(AND('Bonding Program'!$M$40&lt;&gt;"",BC$3='Bonding Program'!$M$40),'Bonding Program'!$L$40,0)-IF(AND('Bonding Program'!$P$40&lt;&gt;"",BC$3='Bonding Program'!$P$40),'Bonding Program'!$O$40,0)-IF(AND('Bonding Program'!$R$40&lt;&gt;"",BC$3='Bonding Program'!$R$40),'Bonding Program'!$Q$40,0),0)</f>
        <v>0</v>
      </c>
      <c r="BD181" s="19" t="n">
        <f aca="false">IF(AND('Bonding Program'!$S$40=1,BD$3='Bonding Program'!$H$40),'Bonding Program'!$AA$40,0)-IF(BD$3&lt;='Bonding Program'!$C$8,IF(AND('Bonding Program'!$K$40&lt;&gt;"",BD$3='Bonding Program'!$K$40),'Bonding Program'!$J$40,0)-IF(AND('Bonding Program'!$M$40&lt;&gt;"",BD$3='Bonding Program'!$M$40),'Bonding Program'!$L$40,0)-IF(AND('Bonding Program'!$P$40&lt;&gt;"",BD$3='Bonding Program'!$P$40),'Bonding Program'!$O$40,0)-IF(AND('Bonding Program'!$R$40&lt;&gt;"",BD$3='Bonding Program'!$R$40),'Bonding Program'!$Q$40,0),0)</f>
        <v>0</v>
      </c>
      <c r="BE181" s="19" t="n">
        <f aca="false">IF(AND('Bonding Program'!$S$40=1,BE$3='Bonding Program'!$H$40),'Bonding Program'!$AA$40,0)-IF(BE$3&lt;='Bonding Program'!$C$8,IF(AND('Bonding Program'!$K$40&lt;&gt;"",BE$3='Bonding Program'!$K$40),'Bonding Program'!$J$40,0)-IF(AND('Bonding Program'!$M$40&lt;&gt;"",BE$3='Bonding Program'!$M$40),'Bonding Program'!$L$40,0)-IF(AND('Bonding Program'!$P$40&lt;&gt;"",BE$3='Bonding Program'!$P$40),'Bonding Program'!$O$40,0)-IF(AND('Bonding Program'!$R$40&lt;&gt;"",BE$3='Bonding Program'!$R$40),'Bonding Program'!$Q$40,0),0)</f>
        <v>0</v>
      </c>
      <c r="BF181" s="19" t="n">
        <f aca="false">IF(AND('Bonding Program'!$S$40=1,BF$3='Bonding Program'!$H$40),'Bonding Program'!$AA$40,0)-IF(BF$3&lt;='Bonding Program'!$C$8,IF(AND('Bonding Program'!$K$40&lt;&gt;"",BF$3='Bonding Program'!$K$40),'Bonding Program'!$J$40,0)-IF(AND('Bonding Program'!$M$40&lt;&gt;"",BF$3='Bonding Program'!$M$40),'Bonding Program'!$L$40,0)-IF(AND('Bonding Program'!$P$40&lt;&gt;"",BF$3='Bonding Program'!$P$40),'Bonding Program'!$O$40,0)-IF(AND('Bonding Program'!$R$40&lt;&gt;"",BF$3='Bonding Program'!$R$40),'Bonding Program'!$Q$40,0),0)</f>
        <v>0</v>
      </c>
      <c r="BG181" s="19" t="n">
        <f aca="false">IF(AND('Bonding Program'!$S$40=1,BG$3='Bonding Program'!$H$40),'Bonding Program'!$AA$40,0)-IF(BG$3&lt;='Bonding Program'!$C$8,IF(AND('Bonding Program'!$K$40&lt;&gt;"",BG$3='Bonding Program'!$K$40),'Bonding Program'!$J$40,0)-IF(AND('Bonding Program'!$M$40&lt;&gt;"",BG$3='Bonding Program'!$M$40),'Bonding Program'!$L$40,0)-IF(AND('Bonding Program'!$P$40&lt;&gt;"",BG$3='Bonding Program'!$P$40),'Bonding Program'!$O$40,0)-IF(AND('Bonding Program'!$R$40&lt;&gt;"",BG$3='Bonding Program'!$R$40),'Bonding Program'!$Q$40,0),0)</f>
        <v>0</v>
      </c>
      <c r="BH181" s="19" t="n">
        <f aca="false">IF(AND('Bonding Program'!$S$40=1,BH$3='Bonding Program'!$H$40),'Bonding Program'!$AA$40,0)-IF(BH$3&lt;='Bonding Program'!$C$8,IF(AND('Bonding Program'!$K$40&lt;&gt;"",BH$3='Bonding Program'!$K$40),'Bonding Program'!$J$40,0)-IF(AND('Bonding Program'!$M$40&lt;&gt;"",BH$3='Bonding Program'!$M$40),'Bonding Program'!$L$40,0)-IF(AND('Bonding Program'!$P$40&lt;&gt;"",BH$3='Bonding Program'!$P$40),'Bonding Program'!$O$40,0)-IF(AND('Bonding Program'!$R$40&lt;&gt;"",BH$3='Bonding Program'!$R$40),'Bonding Program'!$Q$40,0),0)</f>
        <v>0</v>
      </c>
      <c r="BI181" s="19" t="n">
        <f aca="false">IF(AND('Bonding Program'!$S$40=1,BI$3='Bonding Program'!$H$40),'Bonding Program'!$AA$40,0)-IF(BI$3&lt;='Bonding Program'!$C$8,IF(AND('Bonding Program'!$K$40&lt;&gt;"",BI$3='Bonding Program'!$K$40),'Bonding Program'!$J$40,0)-IF(AND('Bonding Program'!$M$40&lt;&gt;"",BI$3='Bonding Program'!$M$40),'Bonding Program'!$L$40,0)-IF(AND('Bonding Program'!$P$40&lt;&gt;"",BI$3='Bonding Program'!$P$40),'Bonding Program'!$O$40,0)-IF(AND('Bonding Program'!$R$40&lt;&gt;"",BI$3='Bonding Program'!$R$40),'Bonding Program'!$Q$40,0),0)</f>
        <v>0</v>
      </c>
      <c r="BJ181" s="19" t="n">
        <f aca="false">IF(AND('Bonding Program'!$S$40=1,BJ$3='Bonding Program'!$H$40),'Bonding Program'!$AA$40,0)-IF(BJ$3&lt;='Bonding Program'!$C$8,IF(AND('Bonding Program'!$K$40&lt;&gt;"",BJ$3='Bonding Program'!$K$40),'Bonding Program'!$J$40,0)-IF(AND('Bonding Program'!$M$40&lt;&gt;"",BJ$3='Bonding Program'!$M$40),'Bonding Program'!$L$40,0)-IF(AND('Bonding Program'!$P$40&lt;&gt;"",BJ$3='Bonding Program'!$P$40),'Bonding Program'!$O$40,0)-IF(AND('Bonding Program'!$R$40&lt;&gt;"",BJ$3='Bonding Program'!$R$40),'Bonding Program'!$Q$40,0),0)</f>
        <v>0</v>
      </c>
      <c r="BK181" s="19" t="n">
        <f aca="false">IF(AND('Bonding Program'!$S$40=1,BK$3='Bonding Program'!$H$40),'Bonding Program'!$AA$40,0)-IF(BK$3&lt;='Bonding Program'!$C$8,IF(AND('Bonding Program'!$K$40&lt;&gt;"",BK$3='Bonding Program'!$K$40),'Bonding Program'!$J$40,0)-IF(AND('Bonding Program'!$M$40&lt;&gt;"",BK$3='Bonding Program'!$M$40),'Bonding Program'!$L$40,0)-IF(AND('Bonding Program'!$P$40&lt;&gt;"",BK$3='Bonding Program'!$P$40),'Bonding Program'!$O$40,0)-IF(AND('Bonding Program'!$R$40&lt;&gt;"",BK$3='Bonding Program'!$R$40),'Bonding Program'!$Q$40,0),0)</f>
        <v>0</v>
      </c>
      <c r="BL181" s="19" t="n">
        <f aca="false">IF(AND('Bonding Program'!$S$40=1,BL$3='Bonding Program'!$H$40),'Bonding Program'!$AA$40,0)-IF(BL$3&lt;='Bonding Program'!$C$8,IF(AND('Bonding Program'!$K$40&lt;&gt;"",BL$3='Bonding Program'!$K$40),'Bonding Program'!$J$40,0)-IF(AND('Bonding Program'!$M$40&lt;&gt;"",BL$3='Bonding Program'!$M$40),'Bonding Program'!$L$40,0)-IF(AND('Bonding Program'!$P$40&lt;&gt;"",BL$3='Bonding Program'!$P$40),'Bonding Program'!$O$40,0)-IF(AND('Bonding Program'!$R$40&lt;&gt;"",BL$3='Bonding Program'!$R$40),'Bonding Program'!$Q$40,0),0)</f>
        <v>0</v>
      </c>
      <c r="BM181" s="19" t="n">
        <f aca="false">IF(AND('Bonding Program'!$S$40=1,BM$3='Bonding Program'!$H$40),'Bonding Program'!$AA$40,0)-IF(BM$3&lt;='Bonding Program'!$C$8,IF(AND('Bonding Program'!$K$40&lt;&gt;"",BM$3='Bonding Program'!$K$40),'Bonding Program'!$J$40,0)-IF(AND('Bonding Program'!$M$40&lt;&gt;"",BM$3='Bonding Program'!$M$40),'Bonding Program'!$L$40,0)-IF(AND('Bonding Program'!$P$40&lt;&gt;"",BM$3='Bonding Program'!$P$40),'Bonding Program'!$O$40,0)-IF(AND('Bonding Program'!$R$40&lt;&gt;"",BM$3='Bonding Program'!$R$40),'Bonding Program'!$Q$40,0),0)</f>
        <v>0</v>
      </c>
      <c r="BN181" s="19" t="n">
        <f aca="false">IF(AND('Bonding Program'!$S$40=1,BN$3='Bonding Program'!$H$40),'Bonding Program'!$AA$40,0)-IF(BN$3&lt;='Bonding Program'!$C$8,IF(AND('Bonding Program'!$K$40&lt;&gt;"",BN$3='Bonding Program'!$K$40),'Bonding Program'!$J$40,0)-IF(AND('Bonding Program'!$M$40&lt;&gt;"",BN$3='Bonding Program'!$M$40),'Bonding Program'!$L$40,0)-IF(AND('Bonding Program'!$P$40&lt;&gt;"",BN$3='Bonding Program'!$P$40),'Bonding Program'!$O$40,0)-IF(AND('Bonding Program'!$R$40&lt;&gt;"",BN$3='Bonding Program'!$R$40),'Bonding Program'!$Q$40,0),0)</f>
        <v>0</v>
      </c>
      <c r="BO181" s="19" t="n">
        <f aca="false">IF(AND('Bonding Program'!$S$40=1,BO$3='Bonding Program'!$H$40),'Bonding Program'!$AA$40,0)-IF(BO$3&lt;='Bonding Program'!$C$8,IF(AND('Bonding Program'!$K$40&lt;&gt;"",BO$3='Bonding Program'!$K$40),'Bonding Program'!$J$40,0)-IF(AND('Bonding Program'!$M$40&lt;&gt;"",BO$3='Bonding Program'!$M$40),'Bonding Program'!$L$40,0)-IF(AND('Bonding Program'!$P$40&lt;&gt;"",BO$3='Bonding Program'!$P$40),'Bonding Program'!$O$40,0)-IF(AND('Bonding Program'!$R$40&lt;&gt;"",BO$3='Bonding Program'!$R$40),'Bonding Program'!$Q$40,0),0)</f>
        <v>0</v>
      </c>
      <c r="BP181" s="19" t="n">
        <f aca="false">IF(AND('Bonding Program'!$S$40=1,BP$3='Bonding Program'!$H$40),'Bonding Program'!$AA$40,0)-IF(BP$3&lt;='Bonding Program'!$C$8,IF(AND('Bonding Program'!$K$40&lt;&gt;"",BP$3='Bonding Program'!$K$40),'Bonding Program'!$J$40,0)-IF(AND('Bonding Program'!$M$40&lt;&gt;"",BP$3='Bonding Program'!$M$40),'Bonding Program'!$L$40,0)-IF(AND('Bonding Program'!$P$40&lt;&gt;"",BP$3='Bonding Program'!$P$40),'Bonding Program'!$O$40,0)-IF(AND('Bonding Program'!$R$40&lt;&gt;"",BP$3='Bonding Program'!$R$40),'Bonding Program'!$Q$40,0),0)</f>
        <v>0</v>
      </c>
      <c r="BQ181" s="19" t="n">
        <f aca="false">IF(AND('Bonding Program'!$S$40=1,BQ$3='Bonding Program'!$H$40),'Bonding Program'!$AA$40,0)-IF(BQ$3&lt;='Bonding Program'!$C$8,IF(AND('Bonding Program'!$K$40&lt;&gt;"",BQ$3='Bonding Program'!$K$40),'Bonding Program'!$J$40,0)-IF(AND('Bonding Program'!$M$40&lt;&gt;"",BQ$3='Bonding Program'!$M$40),'Bonding Program'!$L$40,0)-IF(AND('Bonding Program'!$P$40&lt;&gt;"",BQ$3='Bonding Program'!$P$40),'Bonding Program'!$O$40,0)-IF(AND('Bonding Program'!$R$40&lt;&gt;"",BQ$3='Bonding Program'!$R$40),'Bonding Program'!$Q$40,0),0)</f>
        <v>0</v>
      </c>
      <c r="BR181" s="19" t="n">
        <f aca="false">IF(AND('Bonding Program'!$S$40=1,BR$3='Bonding Program'!$H$40),'Bonding Program'!$AA$40,0)-IF(BR$3&lt;='Bonding Program'!$C$8,IF(AND('Bonding Program'!$K$40&lt;&gt;"",BR$3='Bonding Program'!$K$40),'Bonding Program'!$J$40,0)-IF(AND('Bonding Program'!$M$40&lt;&gt;"",BR$3='Bonding Program'!$M$40),'Bonding Program'!$L$40,0)-IF(AND('Bonding Program'!$P$40&lt;&gt;"",BR$3='Bonding Program'!$P$40),'Bonding Program'!$O$40,0)-IF(AND('Bonding Program'!$R$40&lt;&gt;"",BR$3='Bonding Program'!$R$40),'Bonding Program'!$Q$40,0),0)</f>
        <v>0</v>
      </c>
      <c r="BS181" s="19" t="n">
        <f aca="false">IF(AND('Bonding Program'!$S$40=1,BS$3='Bonding Program'!$H$40),'Bonding Program'!$AA$40,0)-IF(BS$3&lt;='Bonding Program'!$C$8,IF(AND('Bonding Program'!$K$40&lt;&gt;"",BS$3='Bonding Program'!$K$40),'Bonding Program'!$J$40,0)-IF(AND('Bonding Program'!$M$40&lt;&gt;"",BS$3='Bonding Program'!$M$40),'Bonding Program'!$L$40,0)-IF(AND('Bonding Program'!$P$40&lt;&gt;"",BS$3='Bonding Program'!$P$40),'Bonding Program'!$O$40,0)-IF(AND('Bonding Program'!$R$40&lt;&gt;"",BS$3='Bonding Program'!$R$40),'Bonding Program'!$Q$40,0),0)</f>
        <v>0</v>
      </c>
      <c r="BT181" s="19" t="n">
        <f aca="false">IF(AND('Bonding Program'!$S$40=1,BT$3='Bonding Program'!$H$40),'Bonding Program'!$AA$40,0)-IF(BT$3&lt;='Bonding Program'!$C$8,IF(AND('Bonding Program'!$K$40&lt;&gt;"",BT$3='Bonding Program'!$K$40),'Bonding Program'!$J$40,0)-IF(AND('Bonding Program'!$M$40&lt;&gt;"",BT$3='Bonding Program'!$M$40),'Bonding Program'!$L$40,0)-IF(AND('Bonding Program'!$P$40&lt;&gt;"",BT$3='Bonding Program'!$P$40),'Bonding Program'!$O$40,0)-IF(AND('Bonding Program'!$R$40&lt;&gt;"",BT$3='Bonding Program'!$R$40),'Bonding Program'!$Q$40,0),0)</f>
        <v>0</v>
      </c>
      <c r="BU181" s="19" t="n">
        <f aca="false">IF(AND('Bonding Program'!$S$40=1,BU$3='Bonding Program'!$H$40),'Bonding Program'!$AA$40,0)-IF(BU$3&lt;='Bonding Program'!$C$8,IF(AND('Bonding Program'!$K$40&lt;&gt;"",BU$3='Bonding Program'!$K$40),'Bonding Program'!$J$40,0)-IF(AND('Bonding Program'!$M$40&lt;&gt;"",BU$3='Bonding Program'!$M$40),'Bonding Program'!$L$40,0)-IF(AND('Bonding Program'!$P$40&lt;&gt;"",BU$3='Bonding Program'!$P$40),'Bonding Program'!$O$40,0)-IF(AND('Bonding Program'!$R$40&lt;&gt;"",BU$3='Bonding Program'!$R$40),'Bonding Program'!$Q$40,0),0)</f>
        <v>0</v>
      </c>
      <c r="BV181" s="19" t="n">
        <f aca="false">IF(AND('Bonding Program'!$S$40=1,BV$3='Bonding Program'!$H$40),'Bonding Program'!$AA$40,0)-IF(BV$3&lt;='Bonding Program'!$C$8,IF(AND('Bonding Program'!$K$40&lt;&gt;"",BV$3='Bonding Program'!$K$40),'Bonding Program'!$J$40,0)-IF(AND('Bonding Program'!$M$40&lt;&gt;"",BV$3='Bonding Program'!$M$40),'Bonding Program'!$L$40,0)-IF(AND('Bonding Program'!$P$40&lt;&gt;"",BV$3='Bonding Program'!$P$40),'Bonding Program'!$O$40,0)-IF(AND('Bonding Program'!$R$40&lt;&gt;"",BV$3='Bonding Program'!$R$40),'Bonding Program'!$Q$40,0),0)</f>
        <v>0</v>
      </c>
      <c r="BW181" s="19" t="n">
        <f aca="false">IF(AND('Bonding Program'!$S$40=1,BW$3='Bonding Program'!$H$40),'Bonding Program'!$AA$40,0)-IF(BW$3&lt;='Bonding Program'!$C$8,IF(AND('Bonding Program'!$K$40&lt;&gt;"",BW$3='Bonding Program'!$K$40),'Bonding Program'!$J$40,0)-IF(AND('Bonding Program'!$M$40&lt;&gt;"",BW$3='Bonding Program'!$M$40),'Bonding Program'!$L$40,0)-IF(AND('Bonding Program'!$P$40&lt;&gt;"",BW$3='Bonding Program'!$P$40),'Bonding Program'!$O$40,0)-IF(AND('Bonding Program'!$R$40&lt;&gt;"",BW$3='Bonding Program'!$R$40),'Bonding Program'!$Q$40,0),0)</f>
        <v>0</v>
      </c>
      <c r="BX181" s="19" t="n">
        <f aca="false">IF(AND('Bonding Program'!$S$40=1,BX$3='Bonding Program'!$H$40),'Bonding Program'!$AA$40,0)-IF(BX$3&lt;='Bonding Program'!$C$8,IF(AND('Bonding Program'!$K$40&lt;&gt;"",BX$3='Bonding Program'!$K$40),'Bonding Program'!$J$40,0)-IF(AND('Bonding Program'!$M$40&lt;&gt;"",BX$3='Bonding Program'!$M$40),'Bonding Program'!$L$40,0)-IF(AND('Bonding Program'!$P$40&lt;&gt;"",BX$3='Bonding Program'!$P$40),'Bonding Program'!$O$40,0)-IF(AND('Bonding Program'!$R$40&lt;&gt;"",BX$3='Bonding Program'!$R$40),'Bonding Program'!$Q$40,0),0)</f>
        <v>0</v>
      </c>
      <c r="BY181" s="19" t="n">
        <f aca="false">IF(AND('Bonding Program'!$S$40=1,BY$3='Bonding Program'!$H$40),'Bonding Program'!$AA$40,0)-IF(BY$3&lt;='Bonding Program'!$C$8,IF(AND('Bonding Program'!$K$40&lt;&gt;"",BY$3='Bonding Program'!$K$40),'Bonding Program'!$J$40,0)-IF(AND('Bonding Program'!$M$40&lt;&gt;"",BY$3='Bonding Program'!$M$40),'Bonding Program'!$L$40,0)-IF(AND('Bonding Program'!$P$40&lt;&gt;"",BY$3='Bonding Program'!$P$40),'Bonding Program'!$O$40,0)-IF(AND('Bonding Program'!$R$40&lt;&gt;"",BY$3='Bonding Program'!$R$40),'Bonding Program'!$Q$40,0),0)</f>
        <v>0</v>
      </c>
      <c r="BZ181" s="19" t="n">
        <f aca="false">IF(AND('Bonding Program'!$S$40=1,BZ$3='Bonding Program'!$H$40),'Bonding Program'!$AA$40,0)-IF(BZ$3&lt;='Bonding Program'!$C$8,IF(AND('Bonding Program'!$K$40&lt;&gt;"",BZ$3='Bonding Program'!$K$40),'Bonding Program'!$J$40,0)-IF(AND('Bonding Program'!$M$40&lt;&gt;"",BZ$3='Bonding Program'!$M$40),'Bonding Program'!$L$40,0)-IF(AND('Bonding Program'!$P$40&lt;&gt;"",BZ$3='Bonding Program'!$P$40),'Bonding Program'!$O$40,0)-IF(AND('Bonding Program'!$R$40&lt;&gt;"",BZ$3='Bonding Program'!$R$40),'Bonding Program'!$Q$40,0),0)</f>
        <v>0</v>
      </c>
      <c r="CA181" s="19" t="n">
        <f aca="false">IF(AND('Bonding Program'!$S$40=1,CA$3='Bonding Program'!$H$40),'Bonding Program'!$AA$40,0)-IF(CA$3&lt;='Bonding Program'!$C$8,IF(AND('Bonding Program'!$K$40&lt;&gt;"",CA$3='Bonding Program'!$K$40),'Bonding Program'!$J$40,0)-IF(AND('Bonding Program'!$M$40&lt;&gt;"",CA$3='Bonding Program'!$M$40),'Bonding Program'!$L$40,0)-IF(AND('Bonding Program'!$P$40&lt;&gt;"",CA$3='Bonding Program'!$P$40),'Bonding Program'!$O$40,0)-IF(AND('Bonding Program'!$R$40&lt;&gt;"",CA$3='Bonding Program'!$R$40),'Bonding Program'!$Q$40,0),0)</f>
        <v>0</v>
      </c>
      <c r="CB181" s="19" t="n">
        <f aca="false">IF(AND('Bonding Program'!$S$40=1,CB$3='Bonding Program'!$H$40),'Bonding Program'!$AA$40,0)-IF(CB$3&lt;='Bonding Program'!$C$8,IF(AND('Bonding Program'!$K$40&lt;&gt;"",CB$3='Bonding Program'!$K$40),'Bonding Program'!$J$40,0)-IF(AND('Bonding Program'!$M$40&lt;&gt;"",CB$3='Bonding Program'!$M$40),'Bonding Program'!$L$40,0)-IF(AND('Bonding Program'!$P$40&lt;&gt;"",CB$3='Bonding Program'!$P$40),'Bonding Program'!$O$40,0)-IF(AND('Bonding Program'!$R$40&lt;&gt;"",CB$3='Bonding Program'!$R$40),'Bonding Program'!$Q$40,0),0)</f>
        <v>0</v>
      </c>
      <c r="CC181" s="19" t="n">
        <f aca="false">IF(AND('Bonding Program'!$S$40=1,CC$3='Bonding Program'!$H$40),'Bonding Program'!$AA$40,0)-IF(CC$3&lt;='Bonding Program'!$C$8,IF(AND('Bonding Program'!$K$40&lt;&gt;"",CC$3='Bonding Program'!$K$40),'Bonding Program'!$J$40,0)-IF(AND('Bonding Program'!$M$40&lt;&gt;"",CC$3='Bonding Program'!$M$40),'Bonding Program'!$L$40,0)-IF(AND('Bonding Program'!$P$40&lt;&gt;"",CC$3='Bonding Program'!$P$40),'Bonding Program'!$O$40,0)-IF(AND('Bonding Program'!$R$40&lt;&gt;"",CC$3='Bonding Program'!$R$40),'Bonding Program'!$Q$40,0),0)</f>
        <v>0</v>
      </c>
      <c r="CD181" s="19" t="n">
        <f aca="false">IF(AND('Bonding Program'!$S$40=1,CD$3='Bonding Program'!$H$40),'Bonding Program'!$AA$40,0)-IF(CD$3&lt;='Bonding Program'!$C$8,IF(AND('Bonding Program'!$K$40&lt;&gt;"",CD$3='Bonding Program'!$K$40),'Bonding Program'!$J$40,0)-IF(AND('Bonding Program'!$M$40&lt;&gt;"",CD$3='Bonding Program'!$M$40),'Bonding Program'!$L$40,0)-IF(AND('Bonding Program'!$P$40&lt;&gt;"",CD$3='Bonding Program'!$P$40),'Bonding Program'!$O$40,0)-IF(AND('Bonding Program'!$R$40&lt;&gt;"",CD$3='Bonding Program'!$R$40),'Bonding Program'!$Q$40,0),0)</f>
        <v>0</v>
      </c>
      <c r="CE181" s="19" t="n">
        <f aca="false">IF(AND('Bonding Program'!$S$40=1,CE$3='Bonding Program'!$H$40),'Bonding Program'!$AA$40,0)-IF(CE$3&lt;='Bonding Program'!$C$8,IF(AND('Bonding Program'!$K$40&lt;&gt;"",CE$3='Bonding Program'!$K$40),'Bonding Program'!$J$40,0)-IF(AND('Bonding Program'!$M$40&lt;&gt;"",CE$3='Bonding Program'!$M$40),'Bonding Program'!$L$40,0)-IF(AND('Bonding Program'!$P$40&lt;&gt;"",CE$3='Bonding Program'!$P$40),'Bonding Program'!$O$40,0)-IF(AND('Bonding Program'!$R$40&lt;&gt;"",CE$3='Bonding Program'!$R$40),'Bonding Program'!$Q$40,0),0)</f>
        <v>0</v>
      </c>
      <c r="CF181" s="19" t="n">
        <f aca="false">IF(AND('Bonding Program'!$S$40=1,CF$3='Bonding Program'!$H$40),'Bonding Program'!$AA$40,0)-IF(CF$3&lt;='Bonding Program'!$C$8,IF(AND('Bonding Program'!$K$40&lt;&gt;"",CF$3='Bonding Program'!$K$40),'Bonding Program'!$J$40,0)-IF(AND('Bonding Program'!$M$40&lt;&gt;"",CF$3='Bonding Program'!$M$40),'Bonding Program'!$L$40,0)-IF(AND('Bonding Program'!$P$40&lt;&gt;"",CF$3='Bonding Program'!$P$40),'Bonding Program'!$O$40,0)-IF(AND('Bonding Program'!$R$40&lt;&gt;"",CF$3='Bonding Program'!$R$40),'Bonding Program'!$Q$40,0),0)</f>
        <v>0</v>
      </c>
      <c r="CG181" s="19" t="n">
        <f aca="false">IF(AND('Bonding Program'!$S$40=1,CG$3='Bonding Program'!$H$40),'Bonding Program'!$AA$40,0)-IF(CG$3&lt;='Bonding Program'!$C$8,IF(AND('Bonding Program'!$K$40&lt;&gt;"",CG$3='Bonding Program'!$K$40),'Bonding Program'!$J$40,0)-IF(AND('Bonding Program'!$M$40&lt;&gt;"",CG$3='Bonding Program'!$M$40),'Bonding Program'!$L$40,0)-IF(AND('Bonding Program'!$P$40&lt;&gt;"",CG$3='Bonding Program'!$P$40),'Bonding Program'!$O$40,0)-IF(AND('Bonding Program'!$R$40&lt;&gt;"",CG$3='Bonding Program'!$R$40),'Bonding Program'!$Q$40,0),0)</f>
        <v>0</v>
      </c>
      <c r="CH181" s="19" t="n">
        <f aca="false">IF(AND('Bonding Program'!$S$40=1,CH$3='Bonding Program'!$H$40),'Bonding Program'!$AA$40,0)-IF(CH$3&lt;='Bonding Program'!$C$8,IF(AND('Bonding Program'!$K$40&lt;&gt;"",CH$3='Bonding Program'!$K$40),'Bonding Program'!$J$40,0)-IF(AND('Bonding Program'!$M$40&lt;&gt;"",CH$3='Bonding Program'!$M$40),'Bonding Program'!$L$40,0)-IF(AND('Bonding Program'!$P$40&lt;&gt;"",CH$3='Bonding Program'!$P$40),'Bonding Program'!$O$40,0)-IF(AND('Bonding Program'!$R$40&lt;&gt;"",CH$3='Bonding Program'!$R$40),'Bonding Program'!$Q$40,0),0)</f>
        <v>0</v>
      </c>
      <c r="CI181" s="19" t="n">
        <f aca="false">IF(AND('Bonding Program'!$S$40=1,CI$3='Bonding Program'!$H$40),'Bonding Program'!$AA$40,0)-IF(CI$3&lt;='Bonding Program'!$C$8,IF(AND('Bonding Program'!$K$40&lt;&gt;"",CI$3='Bonding Program'!$K$40),'Bonding Program'!$J$40,0)-IF(AND('Bonding Program'!$M$40&lt;&gt;"",CI$3='Bonding Program'!$M$40),'Bonding Program'!$L$40,0)-IF(AND('Bonding Program'!$P$40&lt;&gt;"",CI$3='Bonding Program'!$P$40),'Bonding Program'!$O$40,0)-IF(AND('Bonding Program'!$R$40&lt;&gt;"",CI$3='Bonding Program'!$R$40),'Bonding Program'!$Q$40,0),0)</f>
        <v>0</v>
      </c>
      <c r="CJ181" s="19" t="n">
        <f aca="false">IF(AND('Bonding Program'!$S$40=1,CJ$3='Bonding Program'!$H$40),'Bonding Program'!$AA$40,0)-IF(CJ$3&lt;='Bonding Program'!$C$8,IF(AND('Bonding Program'!$K$40&lt;&gt;"",CJ$3='Bonding Program'!$K$40),'Bonding Program'!$J$40,0)-IF(AND('Bonding Program'!$M$40&lt;&gt;"",CJ$3='Bonding Program'!$M$40),'Bonding Program'!$L$40,0)-IF(AND('Bonding Program'!$P$40&lt;&gt;"",CJ$3='Bonding Program'!$P$40),'Bonding Program'!$O$40,0)-IF(AND('Bonding Program'!$R$40&lt;&gt;"",CJ$3='Bonding Program'!$R$40),'Bonding Program'!$Q$40,0),0)</f>
        <v>0</v>
      </c>
      <c r="CK181" s="19" t="n">
        <f aca="false">IF(AND('Bonding Program'!$S$40=1,CK$3='Bonding Program'!$H$40),'Bonding Program'!$AA$40,0)-IF(CK$3&lt;='Bonding Program'!$C$8,IF(AND('Bonding Program'!$K$40&lt;&gt;"",CK$3='Bonding Program'!$K$40),'Bonding Program'!$J$40,0)-IF(AND('Bonding Program'!$M$40&lt;&gt;"",CK$3='Bonding Program'!$M$40),'Bonding Program'!$L$40,0)-IF(AND('Bonding Program'!$P$40&lt;&gt;"",CK$3='Bonding Program'!$P$40),'Bonding Program'!$O$40,0)-IF(AND('Bonding Program'!$R$40&lt;&gt;"",CK$3='Bonding Program'!$R$40),'Bonding Program'!$Q$40,0),0)</f>
        <v>0</v>
      </c>
      <c r="CL181" s="19" t="n">
        <f aca="false">IF(AND('Bonding Program'!$S$40=1,CL$3='Bonding Program'!$H$40),'Bonding Program'!$AA$40,0)-IF(CL$3&lt;='Bonding Program'!$C$8,IF(AND('Bonding Program'!$K$40&lt;&gt;"",CL$3='Bonding Program'!$K$40),'Bonding Program'!$J$40,0)-IF(AND('Bonding Program'!$M$40&lt;&gt;"",CL$3='Bonding Program'!$M$40),'Bonding Program'!$L$40,0)-IF(AND('Bonding Program'!$P$40&lt;&gt;"",CL$3='Bonding Program'!$P$40),'Bonding Program'!$O$40,0)-IF(AND('Bonding Program'!$R$40&lt;&gt;"",CL$3='Bonding Program'!$R$40),'Bonding Program'!$Q$40,0),0)</f>
        <v>0</v>
      </c>
      <c r="CM181" s="19" t="n">
        <f aca="false">IF(AND('Bonding Program'!$S$40=1,CM$3='Bonding Program'!$H$40),'Bonding Program'!$AA$40,0)-IF(CM$3&lt;='Bonding Program'!$C$8,IF(AND('Bonding Program'!$K$40&lt;&gt;"",CM$3='Bonding Program'!$K$40),'Bonding Program'!$J$40,0)-IF(AND('Bonding Program'!$M$40&lt;&gt;"",CM$3='Bonding Program'!$M$40),'Bonding Program'!$L$40,0)-IF(AND('Bonding Program'!$P$40&lt;&gt;"",CM$3='Bonding Program'!$P$40),'Bonding Program'!$O$40,0)-IF(AND('Bonding Program'!$R$40&lt;&gt;"",CM$3='Bonding Program'!$R$40),'Bonding Program'!$Q$40,0),0)</f>
        <v>0</v>
      </c>
      <c r="CN181" s="19" t="n">
        <f aca="false">IF(AND('Bonding Program'!$S$40=1,CN$3='Bonding Program'!$H$40),'Bonding Program'!$AA$40,0)-IF(CN$3&lt;='Bonding Program'!$C$8,IF(AND('Bonding Program'!$K$40&lt;&gt;"",CN$3='Bonding Program'!$K$40),'Bonding Program'!$J$40,0)-IF(AND('Bonding Program'!$M$40&lt;&gt;"",CN$3='Bonding Program'!$M$40),'Bonding Program'!$L$40,0)-IF(AND('Bonding Program'!$P$40&lt;&gt;"",CN$3='Bonding Program'!$P$40),'Bonding Program'!$O$40,0)-IF(AND('Bonding Program'!$R$40&lt;&gt;"",CN$3='Bonding Program'!$R$40),'Bonding Program'!$Q$40,0),0)</f>
        <v>0</v>
      </c>
      <c r="CO181" s="19" t="n">
        <f aca="false">IF(AND('Bonding Program'!$S$40=1,CO$3='Bonding Program'!$H$40),'Bonding Program'!$AA$40,0)-IF(CO$3&lt;='Bonding Program'!$C$8,IF(AND('Bonding Program'!$K$40&lt;&gt;"",CO$3='Bonding Program'!$K$40),'Bonding Program'!$J$40,0)-IF(AND('Bonding Program'!$M$40&lt;&gt;"",CO$3='Bonding Program'!$M$40),'Bonding Program'!$L$40,0)-IF(AND('Bonding Program'!$P$40&lt;&gt;"",CO$3='Bonding Program'!$P$40),'Bonding Program'!$O$40,0)-IF(AND('Bonding Program'!$R$40&lt;&gt;"",CO$3='Bonding Program'!$R$40),'Bonding Program'!$Q$40,0),0)</f>
        <v>0</v>
      </c>
      <c r="CP181" s="19" t="n">
        <f aca="false">IF(AND('Bonding Program'!$S$40=1,CP$3='Bonding Program'!$H$40),'Bonding Program'!$AA$40,0)-IF(CP$3&lt;='Bonding Program'!$C$8,IF(AND('Bonding Program'!$K$40&lt;&gt;"",CP$3='Bonding Program'!$K$40),'Bonding Program'!$J$40,0)-IF(AND('Bonding Program'!$M$40&lt;&gt;"",CP$3='Bonding Program'!$M$40),'Bonding Program'!$L$40,0)-IF(AND('Bonding Program'!$P$40&lt;&gt;"",CP$3='Bonding Program'!$P$40),'Bonding Program'!$O$40,0)-IF(AND('Bonding Program'!$R$40&lt;&gt;"",CP$3='Bonding Program'!$R$40),'Bonding Program'!$Q$40,0),0)</f>
        <v>0</v>
      </c>
      <c r="CQ181" s="19" t="n">
        <f aca="false">IF(AND('Bonding Program'!$S$40=1,CQ$3='Bonding Program'!$H$40),'Bonding Program'!$AA$40,0)-IF(CQ$3&lt;='Bonding Program'!$C$8,IF(AND('Bonding Program'!$K$40&lt;&gt;"",CQ$3='Bonding Program'!$K$40),'Bonding Program'!$J$40,0)-IF(AND('Bonding Program'!$M$40&lt;&gt;"",CQ$3='Bonding Program'!$M$40),'Bonding Program'!$L$40,0)-IF(AND('Bonding Program'!$P$40&lt;&gt;"",CQ$3='Bonding Program'!$P$40),'Bonding Program'!$O$40,0)-IF(AND('Bonding Program'!$R$40&lt;&gt;"",CQ$3='Bonding Program'!$R$40),'Bonding Program'!$Q$40,0),0)</f>
        <v>0</v>
      </c>
      <c r="CR181" s="19" t="n">
        <f aca="false">IF(AND('Bonding Program'!$S$40=1,CR$3='Bonding Program'!$H$40),'Bonding Program'!$AA$40,0)-IF(CR$3&lt;='Bonding Program'!$C$8,IF(AND('Bonding Program'!$K$40&lt;&gt;"",CR$3='Bonding Program'!$K$40),'Bonding Program'!$J$40,0)-IF(AND('Bonding Program'!$M$40&lt;&gt;"",CR$3='Bonding Program'!$M$40),'Bonding Program'!$L$40,0)-IF(AND('Bonding Program'!$P$40&lt;&gt;"",CR$3='Bonding Program'!$P$40),'Bonding Program'!$O$40,0)-IF(AND('Bonding Program'!$R$40&lt;&gt;"",CR$3='Bonding Program'!$R$40),'Bonding Program'!$Q$40,0),0)</f>
        <v>0</v>
      </c>
      <c r="CS181" s="19" t="n">
        <f aca="false">IF(AND('Bonding Program'!$S$40=1,CS$3='Bonding Program'!$H$40),'Bonding Program'!$AA$40,0)-IF(CS$3&lt;='Bonding Program'!$C$8,IF(AND('Bonding Program'!$K$40&lt;&gt;"",CS$3='Bonding Program'!$K$40),'Bonding Program'!$J$40,0)-IF(AND('Bonding Program'!$M$40&lt;&gt;"",CS$3='Bonding Program'!$M$40),'Bonding Program'!$L$40,0)-IF(AND('Bonding Program'!$P$40&lt;&gt;"",CS$3='Bonding Program'!$P$40),'Bonding Program'!$O$40,0)-IF(AND('Bonding Program'!$R$40&lt;&gt;"",CS$3='Bonding Program'!$R$40),'Bonding Program'!$Q$40,0),0)</f>
        <v>0</v>
      </c>
      <c r="CT181" s="19" t="n">
        <f aca="false">IF(AND('Bonding Program'!$S$40=1,CT$3='Bonding Program'!$H$40),'Bonding Program'!$AA$40,0)-IF(CT$3&lt;='Bonding Program'!$C$8,IF(AND('Bonding Program'!$K$40&lt;&gt;"",CT$3='Bonding Program'!$K$40),'Bonding Program'!$J$40,0)-IF(AND('Bonding Program'!$M$40&lt;&gt;"",CT$3='Bonding Program'!$M$40),'Bonding Program'!$L$40,0)-IF(AND('Bonding Program'!$P$40&lt;&gt;"",CT$3='Bonding Program'!$P$40),'Bonding Program'!$O$40,0)-IF(AND('Bonding Program'!$R$40&lt;&gt;"",CT$3='Bonding Program'!$R$40),'Bonding Program'!$Q$40,0),0)</f>
        <v>0</v>
      </c>
      <c r="CU181" s="19" t="n">
        <f aca="false">IF(AND('Bonding Program'!$S$40=1,CU$3='Bonding Program'!$H$40),'Bonding Program'!$AA$40,0)-IF(CU$3&lt;='Bonding Program'!$C$8,IF(AND('Bonding Program'!$K$40&lt;&gt;"",CU$3='Bonding Program'!$K$40),'Bonding Program'!$J$40,0)-IF(AND('Bonding Program'!$M$40&lt;&gt;"",CU$3='Bonding Program'!$M$40),'Bonding Program'!$L$40,0)-IF(AND('Bonding Program'!$P$40&lt;&gt;"",CU$3='Bonding Program'!$P$40),'Bonding Program'!$O$40,0)-IF(AND('Bonding Program'!$R$40&lt;&gt;"",CU$3='Bonding Program'!$R$40),'Bonding Program'!$Q$40,0),0)</f>
        <v>0</v>
      </c>
      <c r="CV181" s="19" t="n">
        <f aca="false">IF(AND('Bonding Program'!$S$40=1,CV$3='Bonding Program'!$H$40),'Bonding Program'!$AA$40,0)-IF(CV$3&lt;='Bonding Program'!$C$8,IF(AND('Bonding Program'!$K$40&lt;&gt;"",CV$3='Bonding Program'!$K$40),'Bonding Program'!$J$40,0)-IF(AND('Bonding Program'!$M$40&lt;&gt;"",CV$3='Bonding Program'!$M$40),'Bonding Program'!$L$40,0)-IF(AND('Bonding Program'!$P$40&lt;&gt;"",CV$3='Bonding Program'!$P$40),'Bonding Program'!$O$40,0)-IF(AND('Bonding Program'!$R$40&lt;&gt;"",CV$3='Bonding Program'!$R$40),'Bonding Program'!$Q$40,0),0)</f>
        <v>0</v>
      </c>
      <c r="CW181" s="19" t="n">
        <f aca="false">IF(AND('Bonding Program'!$S$40=1,CW$3='Bonding Program'!$H$40),'Bonding Program'!$AA$40,0)-IF(CW$3&lt;='Bonding Program'!$C$8,IF(AND('Bonding Program'!$K$40&lt;&gt;"",CW$3='Bonding Program'!$K$40),'Bonding Program'!$J$40,0)-IF(AND('Bonding Program'!$M$40&lt;&gt;"",CW$3='Bonding Program'!$M$40),'Bonding Program'!$L$40,0)-IF(AND('Bonding Program'!$P$40&lt;&gt;"",CW$3='Bonding Program'!$P$40),'Bonding Program'!$O$40,0)-IF(AND('Bonding Program'!$R$40&lt;&gt;"",CW$3='Bonding Program'!$R$40),'Bonding Program'!$Q$40,0),0)</f>
        <v>0</v>
      </c>
      <c r="CX181" s="19" t="n">
        <f aca="false">IF(AND('Bonding Program'!$S$40=1,CX$3='Bonding Program'!$H$40),'Bonding Program'!$AA$40,0)-IF(CX$3&lt;='Bonding Program'!$C$8,IF(AND('Bonding Program'!$K$40&lt;&gt;"",CX$3='Bonding Program'!$K$40),'Bonding Program'!$J$40,0)-IF(AND('Bonding Program'!$M$40&lt;&gt;"",CX$3='Bonding Program'!$M$40),'Bonding Program'!$L$40,0)-IF(AND('Bonding Program'!$P$40&lt;&gt;"",CX$3='Bonding Program'!$P$40),'Bonding Program'!$O$40,0)-IF(AND('Bonding Program'!$R$40&lt;&gt;"",CX$3='Bonding Program'!$R$40),'Bonding Program'!$Q$40,0),0)</f>
        <v>0</v>
      </c>
      <c r="CY181" s="19" t="n">
        <f aca="false">IF(AND('Bonding Program'!$S$40=1,CY$3='Bonding Program'!$H$40),'Bonding Program'!$AA$40,0)-IF(CY$3&lt;='Bonding Program'!$C$8,IF(AND('Bonding Program'!$K$40&lt;&gt;"",CY$3='Bonding Program'!$K$40),'Bonding Program'!$J$40,0)-IF(AND('Bonding Program'!$M$40&lt;&gt;"",CY$3='Bonding Program'!$M$40),'Bonding Program'!$L$40,0)-IF(AND('Bonding Program'!$P$40&lt;&gt;"",CY$3='Bonding Program'!$P$40),'Bonding Program'!$O$40,0)-IF(AND('Bonding Program'!$R$40&lt;&gt;"",CY$3='Bonding Program'!$R$40),'Bonding Program'!$Q$40,0),0)</f>
        <v>0</v>
      </c>
      <c r="CZ181" s="19" t="n">
        <f aca="false">IF(AND('Bonding Program'!$S$40=1,CZ$3='Bonding Program'!$H$40),'Bonding Program'!$AA$40,0)-IF(CZ$3&lt;='Bonding Program'!$C$8,IF(AND('Bonding Program'!$K$40&lt;&gt;"",CZ$3='Bonding Program'!$K$40),'Bonding Program'!$J$40,0)-IF(AND('Bonding Program'!$M$40&lt;&gt;"",CZ$3='Bonding Program'!$M$40),'Bonding Program'!$L$40,0)-IF(AND('Bonding Program'!$P$40&lt;&gt;"",CZ$3='Bonding Program'!$P$40),'Bonding Program'!$O$40,0)-IF(AND('Bonding Program'!$R$40&lt;&gt;"",CZ$3='Bonding Program'!$R$40),'Bonding Program'!$Q$40,0),0)</f>
        <v>0</v>
      </c>
      <c r="DA181" s="19" t="n">
        <f aca="false">IF(AND('Bonding Program'!$S$40=1,DA$3='Bonding Program'!$H$40),'Bonding Program'!$AA$40,0)-IF(DA$3&lt;='Bonding Program'!$C$8,IF(AND('Bonding Program'!$K$40&lt;&gt;"",DA$3='Bonding Program'!$K$40),'Bonding Program'!$J$40,0)-IF(AND('Bonding Program'!$M$40&lt;&gt;"",DA$3='Bonding Program'!$M$40),'Bonding Program'!$L$40,0)-IF(AND('Bonding Program'!$P$40&lt;&gt;"",DA$3='Bonding Program'!$P$40),'Bonding Program'!$O$40,0)-IF(AND('Bonding Program'!$R$40&lt;&gt;"",DA$3='Bonding Program'!$R$40),'Bonding Program'!$Q$40,0),0)</f>
        <v>0</v>
      </c>
      <c r="DB181" s="19" t="n">
        <f aca="false">IF(AND('Bonding Program'!$S$40=1,DB$3='Bonding Program'!$H$40),'Bonding Program'!$AA$40,0)-IF(DB$3&lt;='Bonding Program'!$C$8,IF(AND('Bonding Program'!$K$40&lt;&gt;"",DB$3='Bonding Program'!$K$40),'Bonding Program'!$J$40,0)-IF(AND('Bonding Program'!$M$40&lt;&gt;"",DB$3='Bonding Program'!$M$40),'Bonding Program'!$L$40,0)-IF(AND('Bonding Program'!$P$40&lt;&gt;"",DB$3='Bonding Program'!$P$40),'Bonding Program'!$O$40,0)-IF(AND('Bonding Program'!$R$40&lt;&gt;"",DB$3='Bonding Program'!$R$40),'Bonding Program'!$Q$40,0),0)</f>
        <v>0</v>
      </c>
      <c r="DC181" s="19" t="n">
        <f aca="false">IF(AND('Bonding Program'!$S$40=1,DC$3='Bonding Program'!$H$40),'Bonding Program'!$AA$40,0)-IF(DC$3&lt;='Bonding Program'!$C$8,IF(AND('Bonding Program'!$K$40&lt;&gt;"",DC$3='Bonding Program'!$K$40),'Bonding Program'!$J$40,0)-IF(AND('Bonding Program'!$M$40&lt;&gt;"",DC$3='Bonding Program'!$M$40),'Bonding Program'!$L$40,0)-IF(AND('Bonding Program'!$P$40&lt;&gt;"",DC$3='Bonding Program'!$P$40),'Bonding Program'!$O$40,0)-IF(AND('Bonding Program'!$R$40&lt;&gt;"",DC$3='Bonding Program'!$R$40),'Bonding Program'!$Q$40,0),0)</f>
        <v>0</v>
      </c>
      <c r="DD181" s="19" t="n">
        <f aca="false">IF(AND('Bonding Program'!$S$40=1,DD$3='Bonding Program'!$H$40),'Bonding Program'!$AA$40,0)-IF(DD$3&lt;='Bonding Program'!$C$8,IF(AND('Bonding Program'!$K$40&lt;&gt;"",DD$3='Bonding Program'!$K$40),'Bonding Program'!$J$40,0)-IF(AND('Bonding Program'!$M$40&lt;&gt;"",DD$3='Bonding Program'!$M$40),'Bonding Program'!$L$40,0)-IF(AND('Bonding Program'!$P$40&lt;&gt;"",DD$3='Bonding Program'!$P$40),'Bonding Program'!$O$40,0)-IF(AND('Bonding Program'!$R$40&lt;&gt;"",DD$3='Bonding Program'!$R$40),'Bonding Program'!$Q$40,0),0)</f>
        <v>0</v>
      </c>
      <c r="DE181" s="19" t="n">
        <f aca="false">IF(AND('Bonding Program'!$S$40=1,DE$3='Bonding Program'!$H$40),'Bonding Program'!$AA$40,0)-IF(DE$3&lt;='Bonding Program'!$C$8,IF(AND('Bonding Program'!$K$40&lt;&gt;"",DE$3='Bonding Program'!$K$40),'Bonding Program'!$J$40,0)-IF(AND('Bonding Program'!$M$40&lt;&gt;"",DE$3='Bonding Program'!$M$40),'Bonding Program'!$L$40,0)-IF(AND('Bonding Program'!$P$40&lt;&gt;"",DE$3='Bonding Program'!$P$40),'Bonding Program'!$O$40,0)-IF(AND('Bonding Program'!$R$40&lt;&gt;"",DE$3='Bonding Program'!$R$40),'Bonding Program'!$Q$40,0),0)</f>
        <v>0</v>
      </c>
    </row>
    <row r="182" customFormat="false" ht="15" hidden="false" customHeight="true" outlineLevel="1" collapsed="false">
      <c r="A182" s="28" t="s">
        <v>37</v>
      </c>
      <c r="B182" s="19" t="n">
        <f aca="false">IF(AND('Bonding Program'!$S$41=1,B$3='Bonding Program'!$H$41),'Bonding Program'!$AA$41,0)-IF(B$3&lt;='Bonding Program'!$C$8,IF(AND('Bonding Program'!$K$41&lt;&gt;"",B$3='Bonding Program'!$K$41),'Bonding Program'!$J$41,0)-IF(AND('Bonding Program'!$M$41&lt;&gt;"",B$3='Bonding Program'!$M$41),'Bonding Program'!$L$41,0)-IF(AND('Bonding Program'!$P$41&lt;&gt;"",B$3='Bonding Program'!$P$41),'Bonding Program'!$O$41,0)-IF(AND('Bonding Program'!$R$41&lt;&gt;"",B$3='Bonding Program'!$R$41),'Bonding Program'!$Q$41,0),0)</f>
        <v>0</v>
      </c>
      <c r="C182" s="19" t="n">
        <f aca="false">IF(AND('Bonding Program'!$S$41=1,C$3='Bonding Program'!$H$41),'Bonding Program'!$AA$41,0)-IF(C$3&lt;='Bonding Program'!$C$8,IF(AND('Bonding Program'!$K$41&lt;&gt;"",C$3='Bonding Program'!$K$41),'Bonding Program'!$J$41,0)-IF(AND('Bonding Program'!$M$41&lt;&gt;"",C$3='Bonding Program'!$M$41),'Bonding Program'!$L$41,0)-IF(AND('Bonding Program'!$P$41&lt;&gt;"",C$3='Bonding Program'!$P$41),'Bonding Program'!$O$41,0)-IF(AND('Bonding Program'!$R$41&lt;&gt;"",C$3='Bonding Program'!$R$41),'Bonding Program'!$Q$41,0),0)</f>
        <v>0</v>
      </c>
      <c r="D182" s="19" t="n">
        <f aca="false">IF(AND('Bonding Program'!$S$41=1,D$3='Bonding Program'!$H$41),'Bonding Program'!$AA$41,0)-IF(D$3&lt;='Bonding Program'!$C$8,IF(AND('Bonding Program'!$K$41&lt;&gt;"",D$3='Bonding Program'!$K$41),'Bonding Program'!$J$41,0)-IF(AND('Bonding Program'!$M$41&lt;&gt;"",D$3='Bonding Program'!$M$41),'Bonding Program'!$L$41,0)-IF(AND('Bonding Program'!$P$41&lt;&gt;"",D$3='Bonding Program'!$P$41),'Bonding Program'!$O$41,0)-IF(AND('Bonding Program'!$R$41&lt;&gt;"",D$3='Bonding Program'!$R$41),'Bonding Program'!$Q$41,0),0)</f>
        <v>0</v>
      </c>
      <c r="E182" s="19" t="n">
        <f aca="false">IF(AND('Bonding Program'!$S$41=1,E$3='Bonding Program'!$H$41),'Bonding Program'!$AA$41,0)-IF(E$3&lt;='Bonding Program'!$C$8,IF(AND('Bonding Program'!$K$41&lt;&gt;"",E$3='Bonding Program'!$K$41),'Bonding Program'!$J$41,0)-IF(AND('Bonding Program'!$M$41&lt;&gt;"",E$3='Bonding Program'!$M$41),'Bonding Program'!$L$41,0)-IF(AND('Bonding Program'!$P$41&lt;&gt;"",E$3='Bonding Program'!$P$41),'Bonding Program'!$O$41,0)-IF(AND('Bonding Program'!$R$41&lt;&gt;"",E$3='Bonding Program'!$R$41),'Bonding Program'!$Q$41,0),0)</f>
        <v>0</v>
      </c>
      <c r="F182" s="19" t="n">
        <f aca="false">IF(AND('Bonding Program'!$S$41=1,F$3='Bonding Program'!$H$41),'Bonding Program'!$AA$41,0)-IF(F$3&lt;='Bonding Program'!$C$8,IF(AND('Bonding Program'!$K$41&lt;&gt;"",F$3='Bonding Program'!$K$41),'Bonding Program'!$J$41,0)-IF(AND('Bonding Program'!$M$41&lt;&gt;"",F$3='Bonding Program'!$M$41),'Bonding Program'!$L$41,0)-IF(AND('Bonding Program'!$P$41&lt;&gt;"",F$3='Bonding Program'!$P$41),'Bonding Program'!$O$41,0)-IF(AND('Bonding Program'!$R$41&lt;&gt;"",F$3='Bonding Program'!$R$41),'Bonding Program'!$Q$41,0),0)</f>
        <v>0</v>
      </c>
      <c r="G182" s="19" t="n">
        <f aca="false">IF(AND('Bonding Program'!$S$41=1,G$3='Bonding Program'!$H$41),'Bonding Program'!$AA$41,0)-IF(G$3&lt;='Bonding Program'!$C$8,IF(AND('Bonding Program'!$K$41&lt;&gt;"",G$3='Bonding Program'!$K$41),'Bonding Program'!$J$41,0)-IF(AND('Bonding Program'!$M$41&lt;&gt;"",G$3='Bonding Program'!$M$41),'Bonding Program'!$L$41,0)-IF(AND('Bonding Program'!$P$41&lt;&gt;"",G$3='Bonding Program'!$P$41),'Bonding Program'!$O$41,0)-IF(AND('Bonding Program'!$R$41&lt;&gt;"",G$3='Bonding Program'!$R$41),'Bonding Program'!$Q$41,0),0)</f>
        <v>0</v>
      </c>
      <c r="H182" s="19" t="n">
        <f aca="false">IF(AND('Bonding Program'!$S$41=1,H$3='Bonding Program'!$H$41),'Bonding Program'!$AA$41,0)-IF(H$3&lt;='Bonding Program'!$C$8,IF(AND('Bonding Program'!$K$41&lt;&gt;"",H$3='Bonding Program'!$K$41),'Bonding Program'!$J$41,0)-IF(AND('Bonding Program'!$M$41&lt;&gt;"",H$3='Bonding Program'!$M$41),'Bonding Program'!$L$41,0)-IF(AND('Bonding Program'!$P$41&lt;&gt;"",H$3='Bonding Program'!$P$41),'Bonding Program'!$O$41,0)-IF(AND('Bonding Program'!$R$41&lt;&gt;"",H$3='Bonding Program'!$R$41),'Bonding Program'!$Q$41,0),0)</f>
        <v>0</v>
      </c>
      <c r="I182" s="19" t="n">
        <f aca="false">IF(AND('Bonding Program'!$S$41=1,I$3='Bonding Program'!$H$41),'Bonding Program'!$AA$41,0)-IF(I$3&lt;='Bonding Program'!$C$8,IF(AND('Bonding Program'!$K$41&lt;&gt;"",I$3='Bonding Program'!$K$41),'Bonding Program'!$J$41,0)-IF(AND('Bonding Program'!$M$41&lt;&gt;"",I$3='Bonding Program'!$M$41),'Bonding Program'!$L$41,0)-IF(AND('Bonding Program'!$P$41&lt;&gt;"",I$3='Bonding Program'!$P$41),'Bonding Program'!$O$41,0)-IF(AND('Bonding Program'!$R$41&lt;&gt;"",I$3='Bonding Program'!$R$41),'Bonding Program'!$Q$41,0),0)</f>
        <v>0</v>
      </c>
      <c r="J182" s="19" t="n">
        <f aca="false">IF(AND('Bonding Program'!$S$41=1,J$3='Bonding Program'!$H$41),'Bonding Program'!$AA$41,0)-IF(J$3&lt;='Bonding Program'!$C$8,IF(AND('Bonding Program'!$K$41&lt;&gt;"",J$3='Bonding Program'!$K$41),'Bonding Program'!$J$41,0)-IF(AND('Bonding Program'!$M$41&lt;&gt;"",J$3='Bonding Program'!$M$41),'Bonding Program'!$L$41,0)-IF(AND('Bonding Program'!$P$41&lt;&gt;"",J$3='Bonding Program'!$P$41),'Bonding Program'!$O$41,0)-IF(AND('Bonding Program'!$R$41&lt;&gt;"",J$3='Bonding Program'!$R$41),'Bonding Program'!$Q$41,0),0)</f>
        <v>0</v>
      </c>
      <c r="K182" s="19" t="n">
        <f aca="false">IF(AND('Bonding Program'!$S$41=1,K$3='Bonding Program'!$H$41),'Bonding Program'!$AA$41,0)-IF(K$3&lt;='Bonding Program'!$C$8,IF(AND('Bonding Program'!$K$41&lt;&gt;"",K$3='Bonding Program'!$K$41),'Bonding Program'!$J$41,0)-IF(AND('Bonding Program'!$M$41&lt;&gt;"",K$3='Bonding Program'!$M$41),'Bonding Program'!$L$41,0)-IF(AND('Bonding Program'!$P$41&lt;&gt;"",K$3='Bonding Program'!$P$41),'Bonding Program'!$O$41,0)-IF(AND('Bonding Program'!$R$41&lt;&gt;"",K$3='Bonding Program'!$R$41),'Bonding Program'!$Q$41,0),0)</f>
        <v>0</v>
      </c>
      <c r="L182" s="19" t="n">
        <f aca="false">IF(AND('Bonding Program'!$S$41=1,L$3='Bonding Program'!$H$41),'Bonding Program'!$AA$41,0)-IF(L$3&lt;='Bonding Program'!$C$8,IF(AND('Bonding Program'!$K$41&lt;&gt;"",L$3='Bonding Program'!$K$41),'Bonding Program'!$J$41,0)-IF(AND('Bonding Program'!$M$41&lt;&gt;"",L$3='Bonding Program'!$M$41),'Bonding Program'!$L$41,0)-IF(AND('Bonding Program'!$P$41&lt;&gt;"",L$3='Bonding Program'!$P$41),'Bonding Program'!$O$41,0)-IF(AND('Bonding Program'!$R$41&lt;&gt;"",L$3='Bonding Program'!$R$41),'Bonding Program'!$Q$41,0),0)</f>
        <v>0</v>
      </c>
      <c r="M182" s="19" t="n">
        <f aca="false">IF(AND('Bonding Program'!$S$41=1,M$3='Bonding Program'!$H$41),'Bonding Program'!$AA$41,0)-IF(M$3&lt;='Bonding Program'!$C$8,IF(AND('Bonding Program'!$K$41&lt;&gt;"",M$3='Bonding Program'!$K$41),'Bonding Program'!$J$41,0)-IF(AND('Bonding Program'!$M$41&lt;&gt;"",M$3='Bonding Program'!$M$41),'Bonding Program'!$L$41,0)-IF(AND('Bonding Program'!$P$41&lt;&gt;"",M$3='Bonding Program'!$P$41),'Bonding Program'!$O$41,0)-IF(AND('Bonding Program'!$R$41&lt;&gt;"",M$3='Bonding Program'!$R$41),'Bonding Program'!$Q$41,0),0)</f>
        <v>0</v>
      </c>
      <c r="N182" s="19" t="n">
        <f aca="false">IF(AND('Bonding Program'!$S$41=1,N$3='Bonding Program'!$H$41),'Bonding Program'!$AA$41,0)-IF(N$3&lt;='Bonding Program'!$C$8,IF(AND('Bonding Program'!$K$41&lt;&gt;"",N$3='Bonding Program'!$K$41),'Bonding Program'!$J$41,0)-IF(AND('Bonding Program'!$M$41&lt;&gt;"",N$3='Bonding Program'!$M$41),'Bonding Program'!$L$41,0)-IF(AND('Bonding Program'!$P$41&lt;&gt;"",N$3='Bonding Program'!$P$41),'Bonding Program'!$O$41,0)-IF(AND('Bonding Program'!$R$41&lt;&gt;"",N$3='Bonding Program'!$R$41),'Bonding Program'!$Q$41,0),0)</f>
        <v>0</v>
      </c>
      <c r="O182" s="19" t="n">
        <f aca="false">IF(AND('Bonding Program'!$S$41=1,O$3='Bonding Program'!$H$41),'Bonding Program'!$AA$41,0)-IF(O$3&lt;='Bonding Program'!$C$8,IF(AND('Bonding Program'!$K$41&lt;&gt;"",O$3='Bonding Program'!$K$41),'Bonding Program'!$J$41,0)-IF(AND('Bonding Program'!$M$41&lt;&gt;"",O$3='Bonding Program'!$M$41),'Bonding Program'!$L$41,0)-IF(AND('Bonding Program'!$P$41&lt;&gt;"",O$3='Bonding Program'!$P$41),'Bonding Program'!$O$41,0)-IF(AND('Bonding Program'!$R$41&lt;&gt;"",O$3='Bonding Program'!$R$41),'Bonding Program'!$Q$41,0),0)</f>
        <v>0</v>
      </c>
      <c r="P182" s="19" t="n">
        <f aca="false">IF(AND('Bonding Program'!$S$41=1,P$3='Bonding Program'!$H$41),'Bonding Program'!$AA$41,0)-IF(P$3&lt;='Bonding Program'!$C$8,IF(AND('Bonding Program'!$K$41&lt;&gt;"",P$3='Bonding Program'!$K$41),'Bonding Program'!$J$41,0)-IF(AND('Bonding Program'!$M$41&lt;&gt;"",P$3='Bonding Program'!$M$41),'Bonding Program'!$L$41,0)-IF(AND('Bonding Program'!$P$41&lt;&gt;"",P$3='Bonding Program'!$P$41),'Bonding Program'!$O$41,0)-IF(AND('Bonding Program'!$R$41&lt;&gt;"",P$3='Bonding Program'!$R$41),'Bonding Program'!$Q$41,0),0)</f>
        <v>0</v>
      </c>
      <c r="Q182" s="19" t="n">
        <f aca="false">IF(AND('Bonding Program'!$S$41=1,Q$3='Bonding Program'!$H$41),'Bonding Program'!$AA$41,0)-IF(Q$3&lt;='Bonding Program'!$C$8,IF(AND('Bonding Program'!$K$41&lt;&gt;"",Q$3='Bonding Program'!$K$41),'Bonding Program'!$J$41,0)-IF(AND('Bonding Program'!$M$41&lt;&gt;"",Q$3='Bonding Program'!$M$41),'Bonding Program'!$L$41,0)-IF(AND('Bonding Program'!$P$41&lt;&gt;"",Q$3='Bonding Program'!$P$41),'Bonding Program'!$O$41,0)-IF(AND('Bonding Program'!$R$41&lt;&gt;"",Q$3='Bonding Program'!$R$41),'Bonding Program'!$Q$41,0),0)</f>
        <v>0</v>
      </c>
      <c r="R182" s="19" t="n">
        <f aca="false">IF(AND('Bonding Program'!$S$41=1,R$3='Bonding Program'!$H$41),'Bonding Program'!$AA$41,0)-IF(R$3&lt;='Bonding Program'!$C$8,IF(AND('Bonding Program'!$K$41&lt;&gt;"",R$3='Bonding Program'!$K$41),'Bonding Program'!$J$41,0)-IF(AND('Bonding Program'!$M$41&lt;&gt;"",R$3='Bonding Program'!$M$41),'Bonding Program'!$L$41,0)-IF(AND('Bonding Program'!$P$41&lt;&gt;"",R$3='Bonding Program'!$P$41),'Bonding Program'!$O$41,0)-IF(AND('Bonding Program'!$R$41&lt;&gt;"",R$3='Bonding Program'!$R$41),'Bonding Program'!$Q$41,0),0)</f>
        <v>0</v>
      </c>
      <c r="S182" s="19" t="n">
        <f aca="false">IF(AND('Bonding Program'!$S$41=1,S$3='Bonding Program'!$H$41),'Bonding Program'!$AA$41,0)-IF(S$3&lt;='Bonding Program'!$C$8,IF(AND('Bonding Program'!$K$41&lt;&gt;"",S$3='Bonding Program'!$K$41),'Bonding Program'!$J$41,0)-IF(AND('Bonding Program'!$M$41&lt;&gt;"",S$3='Bonding Program'!$M$41),'Bonding Program'!$L$41,0)-IF(AND('Bonding Program'!$P$41&lt;&gt;"",S$3='Bonding Program'!$P$41),'Bonding Program'!$O$41,0)-IF(AND('Bonding Program'!$R$41&lt;&gt;"",S$3='Bonding Program'!$R$41),'Bonding Program'!$Q$41,0),0)</f>
        <v>0</v>
      </c>
      <c r="T182" s="19" t="n">
        <f aca="false">IF(AND('Bonding Program'!$S$41=1,T$3='Bonding Program'!$H$41),'Bonding Program'!$AA$41,0)-IF(T$3&lt;='Bonding Program'!$C$8,IF(AND('Bonding Program'!$K$41&lt;&gt;"",T$3='Bonding Program'!$K$41),'Bonding Program'!$J$41,0)-IF(AND('Bonding Program'!$M$41&lt;&gt;"",T$3='Bonding Program'!$M$41),'Bonding Program'!$L$41,0)-IF(AND('Bonding Program'!$P$41&lt;&gt;"",T$3='Bonding Program'!$P$41),'Bonding Program'!$O$41,0)-IF(AND('Bonding Program'!$R$41&lt;&gt;"",T$3='Bonding Program'!$R$41),'Bonding Program'!$Q$41,0),0)</f>
        <v>0</v>
      </c>
      <c r="U182" s="19" t="n">
        <f aca="false">IF(AND('Bonding Program'!$S$41=1,U$3='Bonding Program'!$H$41),'Bonding Program'!$AA$41,0)-IF(U$3&lt;='Bonding Program'!$C$8,IF(AND('Bonding Program'!$K$41&lt;&gt;"",U$3='Bonding Program'!$K$41),'Bonding Program'!$J$41,0)-IF(AND('Bonding Program'!$M$41&lt;&gt;"",U$3='Bonding Program'!$M$41),'Bonding Program'!$L$41,0)-IF(AND('Bonding Program'!$P$41&lt;&gt;"",U$3='Bonding Program'!$P$41),'Bonding Program'!$O$41,0)-IF(AND('Bonding Program'!$R$41&lt;&gt;"",U$3='Bonding Program'!$R$41),'Bonding Program'!$Q$41,0),0)</f>
        <v>0</v>
      </c>
      <c r="V182" s="19" t="n">
        <f aca="false">IF(AND('Bonding Program'!$S$41=1,V$3='Bonding Program'!$H$41),'Bonding Program'!$AA$41,0)-IF(V$3&lt;='Bonding Program'!$C$8,IF(AND('Bonding Program'!$K$41&lt;&gt;"",V$3='Bonding Program'!$K$41),'Bonding Program'!$J$41,0)-IF(AND('Bonding Program'!$M$41&lt;&gt;"",V$3='Bonding Program'!$M$41),'Bonding Program'!$L$41,0)-IF(AND('Bonding Program'!$P$41&lt;&gt;"",V$3='Bonding Program'!$P$41),'Bonding Program'!$O$41,0)-IF(AND('Bonding Program'!$R$41&lt;&gt;"",V$3='Bonding Program'!$R$41),'Bonding Program'!$Q$41,0),0)</f>
        <v>0</v>
      </c>
      <c r="W182" s="19" t="n">
        <f aca="false">IF(AND('Bonding Program'!$S$41=1,W$3='Bonding Program'!$H$41),'Bonding Program'!$AA$41,0)-IF(W$3&lt;='Bonding Program'!$C$8,IF(AND('Bonding Program'!$K$41&lt;&gt;"",W$3='Bonding Program'!$K$41),'Bonding Program'!$J$41,0)-IF(AND('Bonding Program'!$M$41&lt;&gt;"",W$3='Bonding Program'!$M$41),'Bonding Program'!$L$41,0)-IF(AND('Bonding Program'!$P$41&lt;&gt;"",W$3='Bonding Program'!$P$41),'Bonding Program'!$O$41,0)-IF(AND('Bonding Program'!$R$41&lt;&gt;"",W$3='Bonding Program'!$R$41),'Bonding Program'!$Q$41,0),0)</f>
        <v>0</v>
      </c>
      <c r="X182" s="19" t="n">
        <f aca="false">IF(AND('Bonding Program'!$S$41=1,X$3='Bonding Program'!$H$41),'Bonding Program'!$AA$41,0)-IF(X$3&lt;='Bonding Program'!$C$8,IF(AND('Bonding Program'!$K$41&lt;&gt;"",X$3='Bonding Program'!$K$41),'Bonding Program'!$J$41,0)-IF(AND('Bonding Program'!$M$41&lt;&gt;"",X$3='Bonding Program'!$M$41),'Bonding Program'!$L$41,0)-IF(AND('Bonding Program'!$P$41&lt;&gt;"",X$3='Bonding Program'!$P$41),'Bonding Program'!$O$41,0)-IF(AND('Bonding Program'!$R$41&lt;&gt;"",X$3='Bonding Program'!$R$41),'Bonding Program'!$Q$41,0),0)</f>
        <v>0</v>
      </c>
      <c r="Y182" s="19" t="n">
        <f aca="false">IF(AND('Bonding Program'!$S$41=1,Y$3='Bonding Program'!$H$41),'Bonding Program'!$AA$41,0)-IF(Y$3&lt;='Bonding Program'!$C$8,IF(AND('Bonding Program'!$K$41&lt;&gt;"",Y$3='Bonding Program'!$K$41),'Bonding Program'!$J$41,0)-IF(AND('Bonding Program'!$M$41&lt;&gt;"",Y$3='Bonding Program'!$M$41),'Bonding Program'!$L$41,0)-IF(AND('Bonding Program'!$P$41&lt;&gt;"",Y$3='Bonding Program'!$P$41),'Bonding Program'!$O$41,0)-IF(AND('Bonding Program'!$R$41&lt;&gt;"",Y$3='Bonding Program'!$R$41),'Bonding Program'!$Q$41,0),0)</f>
        <v>0</v>
      </c>
      <c r="Z182" s="19" t="n">
        <f aca="false">IF(AND('Bonding Program'!$S$41=1,Z$3='Bonding Program'!$H$41),'Bonding Program'!$AA$41,0)-IF(Z$3&lt;='Bonding Program'!$C$8,IF(AND('Bonding Program'!$K$41&lt;&gt;"",Z$3='Bonding Program'!$K$41),'Bonding Program'!$J$41,0)-IF(AND('Bonding Program'!$M$41&lt;&gt;"",Z$3='Bonding Program'!$M$41),'Bonding Program'!$L$41,0)-IF(AND('Bonding Program'!$P$41&lt;&gt;"",Z$3='Bonding Program'!$P$41),'Bonding Program'!$O$41,0)-IF(AND('Bonding Program'!$R$41&lt;&gt;"",Z$3='Bonding Program'!$R$41),'Bonding Program'!$Q$41,0),0)</f>
        <v>0</v>
      </c>
      <c r="AA182" s="19" t="n">
        <f aca="false">IF(AND('Bonding Program'!$S$41=1,AA$3='Bonding Program'!$H$41),'Bonding Program'!$AA$41,0)-IF(AA$3&lt;='Bonding Program'!$C$8,IF(AND('Bonding Program'!$K$41&lt;&gt;"",AA$3='Bonding Program'!$K$41),'Bonding Program'!$J$41,0)-IF(AND('Bonding Program'!$M$41&lt;&gt;"",AA$3='Bonding Program'!$M$41),'Bonding Program'!$L$41,0)-IF(AND('Bonding Program'!$P$41&lt;&gt;"",AA$3='Bonding Program'!$P$41),'Bonding Program'!$O$41,0)-IF(AND('Bonding Program'!$R$41&lt;&gt;"",AA$3='Bonding Program'!$R$41),'Bonding Program'!$Q$41,0),0)</f>
        <v>0</v>
      </c>
      <c r="AB182" s="19" t="n">
        <f aca="false">IF(AND('Bonding Program'!$S$41=1,AB$3='Bonding Program'!$H$41),'Bonding Program'!$AA$41,0)-IF(AB$3&lt;='Bonding Program'!$C$8,IF(AND('Bonding Program'!$K$41&lt;&gt;"",AB$3='Bonding Program'!$K$41),'Bonding Program'!$J$41,0)-IF(AND('Bonding Program'!$M$41&lt;&gt;"",AB$3='Bonding Program'!$M$41),'Bonding Program'!$L$41,0)-IF(AND('Bonding Program'!$P$41&lt;&gt;"",AB$3='Bonding Program'!$P$41),'Bonding Program'!$O$41,0)-IF(AND('Bonding Program'!$R$41&lt;&gt;"",AB$3='Bonding Program'!$R$41),'Bonding Program'!$Q$41,0),0)</f>
        <v>0</v>
      </c>
      <c r="AC182" s="19" t="n">
        <f aca="false">IF(AND('Bonding Program'!$S$41=1,AC$3='Bonding Program'!$H$41),'Bonding Program'!$AA$41,0)-IF(AC$3&lt;='Bonding Program'!$C$8,IF(AND('Bonding Program'!$K$41&lt;&gt;"",AC$3='Bonding Program'!$K$41),'Bonding Program'!$J$41,0)-IF(AND('Bonding Program'!$M$41&lt;&gt;"",AC$3='Bonding Program'!$M$41),'Bonding Program'!$L$41,0)-IF(AND('Bonding Program'!$P$41&lt;&gt;"",AC$3='Bonding Program'!$P$41),'Bonding Program'!$O$41,0)-IF(AND('Bonding Program'!$R$41&lt;&gt;"",AC$3='Bonding Program'!$R$41),'Bonding Program'!$Q$41,0),0)</f>
        <v>0</v>
      </c>
      <c r="AD182" s="19" t="n">
        <f aca="false">IF(AND('Bonding Program'!$S$41=1,AD$3='Bonding Program'!$H$41),'Bonding Program'!$AA$41,0)-IF(AD$3&lt;='Bonding Program'!$C$8,IF(AND('Bonding Program'!$K$41&lt;&gt;"",AD$3='Bonding Program'!$K$41),'Bonding Program'!$J$41,0)-IF(AND('Bonding Program'!$M$41&lt;&gt;"",AD$3='Bonding Program'!$M$41),'Bonding Program'!$L$41,0)-IF(AND('Bonding Program'!$P$41&lt;&gt;"",AD$3='Bonding Program'!$P$41),'Bonding Program'!$O$41,0)-IF(AND('Bonding Program'!$R$41&lt;&gt;"",AD$3='Bonding Program'!$R$41),'Bonding Program'!$Q$41,0),0)</f>
        <v>0</v>
      </c>
      <c r="AE182" s="19" t="n">
        <f aca="false">IF(AND('Bonding Program'!$S$41=1,AE$3='Bonding Program'!$H$41),'Bonding Program'!$AA$41,0)-IF(AE$3&lt;='Bonding Program'!$C$8,IF(AND('Bonding Program'!$K$41&lt;&gt;"",AE$3='Bonding Program'!$K$41),'Bonding Program'!$J$41,0)-IF(AND('Bonding Program'!$M$41&lt;&gt;"",AE$3='Bonding Program'!$M$41),'Bonding Program'!$L$41,0)-IF(AND('Bonding Program'!$P$41&lt;&gt;"",AE$3='Bonding Program'!$P$41),'Bonding Program'!$O$41,0)-IF(AND('Bonding Program'!$R$41&lt;&gt;"",AE$3='Bonding Program'!$R$41),'Bonding Program'!$Q$41,0),0)</f>
        <v>0</v>
      </c>
      <c r="AF182" s="19" t="n">
        <f aca="false">IF(AND('Bonding Program'!$S$41=1,AF$3='Bonding Program'!$H$41),'Bonding Program'!$AA$41,0)-IF(AF$3&lt;='Bonding Program'!$C$8,IF(AND('Bonding Program'!$K$41&lt;&gt;"",AF$3='Bonding Program'!$K$41),'Bonding Program'!$J$41,0)-IF(AND('Bonding Program'!$M$41&lt;&gt;"",AF$3='Bonding Program'!$M$41),'Bonding Program'!$L$41,0)-IF(AND('Bonding Program'!$P$41&lt;&gt;"",AF$3='Bonding Program'!$P$41),'Bonding Program'!$O$41,0)-IF(AND('Bonding Program'!$R$41&lt;&gt;"",AF$3='Bonding Program'!$R$41),'Bonding Program'!$Q$41,0),0)</f>
        <v>0</v>
      </c>
      <c r="AG182" s="19" t="n">
        <f aca="false">IF(AND('Bonding Program'!$S$41=1,AG$3='Bonding Program'!$H$41),'Bonding Program'!$AA$41,0)-IF(AG$3&lt;='Bonding Program'!$C$8,IF(AND('Bonding Program'!$K$41&lt;&gt;"",AG$3='Bonding Program'!$K$41),'Bonding Program'!$J$41,0)-IF(AND('Bonding Program'!$M$41&lt;&gt;"",AG$3='Bonding Program'!$M$41),'Bonding Program'!$L$41,0)-IF(AND('Bonding Program'!$P$41&lt;&gt;"",AG$3='Bonding Program'!$P$41),'Bonding Program'!$O$41,0)-IF(AND('Bonding Program'!$R$41&lt;&gt;"",AG$3='Bonding Program'!$R$41),'Bonding Program'!$Q$41,0),0)</f>
        <v>0</v>
      </c>
      <c r="AH182" s="19" t="n">
        <f aca="false">IF(AND('Bonding Program'!$S$41=1,AH$3='Bonding Program'!$H$41),'Bonding Program'!$AA$41,0)-IF(AH$3&lt;='Bonding Program'!$C$8,IF(AND('Bonding Program'!$K$41&lt;&gt;"",AH$3='Bonding Program'!$K$41),'Bonding Program'!$J$41,0)-IF(AND('Bonding Program'!$M$41&lt;&gt;"",AH$3='Bonding Program'!$M$41),'Bonding Program'!$L$41,0)-IF(AND('Bonding Program'!$P$41&lt;&gt;"",AH$3='Bonding Program'!$P$41),'Bonding Program'!$O$41,0)-IF(AND('Bonding Program'!$R$41&lt;&gt;"",AH$3='Bonding Program'!$R$41),'Bonding Program'!$Q$41,0),0)</f>
        <v>0</v>
      </c>
      <c r="AI182" s="19" t="n">
        <f aca="false">IF(AND('Bonding Program'!$S$41=1,AI$3='Bonding Program'!$H$41),'Bonding Program'!$AA$41,0)-IF(AI$3&lt;='Bonding Program'!$C$8,IF(AND('Bonding Program'!$K$41&lt;&gt;"",AI$3='Bonding Program'!$K$41),'Bonding Program'!$J$41,0)-IF(AND('Bonding Program'!$M$41&lt;&gt;"",AI$3='Bonding Program'!$M$41),'Bonding Program'!$L$41,0)-IF(AND('Bonding Program'!$P$41&lt;&gt;"",AI$3='Bonding Program'!$P$41),'Bonding Program'!$O$41,0)-IF(AND('Bonding Program'!$R$41&lt;&gt;"",AI$3='Bonding Program'!$R$41),'Bonding Program'!$Q$41,0),0)</f>
        <v>0</v>
      </c>
      <c r="AJ182" s="19" t="n">
        <f aca="false">IF(AND('Bonding Program'!$S$41=1,AJ$3='Bonding Program'!$H$41),'Bonding Program'!$AA$41,0)-IF(AJ$3&lt;='Bonding Program'!$C$8,IF(AND('Bonding Program'!$K$41&lt;&gt;"",AJ$3='Bonding Program'!$K$41),'Bonding Program'!$J$41,0)-IF(AND('Bonding Program'!$M$41&lt;&gt;"",AJ$3='Bonding Program'!$M$41),'Bonding Program'!$L$41,0)-IF(AND('Bonding Program'!$P$41&lt;&gt;"",AJ$3='Bonding Program'!$P$41),'Bonding Program'!$O$41,0)-IF(AND('Bonding Program'!$R$41&lt;&gt;"",AJ$3='Bonding Program'!$R$41),'Bonding Program'!$Q$41,0),0)</f>
        <v>0</v>
      </c>
      <c r="AK182" s="19" t="n">
        <f aca="false">IF(AND('Bonding Program'!$S$41=1,AK$3='Bonding Program'!$H$41),'Bonding Program'!$AA$41,0)-IF(AK$3&lt;='Bonding Program'!$C$8,IF(AND('Bonding Program'!$K$41&lt;&gt;"",AK$3='Bonding Program'!$K$41),'Bonding Program'!$J$41,0)-IF(AND('Bonding Program'!$M$41&lt;&gt;"",AK$3='Bonding Program'!$M$41),'Bonding Program'!$L$41,0)-IF(AND('Bonding Program'!$P$41&lt;&gt;"",AK$3='Bonding Program'!$P$41),'Bonding Program'!$O$41,0)-IF(AND('Bonding Program'!$R$41&lt;&gt;"",AK$3='Bonding Program'!$R$41),'Bonding Program'!$Q$41,0),0)</f>
        <v>0</v>
      </c>
      <c r="AL182" s="19" t="n">
        <f aca="false">IF(AND('Bonding Program'!$S$41=1,AL$3='Bonding Program'!$H$41),'Bonding Program'!$AA$41,0)-IF(AL$3&lt;='Bonding Program'!$C$8,IF(AND('Bonding Program'!$K$41&lt;&gt;"",AL$3='Bonding Program'!$K$41),'Bonding Program'!$J$41,0)-IF(AND('Bonding Program'!$M$41&lt;&gt;"",AL$3='Bonding Program'!$M$41),'Bonding Program'!$L$41,0)-IF(AND('Bonding Program'!$P$41&lt;&gt;"",AL$3='Bonding Program'!$P$41),'Bonding Program'!$O$41,0)-IF(AND('Bonding Program'!$R$41&lt;&gt;"",AL$3='Bonding Program'!$R$41),'Bonding Program'!$Q$41,0),0)</f>
        <v>0</v>
      </c>
      <c r="AM182" s="19" t="n">
        <f aca="false">IF(AND('Bonding Program'!$S$41=1,AM$3='Bonding Program'!$H$41),'Bonding Program'!$AA$41,0)-IF(AM$3&lt;='Bonding Program'!$C$8,IF(AND('Bonding Program'!$K$41&lt;&gt;"",AM$3='Bonding Program'!$K$41),'Bonding Program'!$J$41,0)-IF(AND('Bonding Program'!$M$41&lt;&gt;"",AM$3='Bonding Program'!$M$41),'Bonding Program'!$L$41,0)-IF(AND('Bonding Program'!$P$41&lt;&gt;"",AM$3='Bonding Program'!$P$41),'Bonding Program'!$O$41,0)-IF(AND('Bonding Program'!$R$41&lt;&gt;"",AM$3='Bonding Program'!$R$41),'Bonding Program'!$Q$41,0),0)</f>
        <v>0</v>
      </c>
      <c r="AN182" s="19" t="n">
        <f aca="false">IF(AND('Bonding Program'!$S$41=1,AN$3='Bonding Program'!$H$41),'Bonding Program'!$AA$41,0)-IF(AN$3&lt;='Bonding Program'!$C$8,IF(AND('Bonding Program'!$K$41&lt;&gt;"",AN$3='Bonding Program'!$K$41),'Bonding Program'!$J$41,0)-IF(AND('Bonding Program'!$M$41&lt;&gt;"",AN$3='Bonding Program'!$M$41),'Bonding Program'!$L$41,0)-IF(AND('Bonding Program'!$P$41&lt;&gt;"",AN$3='Bonding Program'!$P$41),'Bonding Program'!$O$41,0)-IF(AND('Bonding Program'!$R$41&lt;&gt;"",AN$3='Bonding Program'!$R$41),'Bonding Program'!$Q$41,0),0)</f>
        <v>0</v>
      </c>
      <c r="AO182" s="19" t="n">
        <f aca="false">IF(AND('Bonding Program'!$S$41=1,AO$3='Bonding Program'!$H$41),'Bonding Program'!$AA$41,0)-IF(AO$3&lt;='Bonding Program'!$C$8,IF(AND('Bonding Program'!$K$41&lt;&gt;"",AO$3='Bonding Program'!$K$41),'Bonding Program'!$J$41,0)-IF(AND('Bonding Program'!$M$41&lt;&gt;"",AO$3='Bonding Program'!$M$41),'Bonding Program'!$L$41,0)-IF(AND('Bonding Program'!$P$41&lt;&gt;"",AO$3='Bonding Program'!$P$41),'Bonding Program'!$O$41,0)-IF(AND('Bonding Program'!$R$41&lt;&gt;"",AO$3='Bonding Program'!$R$41),'Bonding Program'!$Q$41,0),0)</f>
        <v>0</v>
      </c>
      <c r="AP182" s="19" t="n">
        <f aca="false">IF(AND('Bonding Program'!$S$41=1,AP$3='Bonding Program'!$H$41),'Bonding Program'!$AA$41,0)-IF(AP$3&lt;='Bonding Program'!$C$8,IF(AND('Bonding Program'!$K$41&lt;&gt;"",AP$3='Bonding Program'!$K$41),'Bonding Program'!$J$41,0)-IF(AND('Bonding Program'!$M$41&lt;&gt;"",AP$3='Bonding Program'!$M$41),'Bonding Program'!$L$41,0)-IF(AND('Bonding Program'!$P$41&lt;&gt;"",AP$3='Bonding Program'!$P$41),'Bonding Program'!$O$41,0)-IF(AND('Bonding Program'!$R$41&lt;&gt;"",AP$3='Bonding Program'!$R$41),'Bonding Program'!$Q$41,0),0)</f>
        <v>0</v>
      </c>
      <c r="AQ182" s="19" t="n">
        <f aca="false">IF(AND('Bonding Program'!$S$41=1,AQ$3='Bonding Program'!$H$41),'Bonding Program'!$AA$41,0)-IF(AQ$3&lt;='Bonding Program'!$C$8,IF(AND('Bonding Program'!$K$41&lt;&gt;"",AQ$3='Bonding Program'!$K$41),'Bonding Program'!$J$41,0)-IF(AND('Bonding Program'!$M$41&lt;&gt;"",AQ$3='Bonding Program'!$M$41),'Bonding Program'!$L$41,0)-IF(AND('Bonding Program'!$P$41&lt;&gt;"",AQ$3='Bonding Program'!$P$41),'Bonding Program'!$O$41,0)-IF(AND('Bonding Program'!$R$41&lt;&gt;"",AQ$3='Bonding Program'!$R$41),'Bonding Program'!$Q$41,0),0)</f>
        <v>0</v>
      </c>
      <c r="AR182" s="19" t="n">
        <f aca="false">IF(AND('Bonding Program'!$S$41=1,AR$3='Bonding Program'!$H$41),'Bonding Program'!$AA$41,0)-IF(AR$3&lt;='Bonding Program'!$C$8,IF(AND('Bonding Program'!$K$41&lt;&gt;"",AR$3='Bonding Program'!$K$41),'Bonding Program'!$J$41,0)-IF(AND('Bonding Program'!$M$41&lt;&gt;"",AR$3='Bonding Program'!$M$41),'Bonding Program'!$L$41,0)-IF(AND('Bonding Program'!$P$41&lt;&gt;"",AR$3='Bonding Program'!$P$41),'Bonding Program'!$O$41,0)-IF(AND('Bonding Program'!$R$41&lt;&gt;"",AR$3='Bonding Program'!$R$41),'Bonding Program'!$Q$41,0),0)</f>
        <v>0</v>
      </c>
      <c r="AS182" s="19" t="n">
        <f aca="false">IF(AND('Bonding Program'!$S$41=1,AS$3='Bonding Program'!$H$41),'Bonding Program'!$AA$41,0)-IF(AS$3&lt;='Bonding Program'!$C$8,IF(AND('Bonding Program'!$K$41&lt;&gt;"",AS$3='Bonding Program'!$K$41),'Bonding Program'!$J$41,0)-IF(AND('Bonding Program'!$M$41&lt;&gt;"",AS$3='Bonding Program'!$M$41),'Bonding Program'!$L$41,0)-IF(AND('Bonding Program'!$P$41&lt;&gt;"",AS$3='Bonding Program'!$P$41),'Bonding Program'!$O$41,0)-IF(AND('Bonding Program'!$R$41&lt;&gt;"",AS$3='Bonding Program'!$R$41),'Bonding Program'!$Q$41,0),0)</f>
        <v>0</v>
      </c>
      <c r="AT182" s="19" t="n">
        <f aca="false">IF(AND('Bonding Program'!$S$41=1,AT$3='Bonding Program'!$H$41),'Bonding Program'!$AA$41,0)-IF(AT$3&lt;='Bonding Program'!$C$8,IF(AND('Bonding Program'!$K$41&lt;&gt;"",AT$3='Bonding Program'!$K$41),'Bonding Program'!$J$41,0)-IF(AND('Bonding Program'!$M$41&lt;&gt;"",AT$3='Bonding Program'!$M$41),'Bonding Program'!$L$41,0)-IF(AND('Bonding Program'!$P$41&lt;&gt;"",AT$3='Bonding Program'!$P$41),'Bonding Program'!$O$41,0)-IF(AND('Bonding Program'!$R$41&lt;&gt;"",AT$3='Bonding Program'!$R$41),'Bonding Program'!$Q$41,0),0)</f>
        <v>0</v>
      </c>
      <c r="AU182" s="19" t="n">
        <f aca="false">IF(AND('Bonding Program'!$S$41=1,AU$3='Bonding Program'!$H$41),'Bonding Program'!$AA$41,0)-IF(AU$3&lt;='Bonding Program'!$C$8,IF(AND('Bonding Program'!$K$41&lt;&gt;"",AU$3='Bonding Program'!$K$41),'Bonding Program'!$J$41,0)-IF(AND('Bonding Program'!$M$41&lt;&gt;"",AU$3='Bonding Program'!$M$41),'Bonding Program'!$L$41,0)-IF(AND('Bonding Program'!$P$41&lt;&gt;"",AU$3='Bonding Program'!$P$41),'Bonding Program'!$O$41,0)-IF(AND('Bonding Program'!$R$41&lt;&gt;"",AU$3='Bonding Program'!$R$41),'Bonding Program'!$Q$41,0),0)</f>
        <v>0</v>
      </c>
      <c r="AV182" s="19" t="n">
        <f aca="false">IF(AND('Bonding Program'!$S$41=1,AV$3='Bonding Program'!$H$41),'Bonding Program'!$AA$41,0)-IF(AV$3&lt;='Bonding Program'!$C$8,IF(AND('Bonding Program'!$K$41&lt;&gt;"",AV$3='Bonding Program'!$K$41),'Bonding Program'!$J$41,0)-IF(AND('Bonding Program'!$M$41&lt;&gt;"",AV$3='Bonding Program'!$M$41),'Bonding Program'!$L$41,0)-IF(AND('Bonding Program'!$P$41&lt;&gt;"",AV$3='Bonding Program'!$P$41),'Bonding Program'!$O$41,0)-IF(AND('Bonding Program'!$R$41&lt;&gt;"",AV$3='Bonding Program'!$R$41),'Bonding Program'!$Q$41,0),0)</f>
        <v>0</v>
      </c>
      <c r="AW182" s="19" t="n">
        <f aca="false">IF(AND('Bonding Program'!$S$41=1,AW$3='Bonding Program'!$H$41),'Bonding Program'!$AA$41,0)-IF(AW$3&lt;='Bonding Program'!$C$8,IF(AND('Bonding Program'!$K$41&lt;&gt;"",AW$3='Bonding Program'!$K$41),'Bonding Program'!$J$41,0)-IF(AND('Bonding Program'!$M$41&lt;&gt;"",AW$3='Bonding Program'!$M$41),'Bonding Program'!$L$41,0)-IF(AND('Bonding Program'!$P$41&lt;&gt;"",AW$3='Bonding Program'!$P$41),'Bonding Program'!$O$41,0)-IF(AND('Bonding Program'!$R$41&lt;&gt;"",AW$3='Bonding Program'!$R$41),'Bonding Program'!$Q$41,0),0)</f>
        <v>0</v>
      </c>
      <c r="AX182" s="19" t="n">
        <f aca="false">IF(AND('Bonding Program'!$S$41=1,AX$3='Bonding Program'!$H$41),'Bonding Program'!$AA$41,0)-IF(AX$3&lt;='Bonding Program'!$C$8,IF(AND('Bonding Program'!$K$41&lt;&gt;"",AX$3='Bonding Program'!$K$41),'Bonding Program'!$J$41,0)-IF(AND('Bonding Program'!$M$41&lt;&gt;"",AX$3='Bonding Program'!$M$41),'Bonding Program'!$L$41,0)-IF(AND('Bonding Program'!$P$41&lt;&gt;"",AX$3='Bonding Program'!$P$41),'Bonding Program'!$O$41,0)-IF(AND('Bonding Program'!$R$41&lt;&gt;"",AX$3='Bonding Program'!$R$41),'Bonding Program'!$Q$41,0),0)</f>
        <v>0</v>
      </c>
      <c r="AY182" s="19" t="n">
        <f aca="false">IF(AND('Bonding Program'!$S$41=1,AY$3='Bonding Program'!$H$41),'Bonding Program'!$AA$41,0)-IF(AY$3&lt;='Bonding Program'!$C$8,IF(AND('Bonding Program'!$K$41&lt;&gt;"",AY$3='Bonding Program'!$K$41),'Bonding Program'!$J$41,0)-IF(AND('Bonding Program'!$M$41&lt;&gt;"",AY$3='Bonding Program'!$M$41),'Bonding Program'!$L$41,0)-IF(AND('Bonding Program'!$P$41&lt;&gt;"",AY$3='Bonding Program'!$P$41),'Bonding Program'!$O$41,0)-IF(AND('Bonding Program'!$R$41&lt;&gt;"",AY$3='Bonding Program'!$R$41),'Bonding Program'!$Q$41,0),0)</f>
        <v>0</v>
      </c>
      <c r="AZ182" s="19" t="n">
        <f aca="false">IF(AND('Bonding Program'!$S$41=1,AZ$3='Bonding Program'!$H$41),'Bonding Program'!$AA$41,0)-IF(AZ$3&lt;='Bonding Program'!$C$8,IF(AND('Bonding Program'!$K$41&lt;&gt;"",AZ$3='Bonding Program'!$K$41),'Bonding Program'!$J$41,0)-IF(AND('Bonding Program'!$M$41&lt;&gt;"",AZ$3='Bonding Program'!$M$41),'Bonding Program'!$L$41,0)-IF(AND('Bonding Program'!$P$41&lt;&gt;"",AZ$3='Bonding Program'!$P$41),'Bonding Program'!$O$41,0)-IF(AND('Bonding Program'!$R$41&lt;&gt;"",AZ$3='Bonding Program'!$R$41),'Bonding Program'!$Q$41,0),0)</f>
        <v>0</v>
      </c>
      <c r="BA182" s="19" t="n">
        <f aca="false">IF(AND('Bonding Program'!$S$41=1,BA$3='Bonding Program'!$H$41),'Bonding Program'!$AA$41,0)-IF(BA$3&lt;='Bonding Program'!$C$8,IF(AND('Bonding Program'!$K$41&lt;&gt;"",BA$3='Bonding Program'!$K$41),'Bonding Program'!$J$41,0)-IF(AND('Bonding Program'!$M$41&lt;&gt;"",BA$3='Bonding Program'!$M$41),'Bonding Program'!$L$41,0)-IF(AND('Bonding Program'!$P$41&lt;&gt;"",BA$3='Bonding Program'!$P$41),'Bonding Program'!$O$41,0)-IF(AND('Bonding Program'!$R$41&lt;&gt;"",BA$3='Bonding Program'!$R$41),'Bonding Program'!$Q$41,0),0)</f>
        <v>0</v>
      </c>
      <c r="BB182" s="19" t="n">
        <f aca="false">IF(AND('Bonding Program'!$S$41=1,BB$3='Bonding Program'!$H$41),'Bonding Program'!$AA$41,0)-IF(BB$3&lt;='Bonding Program'!$C$8,IF(AND('Bonding Program'!$K$41&lt;&gt;"",BB$3='Bonding Program'!$K$41),'Bonding Program'!$J$41,0)-IF(AND('Bonding Program'!$M$41&lt;&gt;"",BB$3='Bonding Program'!$M$41),'Bonding Program'!$L$41,0)-IF(AND('Bonding Program'!$P$41&lt;&gt;"",BB$3='Bonding Program'!$P$41),'Bonding Program'!$O$41,0)-IF(AND('Bonding Program'!$R$41&lt;&gt;"",BB$3='Bonding Program'!$R$41),'Bonding Program'!$Q$41,0),0)</f>
        <v>0</v>
      </c>
      <c r="BC182" s="19" t="n">
        <f aca="false">IF(AND('Bonding Program'!$S$41=1,BC$3='Bonding Program'!$H$41),'Bonding Program'!$AA$41,0)-IF(BC$3&lt;='Bonding Program'!$C$8,IF(AND('Bonding Program'!$K$41&lt;&gt;"",BC$3='Bonding Program'!$K$41),'Bonding Program'!$J$41,0)-IF(AND('Bonding Program'!$M$41&lt;&gt;"",BC$3='Bonding Program'!$M$41),'Bonding Program'!$L$41,0)-IF(AND('Bonding Program'!$P$41&lt;&gt;"",BC$3='Bonding Program'!$P$41),'Bonding Program'!$O$41,0)-IF(AND('Bonding Program'!$R$41&lt;&gt;"",BC$3='Bonding Program'!$R$41),'Bonding Program'!$Q$41,0),0)</f>
        <v>0</v>
      </c>
      <c r="BD182" s="19" t="n">
        <f aca="false">IF(AND('Bonding Program'!$S$41=1,BD$3='Bonding Program'!$H$41),'Bonding Program'!$AA$41,0)-IF(BD$3&lt;='Bonding Program'!$C$8,IF(AND('Bonding Program'!$K$41&lt;&gt;"",BD$3='Bonding Program'!$K$41),'Bonding Program'!$J$41,0)-IF(AND('Bonding Program'!$M$41&lt;&gt;"",BD$3='Bonding Program'!$M$41),'Bonding Program'!$L$41,0)-IF(AND('Bonding Program'!$P$41&lt;&gt;"",BD$3='Bonding Program'!$P$41),'Bonding Program'!$O$41,0)-IF(AND('Bonding Program'!$R$41&lt;&gt;"",BD$3='Bonding Program'!$R$41),'Bonding Program'!$Q$41,0),0)</f>
        <v>0</v>
      </c>
      <c r="BE182" s="19" t="n">
        <f aca="false">IF(AND('Bonding Program'!$S$41=1,BE$3='Bonding Program'!$H$41),'Bonding Program'!$AA$41,0)-IF(BE$3&lt;='Bonding Program'!$C$8,IF(AND('Bonding Program'!$K$41&lt;&gt;"",BE$3='Bonding Program'!$K$41),'Bonding Program'!$J$41,0)-IF(AND('Bonding Program'!$M$41&lt;&gt;"",BE$3='Bonding Program'!$M$41),'Bonding Program'!$L$41,0)-IF(AND('Bonding Program'!$P$41&lt;&gt;"",BE$3='Bonding Program'!$P$41),'Bonding Program'!$O$41,0)-IF(AND('Bonding Program'!$R$41&lt;&gt;"",BE$3='Bonding Program'!$R$41),'Bonding Program'!$Q$41,0),0)</f>
        <v>0</v>
      </c>
      <c r="BF182" s="19" t="n">
        <f aca="false">IF(AND('Bonding Program'!$S$41=1,BF$3='Bonding Program'!$H$41),'Bonding Program'!$AA$41,0)-IF(BF$3&lt;='Bonding Program'!$C$8,IF(AND('Bonding Program'!$K$41&lt;&gt;"",BF$3='Bonding Program'!$K$41),'Bonding Program'!$J$41,0)-IF(AND('Bonding Program'!$M$41&lt;&gt;"",BF$3='Bonding Program'!$M$41),'Bonding Program'!$L$41,0)-IF(AND('Bonding Program'!$P$41&lt;&gt;"",BF$3='Bonding Program'!$P$41),'Bonding Program'!$O$41,0)-IF(AND('Bonding Program'!$R$41&lt;&gt;"",BF$3='Bonding Program'!$R$41),'Bonding Program'!$Q$41,0),0)</f>
        <v>0</v>
      </c>
      <c r="BG182" s="19" t="n">
        <f aca="false">IF(AND('Bonding Program'!$S$41=1,BG$3='Bonding Program'!$H$41),'Bonding Program'!$AA$41,0)-IF(BG$3&lt;='Bonding Program'!$C$8,IF(AND('Bonding Program'!$K$41&lt;&gt;"",BG$3='Bonding Program'!$K$41),'Bonding Program'!$J$41,0)-IF(AND('Bonding Program'!$M$41&lt;&gt;"",BG$3='Bonding Program'!$M$41),'Bonding Program'!$L$41,0)-IF(AND('Bonding Program'!$P$41&lt;&gt;"",BG$3='Bonding Program'!$P$41),'Bonding Program'!$O$41,0)-IF(AND('Bonding Program'!$R$41&lt;&gt;"",BG$3='Bonding Program'!$R$41),'Bonding Program'!$Q$41,0),0)</f>
        <v>0</v>
      </c>
      <c r="BH182" s="19" t="n">
        <f aca="false">IF(AND('Bonding Program'!$S$41=1,BH$3='Bonding Program'!$H$41),'Bonding Program'!$AA$41,0)-IF(BH$3&lt;='Bonding Program'!$C$8,IF(AND('Bonding Program'!$K$41&lt;&gt;"",BH$3='Bonding Program'!$K$41),'Bonding Program'!$J$41,0)-IF(AND('Bonding Program'!$M$41&lt;&gt;"",BH$3='Bonding Program'!$M$41),'Bonding Program'!$L$41,0)-IF(AND('Bonding Program'!$P$41&lt;&gt;"",BH$3='Bonding Program'!$P$41),'Bonding Program'!$O$41,0)-IF(AND('Bonding Program'!$R$41&lt;&gt;"",BH$3='Bonding Program'!$R$41),'Bonding Program'!$Q$41,0),0)</f>
        <v>0</v>
      </c>
      <c r="BI182" s="19" t="n">
        <f aca="false">IF(AND('Bonding Program'!$S$41=1,BI$3='Bonding Program'!$H$41),'Bonding Program'!$AA$41,0)-IF(BI$3&lt;='Bonding Program'!$C$8,IF(AND('Bonding Program'!$K$41&lt;&gt;"",BI$3='Bonding Program'!$K$41),'Bonding Program'!$J$41,0)-IF(AND('Bonding Program'!$M$41&lt;&gt;"",BI$3='Bonding Program'!$M$41),'Bonding Program'!$L$41,0)-IF(AND('Bonding Program'!$P$41&lt;&gt;"",BI$3='Bonding Program'!$P$41),'Bonding Program'!$O$41,0)-IF(AND('Bonding Program'!$R$41&lt;&gt;"",BI$3='Bonding Program'!$R$41),'Bonding Program'!$Q$41,0),0)</f>
        <v>0</v>
      </c>
      <c r="BJ182" s="19" t="n">
        <f aca="false">IF(AND('Bonding Program'!$S$41=1,BJ$3='Bonding Program'!$H$41),'Bonding Program'!$AA$41,0)-IF(BJ$3&lt;='Bonding Program'!$C$8,IF(AND('Bonding Program'!$K$41&lt;&gt;"",BJ$3='Bonding Program'!$K$41),'Bonding Program'!$J$41,0)-IF(AND('Bonding Program'!$M$41&lt;&gt;"",BJ$3='Bonding Program'!$M$41),'Bonding Program'!$L$41,0)-IF(AND('Bonding Program'!$P$41&lt;&gt;"",BJ$3='Bonding Program'!$P$41),'Bonding Program'!$O$41,0)-IF(AND('Bonding Program'!$R$41&lt;&gt;"",BJ$3='Bonding Program'!$R$41),'Bonding Program'!$Q$41,0),0)</f>
        <v>0</v>
      </c>
      <c r="BK182" s="19" t="n">
        <f aca="false">IF(AND('Bonding Program'!$S$41=1,BK$3='Bonding Program'!$H$41),'Bonding Program'!$AA$41,0)-IF(BK$3&lt;='Bonding Program'!$C$8,IF(AND('Bonding Program'!$K$41&lt;&gt;"",BK$3='Bonding Program'!$K$41),'Bonding Program'!$J$41,0)-IF(AND('Bonding Program'!$M$41&lt;&gt;"",BK$3='Bonding Program'!$M$41),'Bonding Program'!$L$41,0)-IF(AND('Bonding Program'!$P$41&lt;&gt;"",BK$3='Bonding Program'!$P$41),'Bonding Program'!$O$41,0)-IF(AND('Bonding Program'!$R$41&lt;&gt;"",BK$3='Bonding Program'!$R$41),'Bonding Program'!$Q$41,0),0)</f>
        <v>0</v>
      </c>
      <c r="BL182" s="19" t="n">
        <f aca="false">IF(AND('Bonding Program'!$S$41=1,BL$3='Bonding Program'!$H$41),'Bonding Program'!$AA$41,0)-IF(BL$3&lt;='Bonding Program'!$C$8,IF(AND('Bonding Program'!$K$41&lt;&gt;"",BL$3='Bonding Program'!$K$41),'Bonding Program'!$J$41,0)-IF(AND('Bonding Program'!$M$41&lt;&gt;"",BL$3='Bonding Program'!$M$41),'Bonding Program'!$L$41,0)-IF(AND('Bonding Program'!$P$41&lt;&gt;"",BL$3='Bonding Program'!$P$41),'Bonding Program'!$O$41,0)-IF(AND('Bonding Program'!$R$41&lt;&gt;"",BL$3='Bonding Program'!$R$41),'Bonding Program'!$Q$41,0),0)</f>
        <v>0</v>
      </c>
      <c r="BM182" s="19" t="n">
        <f aca="false">IF(AND('Bonding Program'!$S$41=1,BM$3='Bonding Program'!$H$41),'Bonding Program'!$AA$41,0)-IF(BM$3&lt;='Bonding Program'!$C$8,IF(AND('Bonding Program'!$K$41&lt;&gt;"",BM$3='Bonding Program'!$K$41),'Bonding Program'!$J$41,0)-IF(AND('Bonding Program'!$M$41&lt;&gt;"",BM$3='Bonding Program'!$M$41),'Bonding Program'!$L$41,0)-IF(AND('Bonding Program'!$P$41&lt;&gt;"",BM$3='Bonding Program'!$P$41),'Bonding Program'!$O$41,0)-IF(AND('Bonding Program'!$R$41&lt;&gt;"",BM$3='Bonding Program'!$R$41),'Bonding Program'!$Q$41,0),0)</f>
        <v>0</v>
      </c>
      <c r="BN182" s="19" t="n">
        <f aca="false">IF(AND('Bonding Program'!$S$41=1,BN$3='Bonding Program'!$H$41),'Bonding Program'!$AA$41,0)-IF(BN$3&lt;='Bonding Program'!$C$8,IF(AND('Bonding Program'!$K$41&lt;&gt;"",BN$3='Bonding Program'!$K$41),'Bonding Program'!$J$41,0)-IF(AND('Bonding Program'!$M$41&lt;&gt;"",BN$3='Bonding Program'!$M$41),'Bonding Program'!$L$41,0)-IF(AND('Bonding Program'!$P$41&lt;&gt;"",BN$3='Bonding Program'!$P$41),'Bonding Program'!$O$41,0)-IF(AND('Bonding Program'!$R$41&lt;&gt;"",BN$3='Bonding Program'!$R$41),'Bonding Program'!$Q$41,0),0)</f>
        <v>0</v>
      </c>
      <c r="BO182" s="19" t="n">
        <f aca="false">IF(AND('Bonding Program'!$S$41=1,BO$3='Bonding Program'!$H$41),'Bonding Program'!$AA$41,0)-IF(BO$3&lt;='Bonding Program'!$C$8,IF(AND('Bonding Program'!$K$41&lt;&gt;"",BO$3='Bonding Program'!$K$41),'Bonding Program'!$J$41,0)-IF(AND('Bonding Program'!$M$41&lt;&gt;"",BO$3='Bonding Program'!$M$41),'Bonding Program'!$L$41,0)-IF(AND('Bonding Program'!$P$41&lt;&gt;"",BO$3='Bonding Program'!$P$41),'Bonding Program'!$O$41,0)-IF(AND('Bonding Program'!$R$41&lt;&gt;"",BO$3='Bonding Program'!$R$41),'Bonding Program'!$Q$41,0),0)</f>
        <v>0</v>
      </c>
      <c r="BP182" s="19" t="n">
        <f aca="false">IF(AND('Bonding Program'!$S$41=1,BP$3='Bonding Program'!$H$41),'Bonding Program'!$AA$41,0)-IF(BP$3&lt;='Bonding Program'!$C$8,IF(AND('Bonding Program'!$K$41&lt;&gt;"",BP$3='Bonding Program'!$K$41),'Bonding Program'!$J$41,0)-IF(AND('Bonding Program'!$M$41&lt;&gt;"",BP$3='Bonding Program'!$M$41),'Bonding Program'!$L$41,0)-IF(AND('Bonding Program'!$P$41&lt;&gt;"",BP$3='Bonding Program'!$P$41),'Bonding Program'!$O$41,0)-IF(AND('Bonding Program'!$R$41&lt;&gt;"",BP$3='Bonding Program'!$R$41),'Bonding Program'!$Q$41,0),0)</f>
        <v>0</v>
      </c>
      <c r="BQ182" s="19" t="n">
        <f aca="false">IF(AND('Bonding Program'!$S$41=1,BQ$3='Bonding Program'!$H$41),'Bonding Program'!$AA$41,0)-IF(BQ$3&lt;='Bonding Program'!$C$8,IF(AND('Bonding Program'!$K$41&lt;&gt;"",BQ$3='Bonding Program'!$K$41),'Bonding Program'!$J$41,0)-IF(AND('Bonding Program'!$M$41&lt;&gt;"",BQ$3='Bonding Program'!$M$41),'Bonding Program'!$L$41,0)-IF(AND('Bonding Program'!$P$41&lt;&gt;"",BQ$3='Bonding Program'!$P$41),'Bonding Program'!$O$41,0)-IF(AND('Bonding Program'!$R$41&lt;&gt;"",BQ$3='Bonding Program'!$R$41),'Bonding Program'!$Q$41,0),0)</f>
        <v>0</v>
      </c>
      <c r="BR182" s="19" t="n">
        <f aca="false">IF(AND('Bonding Program'!$S$41=1,BR$3='Bonding Program'!$H$41),'Bonding Program'!$AA$41,0)-IF(BR$3&lt;='Bonding Program'!$C$8,IF(AND('Bonding Program'!$K$41&lt;&gt;"",BR$3='Bonding Program'!$K$41),'Bonding Program'!$J$41,0)-IF(AND('Bonding Program'!$M$41&lt;&gt;"",BR$3='Bonding Program'!$M$41),'Bonding Program'!$L$41,0)-IF(AND('Bonding Program'!$P$41&lt;&gt;"",BR$3='Bonding Program'!$P$41),'Bonding Program'!$O$41,0)-IF(AND('Bonding Program'!$R$41&lt;&gt;"",BR$3='Bonding Program'!$R$41),'Bonding Program'!$Q$41,0),0)</f>
        <v>0</v>
      </c>
      <c r="BS182" s="19" t="n">
        <f aca="false">IF(AND('Bonding Program'!$S$41=1,BS$3='Bonding Program'!$H$41),'Bonding Program'!$AA$41,0)-IF(BS$3&lt;='Bonding Program'!$C$8,IF(AND('Bonding Program'!$K$41&lt;&gt;"",BS$3='Bonding Program'!$K$41),'Bonding Program'!$J$41,0)-IF(AND('Bonding Program'!$M$41&lt;&gt;"",BS$3='Bonding Program'!$M$41),'Bonding Program'!$L$41,0)-IF(AND('Bonding Program'!$P$41&lt;&gt;"",BS$3='Bonding Program'!$P$41),'Bonding Program'!$O$41,0)-IF(AND('Bonding Program'!$R$41&lt;&gt;"",BS$3='Bonding Program'!$R$41),'Bonding Program'!$Q$41,0),0)</f>
        <v>0</v>
      </c>
      <c r="BT182" s="19" t="n">
        <f aca="false">IF(AND('Bonding Program'!$S$41=1,BT$3='Bonding Program'!$H$41),'Bonding Program'!$AA$41,0)-IF(BT$3&lt;='Bonding Program'!$C$8,IF(AND('Bonding Program'!$K$41&lt;&gt;"",BT$3='Bonding Program'!$K$41),'Bonding Program'!$J$41,0)-IF(AND('Bonding Program'!$M$41&lt;&gt;"",BT$3='Bonding Program'!$M$41),'Bonding Program'!$L$41,0)-IF(AND('Bonding Program'!$P$41&lt;&gt;"",BT$3='Bonding Program'!$P$41),'Bonding Program'!$O$41,0)-IF(AND('Bonding Program'!$R$41&lt;&gt;"",BT$3='Bonding Program'!$R$41),'Bonding Program'!$Q$41,0),0)</f>
        <v>0</v>
      </c>
      <c r="BU182" s="19" t="n">
        <f aca="false">IF(AND('Bonding Program'!$S$41=1,BU$3='Bonding Program'!$H$41),'Bonding Program'!$AA$41,0)-IF(BU$3&lt;='Bonding Program'!$C$8,IF(AND('Bonding Program'!$K$41&lt;&gt;"",BU$3='Bonding Program'!$K$41),'Bonding Program'!$J$41,0)-IF(AND('Bonding Program'!$M$41&lt;&gt;"",BU$3='Bonding Program'!$M$41),'Bonding Program'!$L$41,0)-IF(AND('Bonding Program'!$P$41&lt;&gt;"",BU$3='Bonding Program'!$P$41),'Bonding Program'!$O$41,0)-IF(AND('Bonding Program'!$R$41&lt;&gt;"",BU$3='Bonding Program'!$R$41),'Bonding Program'!$Q$41,0),0)</f>
        <v>0</v>
      </c>
      <c r="BV182" s="19" t="n">
        <f aca="false">IF(AND('Bonding Program'!$S$41=1,BV$3='Bonding Program'!$H$41),'Bonding Program'!$AA$41,0)-IF(BV$3&lt;='Bonding Program'!$C$8,IF(AND('Bonding Program'!$K$41&lt;&gt;"",BV$3='Bonding Program'!$K$41),'Bonding Program'!$J$41,0)-IF(AND('Bonding Program'!$M$41&lt;&gt;"",BV$3='Bonding Program'!$M$41),'Bonding Program'!$L$41,0)-IF(AND('Bonding Program'!$P$41&lt;&gt;"",BV$3='Bonding Program'!$P$41),'Bonding Program'!$O$41,0)-IF(AND('Bonding Program'!$R$41&lt;&gt;"",BV$3='Bonding Program'!$R$41),'Bonding Program'!$Q$41,0),0)</f>
        <v>0</v>
      </c>
      <c r="BW182" s="19" t="n">
        <f aca="false">IF(AND('Bonding Program'!$S$41=1,BW$3='Bonding Program'!$H$41),'Bonding Program'!$AA$41,0)-IF(BW$3&lt;='Bonding Program'!$C$8,IF(AND('Bonding Program'!$K$41&lt;&gt;"",BW$3='Bonding Program'!$K$41),'Bonding Program'!$J$41,0)-IF(AND('Bonding Program'!$M$41&lt;&gt;"",BW$3='Bonding Program'!$M$41),'Bonding Program'!$L$41,0)-IF(AND('Bonding Program'!$P$41&lt;&gt;"",BW$3='Bonding Program'!$P$41),'Bonding Program'!$O$41,0)-IF(AND('Bonding Program'!$R$41&lt;&gt;"",BW$3='Bonding Program'!$R$41),'Bonding Program'!$Q$41,0),0)</f>
        <v>0</v>
      </c>
      <c r="BX182" s="19" t="n">
        <f aca="false">IF(AND('Bonding Program'!$S$41=1,BX$3='Bonding Program'!$H$41),'Bonding Program'!$AA$41,0)-IF(BX$3&lt;='Bonding Program'!$C$8,IF(AND('Bonding Program'!$K$41&lt;&gt;"",BX$3='Bonding Program'!$K$41),'Bonding Program'!$J$41,0)-IF(AND('Bonding Program'!$M$41&lt;&gt;"",BX$3='Bonding Program'!$M$41),'Bonding Program'!$L$41,0)-IF(AND('Bonding Program'!$P$41&lt;&gt;"",BX$3='Bonding Program'!$P$41),'Bonding Program'!$O$41,0)-IF(AND('Bonding Program'!$R$41&lt;&gt;"",BX$3='Bonding Program'!$R$41),'Bonding Program'!$Q$41,0),0)</f>
        <v>0</v>
      </c>
      <c r="BY182" s="19" t="n">
        <f aca="false">IF(AND('Bonding Program'!$S$41=1,BY$3='Bonding Program'!$H$41),'Bonding Program'!$AA$41,0)-IF(BY$3&lt;='Bonding Program'!$C$8,IF(AND('Bonding Program'!$K$41&lt;&gt;"",BY$3='Bonding Program'!$K$41),'Bonding Program'!$J$41,0)-IF(AND('Bonding Program'!$M$41&lt;&gt;"",BY$3='Bonding Program'!$M$41),'Bonding Program'!$L$41,0)-IF(AND('Bonding Program'!$P$41&lt;&gt;"",BY$3='Bonding Program'!$P$41),'Bonding Program'!$O$41,0)-IF(AND('Bonding Program'!$R$41&lt;&gt;"",BY$3='Bonding Program'!$R$41),'Bonding Program'!$Q$41,0),0)</f>
        <v>0</v>
      </c>
      <c r="BZ182" s="19" t="n">
        <f aca="false">IF(AND('Bonding Program'!$S$41=1,BZ$3='Bonding Program'!$H$41),'Bonding Program'!$AA$41,0)-IF(BZ$3&lt;='Bonding Program'!$C$8,IF(AND('Bonding Program'!$K$41&lt;&gt;"",BZ$3='Bonding Program'!$K$41),'Bonding Program'!$J$41,0)-IF(AND('Bonding Program'!$M$41&lt;&gt;"",BZ$3='Bonding Program'!$M$41),'Bonding Program'!$L$41,0)-IF(AND('Bonding Program'!$P$41&lt;&gt;"",BZ$3='Bonding Program'!$P$41),'Bonding Program'!$O$41,0)-IF(AND('Bonding Program'!$R$41&lt;&gt;"",BZ$3='Bonding Program'!$R$41),'Bonding Program'!$Q$41,0),0)</f>
        <v>0</v>
      </c>
      <c r="CA182" s="19" t="n">
        <f aca="false">IF(AND('Bonding Program'!$S$41=1,CA$3='Bonding Program'!$H$41),'Bonding Program'!$AA$41,0)-IF(CA$3&lt;='Bonding Program'!$C$8,IF(AND('Bonding Program'!$K$41&lt;&gt;"",CA$3='Bonding Program'!$K$41),'Bonding Program'!$J$41,0)-IF(AND('Bonding Program'!$M$41&lt;&gt;"",CA$3='Bonding Program'!$M$41),'Bonding Program'!$L$41,0)-IF(AND('Bonding Program'!$P$41&lt;&gt;"",CA$3='Bonding Program'!$P$41),'Bonding Program'!$O$41,0)-IF(AND('Bonding Program'!$R$41&lt;&gt;"",CA$3='Bonding Program'!$R$41),'Bonding Program'!$Q$41,0),0)</f>
        <v>0</v>
      </c>
      <c r="CB182" s="19" t="n">
        <f aca="false">IF(AND('Bonding Program'!$S$41=1,CB$3='Bonding Program'!$H$41),'Bonding Program'!$AA$41,0)-IF(CB$3&lt;='Bonding Program'!$C$8,IF(AND('Bonding Program'!$K$41&lt;&gt;"",CB$3='Bonding Program'!$K$41),'Bonding Program'!$J$41,0)-IF(AND('Bonding Program'!$M$41&lt;&gt;"",CB$3='Bonding Program'!$M$41),'Bonding Program'!$L$41,0)-IF(AND('Bonding Program'!$P$41&lt;&gt;"",CB$3='Bonding Program'!$P$41),'Bonding Program'!$O$41,0)-IF(AND('Bonding Program'!$R$41&lt;&gt;"",CB$3='Bonding Program'!$R$41),'Bonding Program'!$Q$41,0),0)</f>
        <v>0</v>
      </c>
      <c r="CC182" s="19" t="n">
        <f aca="false">IF(AND('Bonding Program'!$S$41=1,CC$3='Bonding Program'!$H$41),'Bonding Program'!$AA$41,0)-IF(CC$3&lt;='Bonding Program'!$C$8,IF(AND('Bonding Program'!$K$41&lt;&gt;"",CC$3='Bonding Program'!$K$41),'Bonding Program'!$J$41,0)-IF(AND('Bonding Program'!$M$41&lt;&gt;"",CC$3='Bonding Program'!$M$41),'Bonding Program'!$L$41,0)-IF(AND('Bonding Program'!$P$41&lt;&gt;"",CC$3='Bonding Program'!$P$41),'Bonding Program'!$O$41,0)-IF(AND('Bonding Program'!$R$41&lt;&gt;"",CC$3='Bonding Program'!$R$41),'Bonding Program'!$Q$41,0),0)</f>
        <v>0</v>
      </c>
      <c r="CD182" s="19" t="n">
        <f aca="false">IF(AND('Bonding Program'!$S$41=1,CD$3='Bonding Program'!$H$41),'Bonding Program'!$AA$41,0)-IF(CD$3&lt;='Bonding Program'!$C$8,IF(AND('Bonding Program'!$K$41&lt;&gt;"",CD$3='Bonding Program'!$K$41),'Bonding Program'!$J$41,0)-IF(AND('Bonding Program'!$M$41&lt;&gt;"",CD$3='Bonding Program'!$M$41),'Bonding Program'!$L$41,0)-IF(AND('Bonding Program'!$P$41&lt;&gt;"",CD$3='Bonding Program'!$P$41),'Bonding Program'!$O$41,0)-IF(AND('Bonding Program'!$R$41&lt;&gt;"",CD$3='Bonding Program'!$R$41),'Bonding Program'!$Q$41,0),0)</f>
        <v>0</v>
      </c>
      <c r="CE182" s="19" t="n">
        <f aca="false">IF(AND('Bonding Program'!$S$41=1,CE$3='Bonding Program'!$H$41),'Bonding Program'!$AA$41,0)-IF(CE$3&lt;='Bonding Program'!$C$8,IF(AND('Bonding Program'!$K$41&lt;&gt;"",CE$3='Bonding Program'!$K$41),'Bonding Program'!$J$41,0)-IF(AND('Bonding Program'!$M$41&lt;&gt;"",CE$3='Bonding Program'!$M$41),'Bonding Program'!$L$41,0)-IF(AND('Bonding Program'!$P$41&lt;&gt;"",CE$3='Bonding Program'!$P$41),'Bonding Program'!$O$41,0)-IF(AND('Bonding Program'!$R$41&lt;&gt;"",CE$3='Bonding Program'!$R$41),'Bonding Program'!$Q$41,0),0)</f>
        <v>0</v>
      </c>
      <c r="CF182" s="19" t="n">
        <f aca="false">IF(AND('Bonding Program'!$S$41=1,CF$3='Bonding Program'!$H$41),'Bonding Program'!$AA$41,0)-IF(CF$3&lt;='Bonding Program'!$C$8,IF(AND('Bonding Program'!$K$41&lt;&gt;"",CF$3='Bonding Program'!$K$41),'Bonding Program'!$J$41,0)-IF(AND('Bonding Program'!$M$41&lt;&gt;"",CF$3='Bonding Program'!$M$41),'Bonding Program'!$L$41,0)-IF(AND('Bonding Program'!$P$41&lt;&gt;"",CF$3='Bonding Program'!$P$41),'Bonding Program'!$O$41,0)-IF(AND('Bonding Program'!$R$41&lt;&gt;"",CF$3='Bonding Program'!$R$41),'Bonding Program'!$Q$41,0),0)</f>
        <v>0</v>
      </c>
      <c r="CG182" s="19" t="n">
        <f aca="false">IF(AND('Bonding Program'!$S$41=1,CG$3='Bonding Program'!$H$41),'Bonding Program'!$AA$41,0)-IF(CG$3&lt;='Bonding Program'!$C$8,IF(AND('Bonding Program'!$K$41&lt;&gt;"",CG$3='Bonding Program'!$K$41),'Bonding Program'!$J$41,0)-IF(AND('Bonding Program'!$M$41&lt;&gt;"",CG$3='Bonding Program'!$M$41),'Bonding Program'!$L$41,0)-IF(AND('Bonding Program'!$P$41&lt;&gt;"",CG$3='Bonding Program'!$P$41),'Bonding Program'!$O$41,0)-IF(AND('Bonding Program'!$R$41&lt;&gt;"",CG$3='Bonding Program'!$R$41),'Bonding Program'!$Q$41,0),0)</f>
        <v>0</v>
      </c>
      <c r="CH182" s="19" t="n">
        <f aca="false">IF(AND('Bonding Program'!$S$41=1,CH$3='Bonding Program'!$H$41),'Bonding Program'!$AA$41,0)-IF(CH$3&lt;='Bonding Program'!$C$8,IF(AND('Bonding Program'!$K$41&lt;&gt;"",CH$3='Bonding Program'!$K$41),'Bonding Program'!$J$41,0)-IF(AND('Bonding Program'!$M$41&lt;&gt;"",CH$3='Bonding Program'!$M$41),'Bonding Program'!$L$41,0)-IF(AND('Bonding Program'!$P$41&lt;&gt;"",CH$3='Bonding Program'!$P$41),'Bonding Program'!$O$41,0)-IF(AND('Bonding Program'!$R$41&lt;&gt;"",CH$3='Bonding Program'!$R$41),'Bonding Program'!$Q$41,0),0)</f>
        <v>0</v>
      </c>
      <c r="CI182" s="19" t="n">
        <f aca="false">IF(AND('Bonding Program'!$S$41=1,CI$3='Bonding Program'!$H$41),'Bonding Program'!$AA$41,0)-IF(CI$3&lt;='Bonding Program'!$C$8,IF(AND('Bonding Program'!$K$41&lt;&gt;"",CI$3='Bonding Program'!$K$41),'Bonding Program'!$J$41,0)-IF(AND('Bonding Program'!$M$41&lt;&gt;"",CI$3='Bonding Program'!$M$41),'Bonding Program'!$L$41,0)-IF(AND('Bonding Program'!$P$41&lt;&gt;"",CI$3='Bonding Program'!$P$41),'Bonding Program'!$O$41,0)-IF(AND('Bonding Program'!$R$41&lt;&gt;"",CI$3='Bonding Program'!$R$41),'Bonding Program'!$Q$41,0),0)</f>
        <v>0</v>
      </c>
      <c r="CJ182" s="19" t="n">
        <f aca="false">IF(AND('Bonding Program'!$S$41=1,CJ$3='Bonding Program'!$H$41),'Bonding Program'!$AA$41,0)-IF(CJ$3&lt;='Bonding Program'!$C$8,IF(AND('Bonding Program'!$K$41&lt;&gt;"",CJ$3='Bonding Program'!$K$41),'Bonding Program'!$J$41,0)-IF(AND('Bonding Program'!$M$41&lt;&gt;"",CJ$3='Bonding Program'!$M$41),'Bonding Program'!$L$41,0)-IF(AND('Bonding Program'!$P$41&lt;&gt;"",CJ$3='Bonding Program'!$P$41),'Bonding Program'!$O$41,0)-IF(AND('Bonding Program'!$R$41&lt;&gt;"",CJ$3='Bonding Program'!$R$41),'Bonding Program'!$Q$41,0),0)</f>
        <v>0</v>
      </c>
      <c r="CK182" s="19" t="n">
        <f aca="false">IF(AND('Bonding Program'!$S$41=1,CK$3='Bonding Program'!$H$41),'Bonding Program'!$AA$41,0)-IF(CK$3&lt;='Bonding Program'!$C$8,IF(AND('Bonding Program'!$K$41&lt;&gt;"",CK$3='Bonding Program'!$K$41),'Bonding Program'!$J$41,0)-IF(AND('Bonding Program'!$M$41&lt;&gt;"",CK$3='Bonding Program'!$M$41),'Bonding Program'!$L$41,0)-IF(AND('Bonding Program'!$P$41&lt;&gt;"",CK$3='Bonding Program'!$P$41),'Bonding Program'!$O$41,0)-IF(AND('Bonding Program'!$R$41&lt;&gt;"",CK$3='Bonding Program'!$R$41),'Bonding Program'!$Q$41,0),0)</f>
        <v>0</v>
      </c>
      <c r="CL182" s="19" t="n">
        <f aca="false">IF(AND('Bonding Program'!$S$41=1,CL$3='Bonding Program'!$H$41),'Bonding Program'!$AA$41,0)-IF(CL$3&lt;='Bonding Program'!$C$8,IF(AND('Bonding Program'!$K$41&lt;&gt;"",CL$3='Bonding Program'!$K$41),'Bonding Program'!$J$41,0)-IF(AND('Bonding Program'!$M$41&lt;&gt;"",CL$3='Bonding Program'!$M$41),'Bonding Program'!$L$41,0)-IF(AND('Bonding Program'!$P$41&lt;&gt;"",CL$3='Bonding Program'!$P$41),'Bonding Program'!$O$41,0)-IF(AND('Bonding Program'!$R$41&lt;&gt;"",CL$3='Bonding Program'!$R$41),'Bonding Program'!$Q$41,0),0)</f>
        <v>0</v>
      </c>
      <c r="CM182" s="19" t="n">
        <f aca="false">IF(AND('Bonding Program'!$S$41=1,CM$3='Bonding Program'!$H$41),'Bonding Program'!$AA$41,0)-IF(CM$3&lt;='Bonding Program'!$C$8,IF(AND('Bonding Program'!$K$41&lt;&gt;"",CM$3='Bonding Program'!$K$41),'Bonding Program'!$J$41,0)-IF(AND('Bonding Program'!$M$41&lt;&gt;"",CM$3='Bonding Program'!$M$41),'Bonding Program'!$L$41,0)-IF(AND('Bonding Program'!$P$41&lt;&gt;"",CM$3='Bonding Program'!$P$41),'Bonding Program'!$O$41,0)-IF(AND('Bonding Program'!$R$41&lt;&gt;"",CM$3='Bonding Program'!$R$41),'Bonding Program'!$Q$41,0),0)</f>
        <v>0</v>
      </c>
      <c r="CN182" s="19" t="n">
        <f aca="false">IF(AND('Bonding Program'!$S$41=1,CN$3='Bonding Program'!$H$41),'Bonding Program'!$AA$41,0)-IF(CN$3&lt;='Bonding Program'!$C$8,IF(AND('Bonding Program'!$K$41&lt;&gt;"",CN$3='Bonding Program'!$K$41),'Bonding Program'!$J$41,0)-IF(AND('Bonding Program'!$M$41&lt;&gt;"",CN$3='Bonding Program'!$M$41),'Bonding Program'!$L$41,0)-IF(AND('Bonding Program'!$P$41&lt;&gt;"",CN$3='Bonding Program'!$P$41),'Bonding Program'!$O$41,0)-IF(AND('Bonding Program'!$R$41&lt;&gt;"",CN$3='Bonding Program'!$R$41),'Bonding Program'!$Q$41,0),0)</f>
        <v>0</v>
      </c>
      <c r="CO182" s="19" t="n">
        <f aca="false">IF(AND('Bonding Program'!$S$41=1,CO$3='Bonding Program'!$H$41),'Bonding Program'!$AA$41,0)-IF(CO$3&lt;='Bonding Program'!$C$8,IF(AND('Bonding Program'!$K$41&lt;&gt;"",CO$3='Bonding Program'!$K$41),'Bonding Program'!$J$41,0)-IF(AND('Bonding Program'!$M$41&lt;&gt;"",CO$3='Bonding Program'!$M$41),'Bonding Program'!$L$41,0)-IF(AND('Bonding Program'!$P$41&lt;&gt;"",CO$3='Bonding Program'!$P$41),'Bonding Program'!$O$41,0)-IF(AND('Bonding Program'!$R$41&lt;&gt;"",CO$3='Bonding Program'!$R$41),'Bonding Program'!$Q$41,0),0)</f>
        <v>0</v>
      </c>
      <c r="CP182" s="19" t="n">
        <f aca="false">IF(AND('Bonding Program'!$S$41=1,CP$3='Bonding Program'!$H$41),'Bonding Program'!$AA$41,0)-IF(CP$3&lt;='Bonding Program'!$C$8,IF(AND('Bonding Program'!$K$41&lt;&gt;"",CP$3='Bonding Program'!$K$41),'Bonding Program'!$J$41,0)-IF(AND('Bonding Program'!$M$41&lt;&gt;"",CP$3='Bonding Program'!$M$41),'Bonding Program'!$L$41,0)-IF(AND('Bonding Program'!$P$41&lt;&gt;"",CP$3='Bonding Program'!$P$41),'Bonding Program'!$O$41,0)-IF(AND('Bonding Program'!$R$41&lt;&gt;"",CP$3='Bonding Program'!$R$41),'Bonding Program'!$Q$41,0),0)</f>
        <v>0</v>
      </c>
      <c r="CQ182" s="19" t="n">
        <f aca="false">IF(AND('Bonding Program'!$S$41=1,CQ$3='Bonding Program'!$H$41),'Bonding Program'!$AA$41,0)-IF(CQ$3&lt;='Bonding Program'!$C$8,IF(AND('Bonding Program'!$K$41&lt;&gt;"",CQ$3='Bonding Program'!$K$41),'Bonding Program'!$J$41,0)-IF(AND('Bonding Program'!$M$41&lt;&gt;"",CQ$3='Bonding Program'!$M$41),'Bonding Program'!$L$41,0)-IF(AND('Bonding Program'!$P$41&lt;&gt;"",CQ$3='Bonding Program'!$P$41),'Bonding Program'!$O$41,0)-IF(AND('Bonding Program'!$R$41&lt;&gt;"",CQ$3='Bonding Program'!$R$41),'Bonding Program'!$Q$41,0),0)</f>
        <v>0</v>
      </c>
      <c r="CR182" s="19" t="n">
        <f aca="false">IF(AND('Bonding Program'!$S$41=1,CR$3='Bonding Program'!$H$41),'Bonding Program'!$AA$41,0)-IF(CR$3&lt;='Bonding Program'!$C$8,IF(AND('Bonding Program'!$K$41&lt;&gt;"",CR$3='Bonding Program'!$K$41),'Bonding Program'!$J$41,0)-IF(AND('Bonding Program'!$M$41&lt;&gt;"",CR$3='Bonding Program'!$M$41),'Bonding Program'!$L$41,0)-IF(AND('Bonding Program'!$P$41&lt;&gt;"",CR$3='Bonding Program'!$P$41),'Bonding Program'!$O$41,0)-IF(AND('Bonding Program'!$R$41&lt;&gt;"",CR$3='Bonding Program'!$R$41),'Bonding Program'!$Q$41,0),0)</f>
        <v>0</v>
      </c>
      <c r="CS182" s="19" t="n">
        <f aca="false">IF(AND('Bonding Program'!$S$41=1,CS$3='Bonding Program'!$H$41),'Bonding Program'!$AA$41,0)-IF(CS$3&lt;='Bonding Program'!$C$8,IF(AND('Bonding Program'!$K$41&lt;&gt;"",CS$3='Bonding Program'!$K$41),'Bonding Program'!$J$41,0)-IF(AND('Bonding Program'!$M$41&lt;&gt;"",CS$3='Bonding Program'!$M$41),'Bonding Program'!$L$41,0)-IF(AND('Bonding Program'!$P$41&lt;&gt;"",CS$3='Bonding Program'!$P$41),'Bonding Program'!$O$41,0)-IF(AND('Bonding Program'!$R$41&lt;&gt;"",CS$3='Bonding Program'!$R$41),'Bonding Program'!$Q$41,0),0)</f>
        <v>0</v>
      </c>
      <c r="CT182" s="19" t="n">
        <f aca="false">IF(AND('Bonding Program'!$S$41=1,CT$3='Bonding Program'!$H$41),'Bonding Program'!$AA$41,0)-IF(CT$3&lt;='Bonding Program'!$C$8,IF(AND('Bonding Program'!$K$41&lt;&gt;"",CT$3='Bonding Program'!$K$41),'Bonding Program'!$J$41,0)-IF(AND('Bonding Program'!$M$41&lt;&gt;"",CT$3='Bonding Program'!$M$41),'Bonding Program'!$L$41,0)-IF(AND('Bonding Program'!$P$41&lt;&gt;"",CT$3='Bonding Program'!$P$41),'Bonding Program'!$O$41,0)-IF(AND('Bonding Program'!$R$41&lt;&gt;"",CT$3='Bonding Program'!$R$41),'Bonding Program'!$Q$41,0),0)</f>
        <v>0</v>
      </c>
      <c r="CU182" s="19" t="n">
        <f aca="false">IF(AND('Bonding Program'!$S$41=1,CU$3='Bonding Program'!$H$41),'Bonding Program'!$AA$41,0)-IF(CU$3&lt;='Bonding Program'!$C$8,IF(AND('Bonding Program'!$K$41&lt;&gt;"",CU$3='Bonding Program'!$K$41),'Bonding Program'!$J$41,0)-IF(AND('Bonding Program'!$M$41&lt;&gt;"",CU$3='Bonding Program'!$M$41),'Bonding Program'!$L$41,0)-IF(AND('Bonding Program'!$P$41&lt;&gt;"",CU$3='Bonding Program'!$P$41),'Bonding Program'!$O$41,0)-IF(AND('Bonding Program'!$R$41&lt;&gt;"",CU$3='Bonding Program'!$R$41),'Bonding Program'!$Q$41,0),0)</f>
        <v>0</v>
      </c>
      <c r="CV182" s="19" t="n">
        <f aca="false">IF(AND('Bonding Program'!$S$41=1,CV$3='Bonding Program'!$H$41),'Bonding Program'!$AA$41,0)-IF(CV$3&lt;='Bonding Program'!$C$8,IF(AND('Bonding Program'!$K$41&lt;&gt;"",CV$3='Bonding Program'!$K$41),'Bonding Program'!$J$41,0)-IF(AND('Bonding Program'!$M$41&lt;&gt;"",CV$3='Bonding Program'!$M$41),'Bonding Program'!$L$41,0)-IF(AND('Bonding Program'!$P$41&lt;&gt;"",CV$3='Bonding Program'!$P$41),'Bonding Program'!$O$41,0)-IF(AND('Bonding Program'!$R$41&lt;&gt;"",CV$3='Bonding Program'!$R$41),'Bonding Program'!$Q$41,0),0)</f>
        <v>0</v>
      </c>
      <c r="CW182" s="19" t="n">
        <f aca="false">IF(AND('Bonding Program'!$S$41=1,CW$3='Bonding Program'!$H$41),'Bonding Program'!$AA$41,0)-IF(CW$3&lt;='Bonding Program'!$C$8,IF(AND('Bonding Program'!$K$41&lt;&gt;"",CW$3='Bonding Program'!$K$41),'Bonding Program'!$J$41,0)-IF(AND('Bonding Program'!$M$41&lt;&gt;"",CW$3='Bonding Program'!$M$41),'Bonding Program'!$L$41,0)-IF(AND('Bonding Program'!$P$41&lt;&gt;"",CW$3='Bonding Program'!$P$41),'Bonding Program'!$O$41,0)-IF(AND('Bonding Program'!$R$41&lt;&gt;"",CW$3='Bonding Program'!$R$41),'Bonding Program'!$Q$41,0),0)</f>
        <v>0</v>
      </c>
      <c r="CX182" s="19" t="n">
        <f aca="false">IF(AND('Bonding Program'!$S$41=1,CX$3='Bonding Program'!$H$41),'Bonding Program'!$AA$41,0)-IF(CX$3&lt;='Bonding Program'!$C$8,IF(AND('Bonding Program'!$K$41&lt;&gt;"",CX$3='Bonding Program'!$K$41),'Bonding Program'!$J$41,0)-IF(AND('Bonding Program'!$M$41&lt;&gt;"",CX$3='Bonding Program'!$M$41),'Bonding Program'!$L$41,0)-IF(AND('Bonding Program'!$P$41&lt;&gt;"",CX$3='Bonding Program'!$P$41),'Bonding Program'!$O$41,0)-IF(AND('Bonding Program'!$R$41&lt;&gt;"",CX$3='Bonding Program'!$R$41),'Bonding Program'!$Q$41,0),0)</f>
        <v>0</v>
      </c>
      <c r="CY182" s="19" t="n">
        <f aca="false">IF(AND('Bonding Program'!$S$41=1,CY$3='Bonding Program'!$H$41),'Bonding Program'!$AA$41,0)-IF(CY$3&lt;='Bonding Program'!$C$8,IF(AND('Bonding Program'!$K$41&lt;&gt;"",CY$3='Bonding Program'!$K$41),'Bonding Program'!$J$41,0)-IF(AND('Bonding Program'!$M$41&lt;&gt;"",CY$3='Bonding Program'!$M$41),'Bonding Program'!$L$41,0)-IF(AND('Bonding Program'!$P$41&lt;&gt;"",CY$3='Bonding Program'!$P$41),'Bonding Program'!$O$41,0)-IF(AND('Bonding Program'!$R$41&lt;&gt;"",CY$3='Bonding Program'!$R$41),'Bonding Program'!$Q$41,0),0)</f>
        <v>0</v>
      </c>
      <c r="CZ182" s="19" t="n">
        <f aca="false">IF(AND('Bonding Program'!$S$41=1,CZ$3='Bonding Program'!$H$41),'Bonding Program'!$AA$41,0)-IF(CZ$3&lt;='Bonding Program'!$C$8,IF(AND('Bonding Program'!$K$41&lt;&gt;"",CZ$3='Bonding Program'!$K$41),'Bonding Program'!$J$41,0)-IF(AND('Bonding Program'!$M$41&lt;&gt;"",CZ$3='Bonding Program'!$M$41),'Bonding Program'!$L$41,0)-IF(AND('Bonding Program'!$P$41&lt;&gt;"",CZ$3='Bonding Program'!$P$41),'Bonding Program'!$O$41,0)-IF(AND('Bonding Program'!$R$41&lt;&gt;"",CZ$3='Bonding Program'!$R$41),'Bonding Program'!$Q$41,0),0)</f>
        <v>0</v>
      </c>
      <c r="DA182" s="19" t="n">
        <f aca="false">IF(AND('Bonding Program'!$S$41=1,DA$3='Bonding Program'!$H$41),'Bonding Program'!$AA$41,0)-IF(DA$3&lt;='Bonding Program'!$C$8,IF(AND('Bonding Program'!$K$41&lt;&gt;"",DA$3='Bonding Program'!$K$41),'Bonding Program'!$J$41,0)-IF(AND('Bonding Program'!$M$41&lt;&gt;"",DA$3='Bonding Program'!$M$41),'Bonding Program'!$L$41,0)-IF(AND('Bonding Program'!$P$41&lt;&gt;"",DA$3='Bonding Program'!$P$41),'Bonding Program'!$O$41,0)-IF(AND('Bonding Program'!$R$41&lt;&gt;"",DA$3='Bonding Program'!$R$41),'Bonding Program'!$Q$41,0),0)</f>
        <v>0</v>
      </c>
      <c r="DB182" s="19" t="n">
        <f aca="false">IF(AND('Bonding Program'!$S$41=1,DB$3='Bonding Program'!$H$41),'Bonding Program'!$AA$41,0)-IF(DB$3&lt;='Bonding Program'!$C$8,IF(AND('Bonding Program'!$K$41&lt;&gt;"",DB$3='Bonding Program'!$K$41),'Bonding Program'!$J$41,0)-IF(AND('Bonding Program'!$M$41&lt;&gt;"",DB$3='Bonding Program'!$M$41),'Bonding Program'!$L$41,0)-IF(AND('Bonding Program'!$P$41&lt;&gt;"",DB$3='Bonding Program'!$P$41),'Bonding Program'!$O$41,0)-IF(AND('Bonding Program'!$R$41&lt;&gt;"",DB$3='Bonding Program'!$R$41),'Bonding Program'!$Q$41,0),0)</f>
        <v>0</v>
      </c>
      <c r="DC182" s="19" t="n">
        <f aca="false">IF(AND('Bonding Program'!$S$41=1,DC$3='Bonding Program'!$H$41),'Bonding Program'!$AA$41,0)-IF(DC$3&lt;='Bonding Program'!$C$8,IF(AND('Bonding Program'!$K$41&lt;&gt;"",DC$3='Bonding Program'!$K$41),'Bonding Program'!$J$41,0)-IF(AND('Bonding Program'!$M$41&lt;&gt;"",DC$3='Bonding Program'!$M$41),'Bonding Program'!$L$41,0)-IF(AND('Bonding Program'!$P$41&lt;&gt;"",DC$3='Bonding Program'!$P$41),'Bonding Program'!$O$41,0)-IF(AND('Bonding Program'!$R$41&lt;&gt;"",DC$3='Bonding Program'!$R$41),'Bonding Program'!$Q$41,0),0)</f>
        <v>0</v>
      </c>
      <c r="DD182" s="19" t="n">
        <f aca="false">IF(AND('Bonding Program'!$S$41=1,DD$3='Bonding Program'!$H$41),'Bonding Program'!$AA$41,0)-IF(DD$3&lt;='Bonding Program'!$C$8,IF(AND('Bonding Program'!$K$41&lt;&gt;"",DD$3='Bonding Program'!$K$41),'Bonding Program'!$J$41,0)-IF(AND('Bonding Program'!$M$41&lt;&gt;"",DD$3='Bonding Program'!$M$41),'Bonding Program'!$L$41,0)-IF(AND('Bonding Program'!$P$41&lt;&gt;"",DD$3='Bonding Program'!$P$41),'Bonding Program'!$O$41,0)-IF(AND('Bonding Program'!$R$41&lt;&gt;"",DD$3='Bonding Program'!$R$41),'Bonding Program'!$Q$41,0),0)</f>
        <v>0</v>
      </c>
      <c r="DE182" s="19" t="n">
        <f aca="false">IF(AND('Bonding Program'!$S$41=1,DE$3='Bonding Program'!$H$41),'Bonding Program'!$AA$41,0)-IF(DE$3&lt;='Bonding Program'!$C$8,IF(AND('Bonding Program'!$K$41&lt;&gt;"",DE$3='Bonding Program'!$K$41),'Bonding Program'!$J$41,0)-IF(AND('Bonding Program'!$M$41&lt;&gt;"",DE$3='Bonding Program'!$M$41),'Bonding Program'!$L$41,0)-IF(AND('Bonding Program'!$P$41&lt;&gt;"",DE$3='Bonding Program'!$P$41),'Bonding Program'!$O$41,0)-IF(AND('Bonding Program'!$R$41&lt;&gt;"",DE$3='Bonding Program'!$R$41),'Bonding Program'!$Q$41,0),0)</f>
        <v>0</v>
      </c>
    </row>
    <row r="183" customFormat="false" ht="15" hidden="false" customHeight="true" outlineLevel="1" collapsed="false">
      <c r="A183" s="28" t="s">
        <v>38</v>
      </c>
      <c r="B183" s="19" t="n">
        <f aca="false">IF(AND('Bonding Program'!$S$42=1,B$3='Bonding Program'!$H$42),'Bonding Program'!$AA$42,0)-IF(B$3&lt;='Bonding Program'!$C$8,IF(AND('Bonding Program'!$K$42&lt;&gt;"",B$3='Bonding Program'!$K$42),'Bonding Program'!$J$42,0)-IF(AND('Bonding Program'!$M$42&lt;&gt;"",B$3='Bonding Program'!$M$42),'Bonding Program'!$L$42,0)-IF(AND('Bonding Program'!$P$42&lt;&gt;"",B$3='Bonding Program'!$P$42),'Bonding Program'!$O$42,0)-IF(AND('Bonding Program'!$R$42&lt;&gt;"",B$3='Bonding Program'!$R$42),'Bonding Program'!$Q$42,0),0)</f>
        <v>0</v>
      </c>
      <c r="C183" s="19" t="n">
        <f aca="false">IF(AND('Bonding Program'!$S$42=1,C$3='Bonding Program'!$H$42),'Bonding Program'!$AA$42,0)-IF(C$3&lt;='Bonding Program'!$C$8,IF(AND('Bonding Program'!$K$42&lt;&gt;"",C$3='Bonding Program'!$K$42),'Bonding Program'!$J$42,0)-IF(AND('Bonding Program'!$M$42&lt;&gt;"",C$3='Bonding Program'!$M$42),'Bonding Program'!$L$42,0)-IF(AND('Bonding Program'!$P$42&lt;&gt;"",C$3='Bonding Program'!$P$42),'Bonding Program'!$O$42,0)-IF(AND('Bonding Program'!$R$42&lt;&gt;"",C$3='Bonding Program'!$R$42),'Bonding Program'!$Q$42,0),0)</f>
        <v>0</v>
      </c>
      <c r="D183" s="19" t="n">
        <f aca="false">IF(AND('Bonding Program'!$S$42=1,D$3='Bonding Program'!$H$42),'Bonding Program'!$AA$42,0)-IF(D$3&lt;='Bonding Program'!$C$8,IF(AND('Bonding Program'!$K$42&lt;&gt;"",D$3='Bonding Program'!$K$42),'Bonding Program'!$J$42,0)-IF(AND('Bonding Program'!$M$42&lt;&gt;"",D$3='Bonding Program'!$M$42),'Bonding Program'!$L$42,0)-IF(AND('Bonding Program'!$P$42&lt;&gt;"",D$3='Bonding Program'!$P$42),'Bonding Program'!$O$42,0)-IF(AND('Bonding Program'!$R$42&lt;&gt;"",D$3='Bonding Program'!$R$42),'Bonding Program'!$Q$42,0),0)</f>
        <v>0</v>
      </c>
      <c r="E183" s="19" t="n">
        <f aca="false">IF(AND('Bonding Program'!$S$42=1,E$3='Bonding Program'!$H$42),'Bonding Program'!$AA$42,0)-IF(E$3&lt;='Bonding Program'!$C$8,IF(AND('Bonding Program'!$K$42&lt;&gt;"",E$3='Bonding Program'!$K$42),'Bonding Program'!$J$42,0)-IF(AND('Bonding Program'!$M$42&lt;&gt;"",E$3='Bonding Program'!$M$42),'Bonding Program'!$L$42,0)-IF(AND('Bonding Program'!$P$42&lt;&gt;"",E$3='Bonding Program'!$P$42),'Bonding Program'!$O$42,0)-IF(AND('Bonding Program'!$R$42&lt;&gt;"",E$3='Bonding Program'!$R$42),'Bonding Program'!$Q$42,0),0)</f>
        <v>0</v>
      </c>
      <c r="F183" s="19" t="n">
        <f aca="false">IF(AND('Bonding Program'!$S$42=1,F$3='Bonding Program'!$H$42),'Bonding Program'!$AA$42,0)-IF(F$3&lt;='Bonding Program'!$C$8,IF(AND('Bonding Program'!$K$42&lt;&gt;"",F$3='Bonding Program'!$K$42),'Bonding Program'!$J$42,0)-IF(AND('Bonding Program'!$M$42&lt;&gt;"",F$3='Bonding Program'!$M$42),'Bonding Program'!$L$42,0)-IF(AND('Bonding Program'!$P$42&lt;&gt;"",F$3='Bonding Program'!$P$42),'Bonding Program'!$O$42,0)-IF(AND('Bonding Program'!$R$42&lt;&gt;"",F$3='Bonding Program'!$R$42),'Bonding Program'!$Q$42,0),0)</f>
        <v>0</v>
      </c>
      <c r="G183" s="19" t="n">
        <f aca="false">IF(AND('Bonding Program'!$S$42=1,G$3='Bonding Program'!$H$42),'Bonding Program'!$AA$42,0)-IF(G$3&lt;='Bonding Program'!$C$8,IF(AND('Bonding Program'!$K$42&lt;&gt;"",G$3='Bonding Program'!$K$42),'Bonding Program'!$J$42,0)-IF(AND('Bonding Program'!$M$42&lt;&gt;"",G$3='Bonding Program'!$M$42),'Bonding Program'!$L$42,0)-IF(AND('Bonding Program'!$P$42&lt;&gt;"",G$3='Bonding Program'!$P$42),'Bonding Program'!$O$42,0)-IF(AND('Bonding Program'!$R$42&lt;&gt;"",G$3='Bonding Program'!$R$42),'Bonding Program'!$Q$42,0),0)</f>
        <v>0</v>
      </c>
      <c r="H183" s="19" t="n">
        <f aca="false">IF(AND('Bonding Program'!$S$42=1,H$3='Bonding Program'!$H$42),'Bonding Program'!$AA$42,0)-IF(H$3&lt;='Bonding Program'!$C$8,IF(AND('Bonding Program'!$K$42&lt;&gt;"",H$3='Bonding Program'!$K$42),'Bonding Program'!$J$42,0)-IF(AND('Bonding Program'!$M$42&lt;&gt;"",H$3='Bonding Program'!$M$42),'Bonding Program'!$L$42,0)-IF(AND('Bonding Program'!$P$42&lt;&gt;"",H$3='Bonding Program'!$P$42),'Bonding Program'!$O$42,0)-IF(AND('Bonding Program'!$R$42&lt;&gt;"",H$3='Bonding Program'!$R$42),'Bonding Program'!$Q$42,0),0)</f>
        <v>0</v>
      </c>
      <c r="I183" s="19" t="n">
        <f aca="false">IF(AND('Bonding Program'!$S$42=1,I$3='Bonding Program'!$H$42),'Bonding Program'!$AA$42,0)-IF(I$3&lt;='Bonding Program'!$C$8,IF(AND('Bonding Program'!$K$42&lt;&gt;"",I$3='Bonding Program'!$K$42),'Bonding Program'!$J$42,0)-IF(AND('Bonding Program'!$M$42&lt;&gt;"",I$3='Bonding Program'!$M$42),'Bonding Program'!$L$42,0)-IF(AND('Bonding Program'!$P$42&lt;&gt;"",I$3='Bonding Program'!$P$42),'Bonding Program'!$O$42,0)-IF(AND('Bonding Program'!$R$42&lt;&gt;"",I$3='Bonding Program'!$R$42),'Bonding Program'!$Q$42,0),0)</f>
        <v>0</v>
      </c>
      <c r="J183" s="19" t="n">
        <f aca="false">IF(AND('Bonding Program'!$S$42=1,J$3='Bonding Program'!$H$42),'Bonding Program'!$AA$42,0)-IF(J$3&lt;='Bonding Program'!$C$8,IF(AND('Bonding Program'!$K$42&lt;&gt;"",J$3='Bonding Program'!$K$42),'Bonding Program'!$J$42,0)-IF(AND('Bonding Program'!$M$42&lt;&gt;"",J$3='Bonding Program'!$M$42),'Bonding Program'!$L$42,0)-IF(AND('Bonding Program'!$P$42&lt;&gt;"",J$3='Bonding Program'!$P$42),'Bonding Program'!$O$42,0)-IF(AND('Bonding Program'!$R$42&lt;&gt;"",J$3='Bonding Program'!$R$42),'Bonding Program'!$Q$42,0),0)</f>
        <v>0</v>
      </c>
      <c r="K183" s="19" t="n">
        <f aca="false">IF(AND('Bonding Program'!$S$42=1,K$3='Bonding Program'!$H$42),'Bonding Program'!$AA$42,0)-IF(K$3&lt;='Bonding Program'!$C$8,IF(AND('Bonding Program'!$K$42&lt;&gt;"",K$3='Bonding Program'!$K$42),'Bonding Program'!$J$42,0)-IF(AND('Bonding Program'!$M$42&lt;&gt;"",K$3='Bonding Program'!$M$42),'Bonding Program'!$L$42,0)-IF(AND('Bonding Program'!$P$42&lt;&gt;"",K$3='Bonding Program'!$P$42),'Bonding Program'!$O$42,0)-IF(AND('Bonding Program'!$R$42&lt;&gt;"",K$3='Bonding Program'!$R$42),'Bonding Program'!$Q$42,0),0)</f>
        <v>0</v>
      </c>
      <c r="L183" s="19" t="n">
        <f aca="false">IF(AND('Bonding Program'!$S$42=1,L$3='Bonding Program'!$H$42),'Bonding Program'!$AA$42,0)-IF(L$3&lt;='Bonding Program'!$C$8,IF(AND('Bonding Program'!$K$42&lt;&gt;"",L$3='Bonding Program'!$K$42),'Bonding Program'!$J$42,0)-IF(AND('Bonding Program'!$M$42&lt;&gt;"",L$3='Bonding Program'!$M$42),'Bonding Program'!$L$42,0)-IF(AND('Bonding Program'!$P$42&lt;&gt;"",L$3='Bonding Program'!$P$42),'Bonding Program'!$O$42,0)-IF(AND('Bonding Program'!$R$42&lt;&gt;"",L$3='Bonding Program'!$R$42),'Bonding Program'!$Q$42,0),0)</f>
        <v>0</v>
      </c>
      <c r="M183" s="19" t="n">
        <f aca="false">IF(AND('Bonding Program'!$S$42=1,M$3='Bonding Program'!$H$42),'Bonding Program'!$AA$42,0)-IF(M$3&lt;='Bonding Program'!$C$8,IF(AND('Bonding Program'!$K$42&lt;&gt;"",M$3='Bonding Program'!$K$42),'Bonding Program'!$J$42,0)-IF(AND('Bonding Program'!$M$42&lt;&gt;"",M$3='Bonding Program'!$M$42),'Bonding Program'!$L$42,0)-IF(AND('Bonding Program'!$P$42&lt;&gt;"",M$3='Bonding Program'!$P$42),'Bonding Program'!$O$42,0)-IF(AND('Bonding Program'!$R$42&lt;&gt;"",M$3='Bonding Program'!$R$42),'Bonding Program'!$Q$42,0),0)</f>
        <v>0</v>
      </c>
      <c r="N183" s="19" t="n">
        <f aca="false">IF(AND('Bonding Program'!$S$42=1,N$3='Bonding Program'!$H$42),'Bonding Program'!$AA$42,0)-IF(N$3&lt;='Bonding Program'!$C$8,IF(AND('Bonding Program'!$K$42&lt;&gt;"",N$3='Bonding Program'!$K$42),'Bonding Program'!$J$42,0)-IF(AND('Bonding Program'!$M$42&lt;&gt;"",N$3='Bonding Program'!$M$42),'Bonding Program'!$L$42,0)-IF(AND('Bonding Program'!$P$42&lt;&gt;"",N$3='Bonding Program'!$P$42),'Bonding Program'!$O$42,0)-IF(AND('Bonding Program'!$R$42&lt;&gt;"",N$3='Bonding Program'!$R$42),'Bonding Program'!$Q$42,0),0)</f>
        <v>0</v>
      </c>
      <c r="O183" s="19" t="n">
        <f aca="false">IF(AND('Bonding Program'!$S$42=1,O$3='Bonding Program'!$H$42),'Bonding Program'!$AA$42,0)-IF(O$3&lt;='Bonding Program'!$C$8,IF(AND('Bonding Program'!$K$42&lt;&gt;"",O$3='Bonding Program'!$K$42),'Bonding Program'!$J$42,0)-IF(AND('Bonding Program'!$M$42&lt;&gt;"",O$3='Bonding Program'!$M$42),'Bonding Program'!$L$42,0)-IF(AND('Bonding Program'!$P$42&lt;&gt;"",O$3='Bonding Program'!$P$42),'Bonding Program'!$O$42,0)-IF(AND('Bonding Program'!$R$42&lt;&gt;"",O$3='Bonding Program'!$R$42),'Bonding Program'!$Q$42,0),0)</f>
        <v>0</v>
      </c>
      <c r="P183" s="19" t="n">
        <f aca="false">IF(AND('Bonding Program'!$S$42=1,P$3='Bonding Program'!$H$42),'Bonding Program'!$AA$42,0)-IF(P$3&lt;='Bonding Program'!$C$8,IF(AND('Bonding Program'!$K$42&lt;&gt;"",P$3='Bonding Program'!$K$42),'Bonding Program'!$J$42,0)-IF(AND('Bonding Program'!$M$42&lt;&gt;"",P$3='Bonding Program'!$M$42),'Bonding Program'!$L$42,0)-IF(AND('Bonding Program'!$P$42&lt;&gt;"",P$3='Bonding Program'!$P$42),'Bonding Program'!$O$42,0)-IF(AND('Bonding Program'!$R$42&lt;&gt;"",P$3='Bonding Program'!$R$42),'Bonding Program'!$Q$42,0),0)</f>
        <v>0</v>
      </c>
      <c r="Q183" s="19" t="n">
        <f aca="false">IF(AND('Bonding Program'!$S$42=1,Q$3='Bonding Program'!$H$42),'Bonding Program'!$AA$42,0)-IF(Q$3&lt;='Bonding Program'!$C$8,IF(AND('Bonding Program'!$K$42&lt;&gt;"",Q$3='Bonding Program'!$K$42),'Bonding Program'!$J$42,0)-IF(AND('Bonding Program'!$M$42&lt;&gt;"",Q$3='Bonding Program'!$M$42),'Bonding Program'!$L$42,0)-IF(AND('Bonding Program'!$P$42&lt;&gt;"",Q$3='Bonding Program'!$P$42),'Bonding Program'!$O$42,0)-IF(AND('Bonding Program'!$R$42&lt;&gt;"",Q$3='Bonding Program'!$R$42),'Bonding Program'!$Q$42,0),0)</f>
        <v>0</v>
      </c>
      <c r="R183" s="19" t="n">
        <f aca="false">IF(AND('Bonding Program'!$S$42=1,R$3='Bonding Program'!$H$42),'Bonding Program'!$AA$42,0)-IF(R$3&lt;='Bonding Program'!$C$8,IF(AND('Bonding Program'!$K$42&lt;&gt;"",R$3='Bonding Program'!$K$42),'Bonding Program'!$J$42,0)-IF(AND('Bonding Program'!$M$42&lt;&gt;"",R$3='Bonding Program'!$M$42),'Bonding Program'!$L$42,0)-IF(AND('Bonding Program'!$P$42&lt;&gt;"",R$3='Bonding Program'!$P$42),'Bonding Program'!$O$42,0)-IF(AND('Bonding Program'!$R$42&lt;&gt;"",R$3='Bonding Program'!$R$42),'Bonding Program'!$Q$42,0),0)</f>
        <v>0</v>
      </c>
      <c r="S183" s="19" t="n">
        <f aca="false">IF(AND('Bonding Program'!$S$42=1,S$3='Bonding Program'!$H$42),'Bonding Program'!$AA$42,0)-IF(S$3&lt;='Bonding Program'!$C$8,IF(AND('Bonding Program'!$K$42&lt;&gt;"",S$3='Bonding Program'!$K$42),'Bonding Program'!$J$42,0)-IF(AND('Bonding Program'!$M$42&lt;&gt;"",S$3='Bonding Program'!$M$42),'Bonding Program'!$L$42,0)-IF(AND('Bonding Program'!$P$42&lt;&gt;"",S$3='Bonding Program'!$P$42),'Bonding Program'!$O$42,0)-IF(AND('Bonding Program'!$R$42&lt;&gt;"",S$3='Bonding Program'!$R$42),'Bonding Program'!$Q$42,0),0)</f>
        <v>0</v>
      </c>
      <c r="T183" s="19" t="n">
        <f aca="false">IF(AND('Bonding Program'!$S$42=1,T$3='Bonding Program'!$H$42),'Bonding Program'!$AA$42,0)-IF(T$3&lt;='Bonding Program'!$C$8,IF(AND('Bonding Program'!$K$42&lt;&gt;"",T$3='Bonding Program'!$K$42),'Bonding Program'!$J$42,0)-IF(AND('Bonding Program'!$M$42&lt;&gt;"",T$3='Bonding Program'!$M$42),'Bonding Program'!$L$42,0)-IF(AND('Bonding Program'!$P$42&lt;&gt;"",T$3='Bonding Program'!$P$42),'Bonding Program'!$O$42,0)-IF(AND('Bonding Program'!$R$42&lt;&gt;"",T$3='Bonding Program'!$R$42),'Bonding Program'!$Q$42,0),0)</f>
        <v>0</v>
      </c>
      <c r="U183" s="19" t="n">
        <f aca="false">IF(AND('Bonding Program'!$S$42=1,U$3='Bonding Program'!$H$42),'Bonding Program'!$AA$42,0)-IF(U$3&lt;='Bonding Program'!$C$8,IF(AND('Bonding Program'!$K$42&lt;&gt;"",U$3='Bonding Program'!$K$42),'Bonding Program'!$J$42,0)-IF(AND('Bonding Program'!$M$42&lt;&gt;"",U$3='Bonding Program'!$M$42),'Bonding Program'!$L$42,0)-IF(AND('Bonding Program'!$P$42&lt;&gt;"",U$3='Bonding Program'!$P$42),'Bonding Program'!$O$42,0)-IF(AND('Bonding Program'!$R$42&lt;&gt;"",U$3='Bonding Program'!$R$42),'Bonding Program'!$Q$42,0),0)</f>
        <v>0</v>
      </c>
      <c r="V183" s="19" t="n">
        <f aca="false">IF(AND('Bonding Program'!$S$42=1,V$3='Bonding Program'!$H$42),'Bonding Program'!$AA$42,0)-IF(V$3&lt;='Bonding Program'!$C$8,IF(AND('Bonding Program'!$K$42&lt;&gt;"",V$3='Bonding Program'!$K$42),'Bonding Program'!$J$42,0)-IF(AND('Bonding Program'!$M$42&lt;&gt;"",V$3='Bonding Program'!$M$42),'Bonding Program'!$L$42,0)-IF(AND('Bonding Program'!$P$42&lt;&gt;"",V$3='Bonding Program'!$P$42),'Bonding Program'!$O$42,0)-IF(AND('Bonding Program'!$R$42&lt;&gt;"",V$3='Bonding Program'!$R$42),'Bonding Program'!$Q$42,0),0)</f>
        <v>0</v>
      </c>
      <c r="W183" s="19" t="n">
        <f aca="false">IF(AND('Bonding Program'!$S$42=1,W$3='Bonding Program'!$H$42),'Bonding Program'!$AA$42,0)-IF(W$3&lt;='Bonding Program'!$C$8,IF(AND('Bonding Program'!$K$42&lt;&gt;"",W$3='Bonding Program'!$K$42),'Bonding Program'!$J$42,0)-IF(AND('Bonding Program'!$M$42&lt;&gt;"",W$3='Bonding Program'!$M$42),'Bonding Program'!$L$42,0)-IF(AND('Bonding Program'!$P$42&lt;&gt;"",W$3='Bonding Program'!$P$42),'Bonding Program'!$O$42,0)-IF(AND('Bonding Program'!$R$42&lt;&gt;"",W$3='Bonding Program'!$R$42),'Bonding Program'!$Q$42,0),0)</f>
        <v>0</v>
      </c>
      <c r="X183" s="19" t="n">
        <f aca="false">IF(AND('Bonding Program'!$S$42=1,X$3='Bonding Program'!$H$42),'Bonding Program'!$AA$42,0)-IF(X$3&lt;='Bonding Program'!$C$8,IF(AND('Bonding Program'!$K$42&lt;&gt;"",X$3='Bonding Program'!$K$42),'Bonding Program'!$J$42,0)-IF(AND('Bonding Program'!$M$42&lt;&gt;"",X$3='Bonding Program'!$M$42),'Bonding Program'!$L$42,0)-IF(AND('Bonding Program'!$P$42&lt;&gt;"",X$3='Bonding Program'!$P$42),'Bonding Program'!$O$42,0)-IF(AND('Bonding Program'!$R$42&lt;&gt;"",X$3='Bonding Program'!$R$42),'Bonding Program'!$Q$42,0),0)</f>
        <v>0</v>
      </c>
      <c r="Y183" s="19" t="n">
        <f aca="false">IF(AND('Bonding Program'!$S$42=1,Y$3='Bonding Program'!$H$42),'Bonding Program'!$AA$42,0)-IF(Y$3&lt;='Bonding Program'!$C$8,IF(AND('Bonding Program'!$K$42&lt;&gt;"",Y$3='Bonding Program'!$K$42),'Bonding Program'!$J$42,0)-IF(AND('Bonding Program'!$M$42&lt;&gt;"",Y$3='Bonding Program'!$M$42),'Bonding Program'!$L$42,0)-IF(AND('Bonding Program'!$P$42&lt;&gt;"",Y$3='Bonding Program'!$P$42),'Bonding Program'!$O$42,0)-IF(AND('Bonding Program'!$R$42&lt;&gt;"",Y$3='Bonding Program'!$R$42),'Bonding Program'!$Q$42,0),0)</f>
        <v>0</v>
      </c>
      <c r="Z183" s="19" t="n">
        <f aca="false">IF(AND('Bonding Program'!$S$42=1,Z$3='Bonding Program'!$H$42),'Bonding Program'!$AA$42,0)-IF(Z$3&lt;='Bonding Program'!$C$8,IF(AND('Bonding Program'!$K$42&lt;&gt;"",Z$3='Bonding Program'!$K$42),'Bonding Program'!$J$42,0)-IF(AND('Bonding Program'!$M$42&lt;&gt;"",Z$3='Bonding Program'!$M$42),'Bonding Program'!$L$42,0)-IF(AND('Bonding Program'!$P$42&lt;&gt;"",Z$3='Bonding Program'!$P$42),'Bonding Program'!$O$42,0)-IF(AND('Bonding Program'!$R$42&lt;&gt;"",Z$3='Bonding Program'!$R$42),'Bonding Program'!$Q$42,0),0)</f>
        <v>0</v>
      </c>
      <c r="AA183" s="19" t="n">
        <f aca="false">IF(AND('Bonding Program'!$S$42=1,AA$3='Bonding Program'!$H$42),'Bonding Program'!$AA$42,0)-IF(AA$3&lt;='Bonding Program'!$C$8,IF(AND('Bonding Program'!$K$42&lt;&gt;"",AA$3='Bonding Program'!$K$42),'Bonding Program'!$J$42,0)-IF(AND('Bonding Program'!$M$42&lt;&gt;"",AA$3='Bonding Program'!$M$42),'Bonding Program'!$L$42,0)-IF(AND('Bonding Program'!$P$42&lt;&gt;"",AA$3='Bonding Program'!$P$42),'Bonding Program'!$O$42,0)-IF(AND('Bonding Program'!$R$42&lt;&gt;"",AA$3='Bonding Program'!$R$42),'Bonding Program'!$Q$42,0),0)</f>
        <v>0</v>
      </c>
      <c r="AB183" s="19" t="n">
        <f aca="false">IF(AND('Bonding Program'!$S$42=1,AB$3='Bonding Program'!$H$42),'Bonding Program'!$AA$42,0)-IF(AB$3&lt;='Bonding Program'!$C$8,IF(AND('Bonding Program'!$K$42&lt;&gt;"",AB$3='Bonding Program'!$K$42),'Bonding Program'!$J$42,0)-IF(AND('Bonding Program'!$M$42&lt;&gt;"",AB$3='Bonding Program'!$M$42),'Bonding Program'!$L$42,0)-IF(AND('Bonding Program'!$P$42&lt;&gt;"",AB$3='Bonding Program'!$P$42),'Bonding Program'!$O$42,0)-IF(AND('Bonding Program'!$R$42&lt;&gt;"",AB$3='Bonding Program'!$R$42),'Bonding Program'!$Q$42,0),0)</f>
        <v>0</v>
      </c>
      <c r="AC183" s="19" t="n">
        <f aca="false">IF(AND('Bonding Program'!$S$42=1,AC$3='Bonding Program'!$H$42),'Bonding Program'!$AA$42,0)-IF(AC$3&lt;='Bonding Program'!$C$8,IF(AND('Bonding Program'!$K$42&lt;&gt;"",AC$3='Bonding Program'!$K$42),'Bonding Program'!$J$42,0)-IF(AND('Bonding Program'!$M$42&lt;&gt;"",AC$3='Bonding Program'!$M$42),'Bonding Program'!$L$42,0)-IF(AND('Bonding Program'!$P$42&lt;&gt;"",AC$3='Bonding Program'!$P$42),'Bonding Program'!$O$42,0)-IF(AND('Bonding Program'!$R$42&lt;&gt;"",AC$3='Bonding Program'!$R$42),'Bonding Program'!$Q$42,0),0)</f>
        <v>0</v>
      </c>
      <c r="AD183" s="19" t="n">
        <f aca="false">IF(AND('Bonding Program'!$S$42=1,AD$3='Bonding Program'!$H$42),'Bonding Program'!$AA$42,0)-IF(AD$3&lt;='Bonding Program'!$C$8,IF(AND('Bonding Program'!$K$42&lt;&gt;"",AD$3='Bonding Program'!$K$42),'Bonding Program'!$J$42,0)-IF(AND('Bonding Program'!$M$42&lt;&gt;"",AD$3='Bonding Program'!$M$42),'Bonding Program'!$L$42,0)-IF(AND('Bonding Program'!$P$42&lt;&gt;"",AD$3='Bonding Program'!$P$42),'Bonding Program'!$O$42,0)-IF(AND('Bonding Program'!$R$42&lt;&gt;"",AD$3='Bonding Program'!$R$42),'Bonding Program'!$Q$42,0),0)</f>
        <v>0</v>
      </c>
      <c r="AE183" s="19" t="n">
        <f aca="false">IF(AND('Bonding Program'!$S$42=1,AE$3='Bonding Program'!$H$42),'Bonding Program'!$AA$42,0)-IF(AE$3&lt;='Bonding Program'!$C$8,IF(AND('Bonding Program'!$K$42&lt;&gt;"",AE$3='Bonding Program'!$K$42),'Bonding Program'!$J$42,0)-IF(AND('Bonding Program'!$M$42&lt;&gt;"",AE$3='Bonding Program'!$M$42),'Bonding Program'!$L$42,0)-IF(AND('Bonding Program'!$P$42&lt;&gt;"",AE$3='Bonding Program'!$P$42),'Bonding Program'!$O$42,0)-IF(AND('Bonding Program'!$R$42&lt;&gt;"",AE$3='Bonding Program'!$R$42),'Bonding Program'!$Q$42,0),0)</f>
        <v>0</v>
      </c>
      <c r="AF183" s="19" t="n">
        <f aca="false">IF(AND('Bonding Program'!$S$42=1,AF$3='Bonding Program'!$H$42),'Bonding Program'!$AA$42,0)-IF(AF$3&lt;='Bonding Program'!$C$8,IF(AND('Bonding Program'!$K$42&lt;&gt;"",AF$3='Bonding Program'!$K$42),'Bonding Program'!$J$42,0)-IF(AND('Bonding Program'!$M$42&lt;&gt;"",AF$3='Bonding Program'!$M$42),'Bonding Program'!$L$42,0)-IF(AND('Bonding Program'!$P$42&lt;&gt;"",AF$3='Bonding Program'!$P$42),'Bonding Program'!$O$42,0)-IF(AND('Bonding Program'!$R$42&lt;&gt;"",AF$3='Bonding Program'!$R$42),'Bonding Program'!$Q$42,0),0)</f>
        <v>0</v>
      </c>
      <c r="AG183" s="19" t="n">
        <f aca="false">IF(AND('Bonding Program'!$S$42=1,AG$3='Bonding Program'!$H$42),'Bonding Program'!$AA$42,0)-IF(AG$3&lt;='Bonding Program'!$C$8,IF(AND('Bonding Program'!$K$42&lt;&gt;"",AG$3='Bonding Program'!$K$42),'Bonding Program'!$J$42,0)-IF(AND('Bonding Program'!$M$42&lt;&gt;"",AG$3='Bonding Program'!$M$42),'Bonding Program'!$L$42,0)-IF(AND('Bonding Program'!$P$42&lt;&gt;"",AG$3='Bonding Program'!$P$42),'Bonding Program'!$O$42,0)-IF(AND('Bonding Program'!$R$42&lt;&gt;"",AG$3='Bonding Program'!$R$42),'Bonding Program'!$Q$42,0),0)</f>
        <v>0</v>
      </c>
      <c r="AH183" s="19" t="n">
        <f aca="false">IF(AND('Bonding Program'!$S$42=1,AH$3='Bonding Program'!$H$42),'Bonding Program'!$AA$42,0)-IF(AH$3&lt;='Bonding Program'!$C$8,IF(AND('Bonding Program'!$K$42&lt;&gt;"",AH$3='Bonding Program'!$K$42),'Bonding Program'!$J$42,0)-IF(AND('Bonding Program'!$M$42&lt;&gt;"",AH$3='Bonding Program'!$M$42),'Bonding Program'!$L$42,0)-IF(AND('Bonding Program'!$P$42&lt;&gt;"",AH$3='Bonding Program'!$P$42),'Bonding Program'!$O$42,0)-IF(AND('Bonding Program'!$R$42&lt;&gt;"",AH$3='Bonding Program'!$R$42),'Bonding Program'!$Q$42,0),0)</f>
        <v>0</v>
      </c>
      <c r="AI183" s="19" t="n">
        <f aca="false">IF(AND('Bonding Program'!$S$42=1,AI$3='Bonding Program'!$H$42),'Bonding Program'!$AA$42,0)-IF(AI$3&lt;='Bonding Program'!$C$8,IF(AND('Bonding Program'!$K$42&lt;&gt;"",AI$3='Bonding Program'!$K$42),'Bonding Program'!$J$42,0)-IF(AND('Bonding Program'!$M$42&lt;&gt;"",AI$3='Bonding Program'!$M$42),'Bonding Program'!$L$42,0)-IF(AND('Bonding Program'!$P$42&lt;&gt;"",AI$3='Bonding Program'!$P$42),'Bonding Program'!$O$42,0)-IF(AND('Bonding Program'!$R$42&lt;&gt;"",AI$3='Bonding Program'!$R$42),'Bonding Program'!$Q$42,0),0)</f>
        <v>0</v>
      </c>
      <c r="AJ183" s="19" t="n">
        <f aca="false">IF(AND('Bonding Program'!$S$42=1,AJ$3='Bonding Program'!$H$42),'Bonding Program'!$AA$42,0)-IF(AJ$3&lt;='Bonding Program'!$C$8,IF(AND('Bonding Program'!$K$42&lt;&gt;"",AJ$3='Bonding Program'!$K$42),'Bonding Program'!$J$42,0)-IF(AND('Bonding Program'!$M$42&lt;&gt;"",AJ$3='Bonding Program'!$M$42),'Bonding Program'!$L$42,0)-IF(AND('Bonding Program'!$P$42&lt;&gt;"",AJ$3='Bonding Program'!$P$42),'Bonding Program'!$O$42,0)-IF(AND('Bonding Program'!$R$42&lt;&gt;"",AJ$3='Bonding Program'!$R$42),'Bonding Program'!$Q$42,0),0)</f>
        <v>0</v>
      </c>
      <c r="AK183" s="19" t="n">
        <f aca="false">IF(AND('Bonding Program'!$S$42=1,AK$3='Bonding Program'!$H$42),'Bonding Program'!$AA$42,0)-IF(AK$3&lt;='Bonding Program'!$C$8,IF(AND('Bonding Program'!$K$42&lt;&gt;"",AK$3='Bonding Program'!$K$42),'Bonding Program'!$J$42,0)-IF(AND('Bonding Program'!$M$42&lt;&gt;"",AK$3='Bonding Program'!$M$42),'Bonding Program'!$L$42,0)-IF(AND('Bonding Program'!$P$42&lt;&gt;"",AK$3='Bonding Program'!$P$42),'Bonding Program'!$O$42,0)-IF(AND('Bonding Program'!$R$42&lt;&gt;"",AK$3='Bonding Program'!$R$42),'Bonding Program'!$Q$42,0),0)</f>
        <v>0</v>
      </c>
      <c r="AL183" s="19" t="n">
        <f aca="false">IF(AND('Bonding Program'!$S$42=1,AL$3='Bonding Program'!$H$42),'Bonding Program'!$AA$42,0)-IF(AL$3&lt;='Bonding Program'!$C$8,IF(AND('Bonding Program'!$K$42&lt;&gt;"",AL$3='Bonding Program'!$K$42),'Bonding Program'!$J$42,0)-IF(AND('Bonding Program'!$M$42&lt;&gt;"",AL$3='Bonding Program'!$M$42),'Bonding Program'!$L$42,0)-IF(AND('Bonding Program'!$P$42&lt;&gt;"",AL$3='Bonding Program'!$P$42),'Bonding Program'!$O$42,0)-IF(AND('Bonding Program'!$R$42&lt;&gt;"",AL$3='Bonding Program'!$R$42),'Bonding Program'!$Q$42,0),0)</f>
        <v>0</v>
      </c>
      <c r="AM183" s="19" t="n">
        <f aca="false">IF(AND('Bonding Program'!$S$42=1,AM$3='Bonding Program'!$H$42),'Bonding Program'!$AA$42,0)-IF(AM$3&lt;='Bonding Program'!$C$8,IF(AND('Bonding Program'!$K$42&lt;&gt;"",AM$3='Bonding Program'!$K$42),'Bonding Program'!$J$42,0)-IF(AND('Bonding Program'!$M$42&lt;&gt;"",AM$3='Bonding Program'!$M$42),'Bonding Program'!$L$42,0)-IF(AND('Bonding Program'!$P$42&lt;&gt;"",AM$3='Bonding Program'!$P$42),'Bonding Program'!$O$42,0)-IF(AND('Bonding Program'!$R$42&lt;&gt;"",AM$3='Bonding Program'!$R$42),'Bonding Program'!$Q$42,0),0)</f>
        <v>0</v>
      </c>
      <c r="AN183" s="19" t="n">
        <f aca="false">IF(AND('Bonding Program'!$S$42=1,AN$3='Bonding Program'!$H$42),'Bonding Program'!$AA$42,0)-IF(AN$3&lt;='Bonding Program'!$C$8,IF(AND('Bonding Program'!$K$42&lt;&gt;"",AN$3='Bonding Program'!$K$42),'Bonding Program'!$J$42,0)-IF(AND('Bonding Program'!$M$42&lt;&gt;"",AN$3='Bonding Program'!$M$42),'Bonding Program'!$L$42,0)-IF(AND('Bonding Program'!$P$42&lt;&gt;"",AN$3='Bonding Program'!$P$42),'Bonding Program'!$O$42,0)-IF(AND('Bonding Program'!$R$42&lt;&gt;"",AN$3='Bonding Program'!$R$42),'Bonding Program'!$Q$42,0),0)</f>
        <v>0</v>
      </c>
      <c r="AO183" s="19" t="n">
        <f aca="false">IF(AND('Bonding Program'!$S$42=1,AO$3='Bonding Program'!$H$42),'Bonding Program'!$AA$42,0)-IF(AO$3&lt;='Bonding Program'!$C$8,IF(AND('Bonding Program'!$K$42&lt;&gt;"",AO$3='Bonding Program'!$K$42),'Bonding Program'!$J$42,0)-IF(AND('Bonding Program'!$M$42&lt;&gt;"",AO$3='Bonding Program'!$M$42),'Bonding Program'!$L$42,0)-IF(AND('Bonding Program'!$P$42&lt;&gt;"",AO$3='Bonding Program'!$P$42),'Bonding Program'!$O$42,0)-IF(AND('Bonding Program'!$R$42&lt;&gt;"",AO$3='Bonding Program'!$R$42),'Bonding Program'!$Q$42,0),0)</f>
        <v>0</v>
      </c>
      <c r="AP183" s="19" t="n">
        <f aca="false">IF(AND('Bonding Program'!$S$42=1,AP$3='Bonding Program'!$H$42),'Bonding Program'!$AA$42,0)-IF(AP$3&lt;='Bonding Program'!$C$8,IF(AND('Bonding Program'!$K$42&lt;&gt;"",AP$3='Bonding Program'!$K$42),'Bonding Program'!$J$42,0)-IF(AND('Bonding Program'!$M$42&lt;&gt;"",AP$3='Bonding Program'!$M$42),'Bonding Program'!$L$42,0)-IF(AND('Bonding Program'!$P$42&lt;&gt;"",AP$3='Bonding Program'!$P$42),'Bonding Program'!$O$42,0)-IF(AND('Bonding Program'!$R$42&lt;&gt;"",AP$3='Bonding Program'!$R$42),'Bonding Program'!$Q$42,0),0)</f>
        <v>0</v>
      </c>
      <c r="AQ183" s="19" t="n">
        <f aca="false">IF(AND('Bonding Program'!$S$42=1,AQ$3='Bonding Program'!$H$42),'Bonding Program'!$AA$42,0)-IF(AQ$3&lt;='Bonding Program'!$C$8,IF(AND('Bonding Program'!$K$42&lt;&gt;"",AQ$3='Bonding Program'!$K$42),'Bonding Program'!$J$42,0)-IF(AND('Bonding Program'!$M$42&lt;&gt;"",AQ$3='Bonding Program'!$M$42),'Bonding Program'!$L$42,0)-IF(AND('Bonding Program'!$P$42&lt;&gt;"",AQ$3='Bonding Program'!$P$42),'Bonding Program'!$O$42,0)-IF(AND('Bonding Program'!$R$42&lt;&gt;"",AQ$3='Bonding Program'!$R$42),'Bonding Program'!$Q$42,0),0)</f>
        <v>0</v>
      </c>
      <c r="AR183" s="19" t="n">
        <f aca="false">IF(AND('Bonding Program'!$S$42=1,AR$3='Bonding Program'!$H$42),'Bonding Program'!$AA$42,0)-IF(AR$3&lt;='Bonding Program'!$C$8,IF(AND('Bonding Program'!$K$42&lt;&gt;"",AR$3='Bonding Program'!$K$42),'Bonding Program'!$J$42,0)-IF(AND('Bonding Program'!$M$42&lt;&gt;"",AR$3='Bonding Program'!$M$42),'Bonding Program'!$L$42,0)-IF(AND('Bonding Program'!$P$42&lt;&gt;"",AR$3='Bonding Program'!$P$42),'Bonding Program'!$O$42,0)-IF(AND('Bonding Program'!$R$42&lt;&gt;"",AR$3='Bonding Program'!$R$42),'Bonding Program'!$Q$42,0),0)</f>
        <v>0</v>
      </c>
      <c r="AS183" s="19" t="n">
        <f aca="false">IF(AND('Bonding Program'!$S$42=1,AS$3='Bonding Program'!$H$42),'Bonding Program'!$AA$42,0)-IF(AS$3&lt;='Bonding Program'!$C$8,IF(AND('Bonding Program'!$K$42&lt;&gt;"",AS$3='Bonding Program'!$K$42),'Bonding Program'!$J$42,0)-IF(AND('Bonding Program'!$M$42&lt;&gt;"",AS$3='Bonding Program'!$M$42),'Bonding Program'!$L$42,0)-IF(AND('Bonding Program'!$P$42&lt;&gt;"",AS$3='Bonding Program'!$P$42),'Bonding Program'!$O$42,0)-IF(AND('Bonding Program'!$R$42&lt;&gt;"",AS$3='Bonding Program'!$R$42),'Bonding Program'!$Q$42,0),0)</f>
        <v>0</v>
      </c>
      <c r="AT183" s="19" t="n">
        <f aca="false">IF(AND('Bonding Program'!$S$42=1,AT$3='Bonding Program'!$H$42),'Bonding Program'!$AA$42,0)-IF(AT$3&lt;='Bonding Program'!$C$8,IF(AND('Bonding Program'!$K$42&lt;&gt;"",AT$3='Bonding Program'!$K$42),'Bonding Program'!$J$42,0)-IF(AND('Bonding Program'!$M$42&lt;&gt;"",AT$3='Bonding Program'!$M$42),'Bonding Program'!$L$42,0)-IF(AND('Bonding Program'!$P$42&lt;&gt;"",AT$3='Bonding Program'!$P$42),'Bonding Program'!$O$42,0)-IF(AND('Bonding Program'!$R$42&lt;&gt;"",AT$3='Bonding Program'!$R$42),'Bonding Program'!$Q$42,0),0)</f>
        <v>0</v>
      </c>
      <c r="AU183" s="19" t="n">
        <f aca="false">IF(AND('Bonding Program'!$S$42=1,AU$3='Bonding Program'!$H$42),'Bonding Program'!$AA$42,0)-IF(AU$3&lt;='Bonding Program'!$C$8,IF(AND('Bonding Program'!$K$42&lt;&gt;"",AU$3='Bonding Program'!$K$42),'Bonding Program'!$J$42,0)-IF(AND('Bonding Program'!$M$42&lt;&gt;"",AU$3='Bonding Program'!$M$42),'Bonding Program'!$L$42,0)-IF(AND('Bonding Program'!$P$42&lt;&gt;"",AU$3='Bonding Program'!$P$42),'Bonding Program'!$O$42,0)-IF(AND('Bonding Program'!$R$42&lt;&gt;"",AU$3='Bonding Program'!$R$42),'Bonding Program'!$Q$42,0),0)</f>
        <v>0</v>
      </c>
      <c r="AV183" s="19" t="n">
        <f aca="false">IF(AND('Bonding Program'!$S$42=1,AV$3='Bonding Program'!$H$42),'Bonding Program'!$AA$42,0)-IF(AV$3&lt;='Bonding Program'!$C$8,IF(AND('Bonding Program'!$K$42&lt;&gt;"",AV$3='Bonding Program'!$K$42),'Bonding Program'!$J$42,0)-IF(AND('Bonding Program'!$M$42&lt;&gt;"",AV$3='Bonding Program'!$M$42),'Bonding Program'!$L$42,0)-IF(AND('Bonding Program'!$P$42&lt;&gt;"",AV$3='Bonding Program'!$P$42),'Bonding Program'!$O$42,0)-IF(AND('Bonding Program'!$R$42&lt;&gt;"",AV$3='Bonding Program'!$R$42),'Bonding Program'!$Q$42,0),0)</f>
        <v>0</v>
      </c>
      <c r="AW183" s="19" t="n">
        <f aca="false">IF(AND('Bonding Program'!$S$42=1,AW$3='Bonding Program'!$H$42),'Bonding Program'!$AA$42,0)-IF(AW$3&lt;='Bonding Program'!$C$8,IF(AND('Bonding Program'!$K$42&lt;&gt;"",AW$3='Bonding Program'!$K$42),'Bonding Program'!$J$42,0)-IF(AND('Bonding Program'!$M$42&lt;&gt;"",AW$3='Bonding Program'!$M$42),'Bonding Program'!$L$42,0)-IF(AND('Bonding Program'!$P$42&lt;&gt;"",AW$3='Bonding Program'!$P$42),'Bonding Program'!$O$42,0)-IF(AND('Bonding Program'!$R$42&lt;&gt;"",AW$3='Bonding Program'!$R$42),'Bonding Program'!$Q$42,0),0)</f>
        <v>0</v>
      </c>
      <c r="AX183" s="19" t="n">
        <f aca="false">IF(AND('Bonding Program'!$S$42=1,AX$3='Bonding Program'!$H$42),'Bonding Program'!$AA$42,0)-IF(AX$3&lt;='Bonding Program'!$C$8,IF(AND('Bonding Program'!$K$42&lt;&gt;"",AX$3='Bonding Program'!$K$42),'Bonding Program'!$J$42,0)-IF(AND('Bonding Program'!$M$42&lt;&gt;"",AX$3='Bonding Program'!$M$42),'Bonding Program'!$L$42,0)-IF(AND('Bonding Program'!$P$42&lt;&gt;"",AX$3='Bonding Program'!$P$42),'Bonding Program'!$O$42,0)-IF(AND('Bonding Program'!$R$42&lt;&gt;"",AX$3='Bonding Program'!$R$42),'Bonding Program'!$Q$42,0),0)</f>
        <v>0</v>
      </c>
      <c r="AY183" s="19" t="n">
        <f aca="false">IF(AND('Bonding Program'!$S$42=1,AY$3='Bonding Program'!$H$42),'Bonding Program'!$AA$42,0)-IF(AY$3&lt;='Bonding Program'!$C$8,IF(AND('Bonding Program'!$K$42&lt;&gt;"",AY$3='Bonding Program'!$K$42),'Bonding Program'!$J$42,0)-IF(AND('Bonding Program'!$M$42&lt;&gt;"",AY$3='Bonding Program'!$M$42),'Bonding Program'!$L$42,0)-IF(AND('Bonding Program'!$P$42&lt;&gt;"",AY$3='Bonding Program'!$P$42),'Bonding Program'!$O$42,0)-IF(AND('Bonding Program'!$R$42&lt;&gt;"",AY$3='Bonding Program'!$R$42),'Bonding Program'!$Q$42,0),0)</f>
        <v>0</v>
      </c>
      <c r="AZ183" s="19" t="n">
        <f aca="false">IF(AND('Bonding Program'!$S$42=1,AZ$3='Bonding Program'!$H$42),'Bonding Program'!$AA$42,0)-IF(AZ$3&lt;='Bonding Program'!$C$8,IF(AND('Bonding Program'!$K$42&lt;&gt;"",AZ$3='Bonding Program'!$K$42),'Bonding Program'!$J$42,0)-IF(AND('Bonding Program'!$M$42&lt;&gt;"",AZ$3='Bonding Program'!$M$42),'Bonding Program'!$L$42,0)-IF(AND('Bonding Program'!$P$42&lt;&gt;"",AZ$3='Bonding Program'!$P$42),'Bonding Program'!$O$42,0)-IF(AND('Bonding Program'!$R$42&lt;&gt;"",AZ$3='Bonding Program'!$R$42),'Bonding Program'!$Q$42,0),0)</f>
        <v>0</v>
      </c>
      <c r="BA183" s="19" t="n">
        <f aca="false">IF(AND('Bonding Program'!$S$42=1,BA$3='Bonding Program'!$H$42),'Bonding Program'!$AA$42,0)-IF(BA$3&lt;='Bonding Program'!$C$8,IF(AND('Bonding Program'!$K$42&lt;&gt;"",BA$3='Bonding Program'!$K$42),'Bonding Program'!$J$42,0)-IF(AND('Bonding Program'!$M$42&lt;&gt;"",BA$3='Bonding Program'!$M$42),'Bonding Program'!$L$42,0)-IF(AND('Bonding Program'!$P$42&lt;&gt;"",BA$3='Bonding Program'!$P$42),'Bonding Program'!$O$42,0)-IF(AND('Bonding Program'!$R$42&lt;&gt;"",BA$3='Bonding Program'!$R$42),'Bonding Program'!$Q$42,0),0)</f>
        <v>0</v>
      </c>
      <c r="BB183" s="19" t="n">
        <f aca="false">IF(AND('Bonding Program'!$S$42=1,BB$3='Bonding Program'!$H$42),'Bonding Program'!$AA$42,0)-IF(BB$3&lt;='Bonding Program'!$C$8,IF(AND('Bonding Program'!$K$42&lt;&gt;"",BB$3='Bonding Program'!$K$42),'Bonding Program'!$J$42,0)-IF(AND('Bonding Program'!$M$42&lt;&gt;"",BB$3='Bonding Program'!$M$42),'Bonding Program'!$L$42,0)-IF(AND('Bonding Program'!$P$42&lt;&gt;"",BB$3='Bonding Program'!$P$42),'Bonding Program'!$O$42,0)-IF(AND('Bonding Program'!$R$42&lt;&gt;"",BB$3='Bonding Program'!$R$42),'Bonding Program'!$Q$42,0),0)</f>
        <v>0</v>
      </c>
      <c r="BC183" s="19" t="n">
        <f aca="false">IF(AND('Bonding Program'!$S$42=1,BC$3='Bonding Program'!$H$42),'Bonding Program'!$AA$42,0)-IF(BC$3&lt;='Bonding Program'!$C$8,IF(AND('Bonding Program'!$K$42&lt;&gt;"",BC$3='Bonding Program'!$K$42),'Bonding Program'!$J$42,0)-IF(AND('Bonding Program'!$M$42&lt;&gt;"",BC$3='Bonding Program'!$M$42),'Bonding Program'!$L$42,0)-IF(AND('Bonding Program'!$P$42&lt;&gt;"",BC$3='Bonding Program'!$P$42),'Bonding Program'!$O$42,0)-IF(AND('Bonding Program'!$R$42&lt;&gt;"",BC$3='Bonding Program'!$R$42),'Bonding Program'!$Q$42,0),0)</f>
        <v>0</v>
      </c>
      <c r="BD183" s="19" t="n">
        <f aca="false">IF(AND('Bonding Program'!$S$42=1,BD$3='Bonding Program'!$H$42),'Bonding Program'!$AA$42,0)-IF(BD$3&lt;='Bonding Program'!$C$8,IF(AND('Bonding Program'!$K$42&lt;&gt;"",BD$3='Bonding Program'!$K$42),'Bonding Program'!$J$42,0)-IF(AND('Bonding Program'!$M$42&lt;&gt;"",BD$3='Bonding Program'!$M$42),'Bonding Program'!$L$42,0)-IF(AND('Bonding Program'!$P$42&lt;&gt;"",BD$3='Bonding Program'!$P$42),'Bonding Program'!$O$42,0)-IF(AND('Bonding Program'!$R$42&lt;&gt;"",BD$3='Bonding Program'!$R$42),'Bonding Program'!$Q$42,0),0)</f>
        <v>0</v>
      </c>
      <c r="BE183" s="19" t="n">
        <f aca="false">IF(AND('Bonding Program'!$S$42=1,BE$3='Bonding Program'!$H$42),'Bonding Program'!$AA$42,0)-IF(BE$3&lt;='Bonding Program'!$C$8,IF(AND('Bonding Program'!$K$42&lt;&gt;"",BE$3='Bonding Program'!$K$42),'Bonding Program'!$J$42,0)-IF(AND('Bonding Program'!$M$42&lt;&gt;"",BE$3='Bonding Program'!$M$42),'Bonding Program'!$L$42,0)-IF(AND('Bonding Program'!$P$42&lt;&gt;"",BE$3='Bonding Program'!$P$42),'Bonding Program'!$O$42,0)-IF(AND('Bonding Program'!$R$42&lt;&gt;"",BE$3='Bonding Program'!$R$42),'Bonding Program'!$Q$42,0),0)</f>
        <v>0</v>
      </c>
      <c r="BF183" s="19" t="n">
        <f aca="false">IF(AND('Bonding Program'!$S$42=1,BF$3='Bonding Program'!$H$42),'Bonding Program'!$AA$42,0)-IF(BF$3&lt;='Bonding Program'!$C$8,IF(AND('Bonding Program'!$K$42&lt;&gt;"",BF$3='Bonding Program'!$K$42),'Bonding Program'!$J$42,0)-IF(AND('Bonding Program'!$M$42&lt;&gt;"",BF$3='Bonding Program'!$M$42),'Bonding Program'!$L$42,0)-IF(AND('Bonding Program'!$P$42&lt;&gt;"",BF$3='Bonding Program'!$P$42),'Bonding Program'!$O$42,0)-IF(AND('Bonding Program'!$R$42&lt;&gt;"",BF$3='Bonding Program'!$R$42),'Bonding Program'!$Q$42,0),0)</f>
        <v>0</v>
      </c>
      <c r="BG183" s="19" t="n">
        <f aca="false">IF(AND('Bonding Program'!$S$42=1,BG$3='Bonding Program'!$H$42),'Bonding Program'!$AA$42,0)-IF(BG$3&lt;='Bonding Program'!$C$8,IF(AND('Bonding Program'!$K$42&lt;&gt;"",BG$3='Bonding Program'!$K$42),'Bonding Program'!$J$42,0)-IF(AND('Bonding Program'!$M$42&lt;&gt;"",BG$3='Bonding Program'!$M$42),'Bonding Program'!$L$42,0)-IF(AND('Bonding Program'!$P$42&lt;&gt;"",BG$3='Bonding Program'!$P$42),'Bonding Program'!$O$42,0)-IF(AND('Bonding Program'!$R$42&lt;&gt;"",BG$3='Bonding Program'!$R$42),'Bonding Program'!$Q$42,0),0)</f>
        <v>0</v>
      </c>
      <c r="BH183" s="19" t="n">
        <f aca="false">IF(AND('Bonding Program'!$S$42=1,BH$3='Bonding Program'!$H$42),'Bonding Program'!$AA$42,0)-IF(BH$3&lt;='Bonding Program'!$C$8,IF(AND('Bonding Program'!$K$42&lt;&gt;"",BH$3='Bonding Program'!$K$42),'Bonding Program'!$J$42,0)-IF(AND('Bonding Program'!$M$42&lt;&gt;"",BH$3='Bonding Program'!$M$42),'Bonding Program'!$L$42,0)-IF(AND('Bonding Program'!$P$42&lt;&gt;"",BH$3='Bonding Program'!$P$42),'Bonding Program'!$O$42,0)-IF(AND('Bonding Program'!$R$42&lt;&gt;"",BH$3='Bonding Program'!$R$42),'Bonding Program'!$Q$42,0),0)</f>
        <v>0</v>
      </c>
      <c r="BI183" s="19" t="n">
        <f aca="false">IF(AND('Bonding Program'!$S$42=1,BI$3='Bonding Program'!$H$42),'Bonding Program'!$AA$42,0)-IF(BI$3&lt;='Bonding Program'!$C$8,IF(AND('Bonding Program'!$K$42&lt;&gt;"",BI$3='Bonding Program'!$K$42),'Bonding Program'!$J$42,0)-IF(AND('Bonding Program'!$M$42&lt;&gt;"",BI$3='Bonding Program'!$M$42),'Bonding Program'!$L$42,0)-IF(AND('Bonding Program'!$P$42&lt;&gt;"",BI$3='Bonding Program'!$P$42),'Bonding Program'!$O$42,0)-IF(AND('Bonding Program'!$R$42&lt;&gt;"",BI$3='Bonding Program'!$R$42),'Bonding Program'!$Q$42,0),0)</f>
        <v>0</v>
      </c>
      <c r="BJ183" s="19" t="n">
        <f aca="false">IF(AND('Bonding Program'!$S$42=1,BJ$3='Bonding Program'!$H$42),'Bonding Program'!$AA$42,0)-IF(BJ$3&lt;='Bonding Program'!$C$8,IF(AND('Bonding Program'!$K$42&lt;&gt;"",BJ$3='Bonding Program'!$K$42),'Bonding Program'!$J$42,0)-IF(AND('Bonding Program'!$M$42&lt;&gt;"",BJ$3='Bonding Program'!$M$42),'Bonding Program'!$L$42,0)-IF(AND('Bonding Program'!$P$42&lt;&gt;"",BJ$3='Bonding Program'!$P$42),'Bonding Program'!$O$42,0)-IF(AND('Bonding Program'!$R$42&lt;&gt;"",BJ$3='Bonding Program'!$R$42),'Bonding Program'!$Q$42,0),0)</f>
        <v>0</v>
      </c>
      <c r="BK183" s="19" t="n">
        <f aca="false">IF(AND('Bonding Program'!$S$42=1,BK$3='Bonding Program'!$H$42),'Bonding Program'!$AA$42,0)-IF(BK$3&lt;='Bonding Program'!$C$8,IF(AND('Bonding Program'!$K$42&lt;&gt;"",BK$3='Bonding Program'!$K$42),'Bonding Program'!$J$42,0)-IF(AND('Bonding Program'!$M$42&lt;&gt;"",BK$3='Bonding Program'!$M$42),'Bonding Program'!$L$42,0)-IF(AND('Bonding Program'!$P$42&lt;&gt;"",BK$3='Bonding Program'!$P$42),'Bonding Program'!$O$42,0)-IF(AND('Bonding Program'!$R$42&lt;&gt;"",BK$3='Bonding Program'!$R$42),'Bonding Program'!$Q$42,0),0)</f>
        <v>0</v>
      </c>
      <c r="BL183" s="19" t="n">
        <f aca="false">IF(AND('Bonding Program'!$S$42=1,BL$3='Bonding Program'!$H$42),'Bonding Program'!$AA$42,0)-IF(BL$3&lt;='Bonding Program'!$C$8,IF(AND('Bonding Program'!$K$42&lt;&gt;"",BL$3='Bonding Program'!$K$42),'Bonding Program'!$J$42,0)-IF(AND('Bonding Program'!$M$42&lt;&gt;"",BL$3='Bonding Program'!$M$42),'Bonding Program'!$L$42,0)-IF(AND('Bonding Program'!$P$42&lt;&gt;"",BL$3='Bonding Program'!$P$42),'Bonding Program'!$O$42,0)-IF(AND('Bonding Program'!$R$42&lt;&gt;"",BL$3='Bonding Program'!$R$42),'Bonding Program'!$Q$42,0),0)</f>
        <v>0</v>
      </c>
      <c r="BM183" s="19" t="n">
        <f aca="false">IF(AND('Bonding Program'!$S$42=1,BM$3='Bonding Program'!$H$42),'Bonding Program'!$AA$42,0)-IF(BM$3&lt;='Bonding Program'!$C$8,IF(AND('Bonding Program'!$K$42&lt;&gt;"",BM$3='Bonding Program'!$K$42),'Bonding Program'!$J$42,0)-IF(AND('Bonding Program'!$M$42&lt;&gt;"",BM$3='Bonding Program'!$M$42),'Bonding Program'!$L$42,0)-IF(AND('Bonding Program'!$P$42&lt;&gt;"",BM$3='Bonding Program'!$P$42),'Bonding Program'!$O$42,0)-IF(AND('Bonding Program'!$R$42&lt;&gt;"",BM$3='Bonding Program'!$R$42),'Bonding Program'!$Q$42,0),0)</f>
        <v>0</v>
      </c>
      <c r="BN183" s="19" t="n">
        <f aca="false">IF(AND('Bonding Program'!$S$42=1,BN$3='Bonding Program'!$H$42),'Bonding Program'!$AA$42,0)-IF(BN$3&lt;='Bonding Program'!$C$8,IF(AND('Bonding Program'!$K$42&lt;&gt;"",BN$3='Bonding Program'!$K$42),'Bonding Program'!$J$42,0)-IF(AND('Bonding Program'!$M$42&lt;&gt;"",BN$3='Bonding Program'!$M$42),'Bonding Program'!$L$42,0)-IF(AND('Bonding Program'!$P$42&lt;&gt;"",BN$3='Bonding Program'!$P$42),'Bonding Program'!$O$42,0)-IF(AND('Bonding Program'!$R$42&lt;&gt;"",BN$3='Bonding Program'!$R$42),'Bonding Program'!$Q$42,0),0)</f>
        <v>0</v>
      </c>
      <c r="BO183" s="19" t="n">
        <f aca="false">IF(AND('Bonding Program'!$S$42=1,BO$3='Bonding Program'!$H$42),'Bonding Program'!$AA$42,0)-IF(BO$3&lt;='Bonding Program'!$C$8,IF(AND('Bonding Program'!$K$42&lt;&gt;"",BO$3='Bonding Program'!$K$42),'Bonding Program'!$J$42,0)-IF(AND('Bonding Program'!$M$42&lt;&gt;"",BO$3='Bonding Program'!$M$42),'Bonding Program'!$L$42,0)-IF(AND('Bonding Program'!$P$42&lt;&gt;"",BO$3='Bonding Program'!$P$42),'Bonding Program'!$O$42,0)-IF(AND('Bonding Program'!$R$42&lt;&gt;"",BO$3='Bonding Program'!$R$42),'Bonding Program'!$Q$42,0),0)</f>
        <v>0</v>
      </c>
      <c r="BP183" s="19" t="n">
        <f aca="false">IF(AND('Bonding Program'!$S$42=1,BP$3='Bonding Program'!$H$42),'Bonding Program'!$AA$42,0)-IF(BP$3&lt;='Bonding Program'!$C$8,IF(AND('Bonding Program'!$K$42&lt;&gt;"",BP$3='Bonding Program'!$K$42),'Bonding Program'!$J$42,0)-IF(AND('Bonding Program'!$M$42&lt;&gt;"",BP$3='Bonding Program'!$M$42),'Bonding Program'!$L$42,0)-IF(AND('Bonding Program'!$P$42&lt;&gt;"",BP$3='Bonding Program'!$P$42),'Bonding Program'!$O$42,0)-IF(AND('Bonding Program'!$R$42&lt;&gt;"",BP$3='Bonding Program'!$R$42),'Bonding Program'!$Q$42,0),0)</f>
        <v>0</v>
      </c>
      <c r="BQ183" s="19" t="n">
        <f aca="false">IF(AND('Bonding Program'!$S$42=1,BQ$3='Bonding Program'!$H$42),'Bonding Program'!$AA$42,0)-IF(BQ$3&lt;='Bonding Program'!$C$8,IF(AND('Bonding Program'!$K$42&lt;&gt;"",BQ$3='Bonding Program'!$K$42),'Bonding Program'!$J$42,0)-IF(AND('Bonding Program'!$M$42&lt;&gt;"",BQ$3='Bonding Program'!$M$42),'Bonding Program'!$L$42,0)-IF(AND('Bonding Program'!$P$42&lt;&gt;"",BQ$3='Bonding Program'!$P$42),'Bonding Program'!$O$42,0)-IF(AND('Bonding Program'!$R$42&lt;&gt;"",BQ$3='Bonding Program'!$R$42),'Bonding Program'!$Q$42,0),0)</f>
        <v>0</v>
      </c>
      <c r="BR183" s="19" t="n">
        <f aca="false">IF(AND('Bonding Program'!$S$42=1,BR$3='Bonding Program'!$H$42),'Bonding Program'!$AA$42,0)-IF(BR$3&lt;='Bonding Program'!$C$8,IF(AND('Bonding Program'!$K$42&lt;&gt;"",BR$3='Bonding Program'!$K$42),'Bonding Program'!$J$42,0)-IF(AND('Bonding Program'!$M$42&lt;&gt;"",BR$3='Bonding Program'!$M$42),'Bonding Program'!$L$42,0)-IF(AND('Bonding Program'!$P$42&lt;&gt;"",BR$3='Bonding Program'!$P$42),'Bonding Program'!$O$42,0)-IF(AND('Bonding Program'!$R$42&lt;&gt;"",BR$3='Bonding Program'!$R$42),'Bonding Program'!$Q$42,0),0)</f>
        <v>0</v>
      </c>
      <c r="BS183" s="19" t="n">
        <f aca="false">IF(AND('Bonding Program'!$S$42=1,BS$3='Bonding Program'!$H$42),'Bonding Program'!$AA$42,0)-IF(BS$3&lt;='Bonding Program'!$C$8,IF(AND('Bonding Program'!$K$42&lt;&gt;"",BS$3='Bonding Program'!$K$42),'Bonding Program'!$J$42,0)-IF(AND('Bonding Program'!$M$42&lt;&gt;"",BS$3='Bonding Program'!$M$42),'Bonding Program'!$L$42,0)-IF(AND('Bonding Program'!$P$42&lt;&gt;"",BS$3='Bonding Program'!$P$42),'Bonding Program'!$O$42,0)-IF(AND('Bonding Program'!$R$42&lt;&gt;"",BS$3='Bonding Program'!$R$42),'Bonding Program'!$Q$42,0),0)</f>
        <v>0</v>
      </c>
      <c r="BT183" s="19" t="n">
        <f aca="false">IF(AND('Bonding Program'!$S$42=1,BT$3='Bonding Program'!$H$42),'Bonding Program'!$AA$42,0)-IF(BT$3&lt;='Bonding Program'!$C$8,IF(AND('Bonding Program'!$K$42&lt;&gt;"",BT$3='Bonding Program'!$K$42),'Bonding Program'!$J$42,0)-IF(AND('Bonding Program'!$M$42&lt;&gt;"",BT$3='Bonding Program'!$M$42),'Bonding Program'!$L$42,0)-IF(AND('Bonding Program'!$P$42&lt;&gt;"",BT$3='Bonding Program'!$P$42),'Bonding Program'!$O$42,0)-IF(AND('Bonding Program'!$R$42&lt;&gt;"",BT$3='Bonding Program'!$R$42),'Bonding Program'!$Q$42,0),0)</f>
        <v>0</v>
      </c>
      <c r="BU183" s="19" t="n">
        <f aca="false">IF(AND('Bonding Program'!$S$42=1,BU$3='Bonding Program'!$H$42),'Bonding Program'!$AA$42,0)-IF(BU$3&lt;='Bonding Program'!$C$8,IF(AND('Bonding Program'!$K$42&lt;&gt;"",BU$3='Bonding Program'!$K$42),'Bonding Program'!$J$42,0)-IF(AND('Bonding Program'!$M$42&lt;&gt;"",BU$3='Bonding Program'!$M$42),'Bonding Program'!$L$42,0)-IF(AND('Bonding Program'!$P$42&lt;&gt;"",BU$3='Bonding Program'!$P$42),'Bonding Program'!$O$42,0)-IF(AND('Bonding Program'!$R$42&lt;&gt;"",BU$3='Bonding Program'!$R$42),'Bonding Program'!$Q$42,0),0)</f>
        <v>0</v>
      </c>
      <c r="BV183" s="19" t="n">
        <f aca="false">IF(AND('Bonding Program'!$S$42=1,BV$3='Bonding Program'!$H$42),'Bonding Program'!$AA$42,0)-IF(BV$3&lt;='Bonding Program'!$C$8,IF(AND('Bonding Program'!$K$42&lt;&gt;"",BV$3='Bonding Program'!$K$42),'Bonding Program'!$J$42,0)-IF(AND('Bonding Program'!$M$42&lt;&gt;"",BV$3='Bonding Program'!$M$42),'Bonding Program'!$L$42,0)-IF(AND('Bonding Program'!$P$42&lt;&gt;"",BV$3='Bonding Program'!$P$42),'Bonding Program'!$O$42,0)-IF(AND('Bonding Program'!$R$42&lt;&gt;"",BV$3='Bonding Program'!$R$42),'Bonding Program'!$Q$42,0),0)</f>
        <v>0</v>
      </c>
      <c r="BW183" s="19" t="n">
        <f aca="false">IF(AND('Bonding Program'!$S$42=1,BW$3='Bonding Program'!$H$42),'Bonding Program'!$AA$42,0)-IF(BW$3&lt;='Bonding Program'!$C$8,IF(AND('Bonding Program'!$K$42&lt;&gt;"",BW$3='Bonding Program'!$K$42),'Bonding Program'!$J$42,0)-IF(AND('Bonding Program'!$M$42&lt;&gt;"",BW$3='Bonding Program'!$M$42),'Bonding Program'!$L$42,0)-IF(AND('Bonding Program'!$P$42&lt;&gt;"",BW$3='Bonding Program'!$P$42),'Bonding Program'!$O$42,0)-IF(AND('Bonding Program'!$R$42&lt;&gt;"",BW$3='Bonding Program'!$R$42),'Bonding Program'!$Q$42,0),0)</f>
        <v>0</v>
      </c>
      <c r="BX183" s="19" t="n">
        <f aca="false">IF(AND('Bonding Program'!$S$42=1,BX$3='Bonding Program'!$H$42),'Bonding Program'!$AA$42,0)-IF(BX$3&lt;='Bonding Program'!$C$8,IF(AND('Bonding Program'!$K$42&lt;&gt;"",BX$3='Bonding Program'!$K$42),'Bonding Program'!$J$42,0)-IF(AND('Bonding Program'!$M$42&lt;&gt;"",BX$3='Bonding Program'!$M$42),'Bonding Program'!$L$42,0)-IF(AND('Bonding Program'!$P$42&lt;&gt;"",BX$3='Bonding Program'!$P$42),'Bonding Program'!$O$42,0)-IF(AND('Bonding Program'!$R$42&lt;&gt;"",BX$3='Bonding Program'!$R$42),'Bonding Program'!$Q$42,0),0)</f>
        <v>0</v>
      </c>
      <c r="BY183" s="19" t="n">
        <f aca="false">IF(AND('Bonding Program'!$S$42=1,BY$3='Bonding Program'!$H$42),'Bonding Program'!$AA$42,0)-IF(BY$3&lt;='Bonding Program'!$C$8,IF(AND('Bonding Program'!$K$42&lt;&gt;"",BY$3='Bonding Program'!$K$42),'Bonding Program'!$J$42,0)-IF(AND('Bonding Program'!$M$42&lt;&gt;"",BY$3='Bonding Program'!$M$42),'Bonding Program'!$L$42,0)-IF(AND('Bonding Program'!$P$42&lt;&gt;"",BY$3='Bonding Program'!$P$42),'Bonding Program'!$O$42,0)-IF(AND('Bonding Program'!$R$42&lt;&gt;"",BY$3='Bonding Program'!$R$42),'Bonding Program'!$Q$42,0),0)</f>
        <v>0</v>
      </c>
      <c r="BZ183" s="19" t="n">
        <f aca="false">IF(AND('Bonding Program'!$S$42=1,BZ$3='Bonding Program'!$H$42),'Bonding Program'!$AA$42,0)-IF(BZ$3&lt;='Bonding Program'!$C$8,IF(AND('Bonding Program'!$K$42&lt;&gt;"",BZ$3='Bonding Program'!$K$42),'Bonding Program'!$J$42,0)-IF(AND('Bonding Program'!$M$42&lt;&gt;"",BZ$3='Bonding Program'!$M$42),'Bonding Program'!$L$42,0)-IF(AND('Bonding Program'!$P$42&lt;&gt;"",BZ$3='Bonding Program'!$P$42),'Bonding Program'!$O$42,0)-IF(AND('Bonding Program'!$R$42&lt;&gt;"",BZ$3='Bonding Program'!$R$42),'Bonding Program'!$Q$42,0),0)</f>
        <v>0</v>
      </c>
      <c r="CA183" s="19" t="n">
        <f aca="false">IF(AND('Bonding Program'!$S$42=1,CA$3='Bonding Program'!$H$42),'Bonding Program'!$AA$42,0)-IF(CA$3&lt;='Bonding Program'!$C$8,IF(AND('Bonding Program'!$K$42&lt;&gt;"",CA$3='Bonding Program'!$K$42),'Bonding Program'!$J$42,0)-IF(AND('Bonding Program'!$M$42&lt;&gt;"",CA$3='Bonding Program'!$M$42),'Bonding Program'!$L$42,0)-IF(AND('Bonding Program'!$P$42&lt;&gt;"",CA$3='Bonding Program'!$P$42),'Bonding Program'!$O$42,0)-IF(AND('Bonding Program'!$R$42&lt;&gt;"",CA$3='Bonding Program'!$R$42),'Bonding Program'!$Q$42,0),0)</f>
        <v>0</v>
      </c>
      <c r="CB183" s="19" t="n">
        <f aca="false">IF(AND('Bonding Program'!$S$42=1,CB$3='Bonding Program'!$H$42),'Bonding Program'!$AA$42,0)-IF(CB$3&lt;='Bonding Program'!$C$8,IF(AND('Bonding Program'!$K$42&lt;&gt;"",CB$3='Bonding Program'!$K$42),'Bonding Program'!$J$42,0)-IF(AND('Bonding Program'!$M$42&lt;&gt;"",CB$3='Bonding Program'!$M$42),'Bonding Program'!$L$42,0)-IF(AND('Bonding Program'!$P$42&lt;&gt;"",CB$3='Bonding Program'!$P$42),'Bonding Program'!$O$42,0)-IF(AND('Bonding Program'!$R$42&lt;&gt;"",CB$3='Bonding Program'!$R$42),'Bonding Program'!$Q$42,0),0)</f>
        <v>0</v>
      </c>
      <c r="CC183" s="19" t="n">
        <f aca="false">IF(AND('Bonding Program'!$S$42=1,CC$3='Bonding Program'!$H$42),'Bonding Program'!$AA$42,0)-IF(CC$3&lt;='Bonding Program'!$C$8,IF(AND('Bonding Program'!$K$42&lt;&gt;"",CC$3='Bonding Program'!$K$42),'Bonding Program'!$J$42,0)-IF(AND('Bonding Program'!$M$42&lt;&gt;"",CC$3='Bonding Program'!$M$42),'Bonding Program'!$L$42,0)-IF(AND('Bonding Program'!$P$42&lt;&gt;"",CC$3='Bonding Program'!$P$42),'Bonding Program'!$O$42,0)-IF(AND('Bonding Program'!$R$42&lt;&gt;"",CC$3='Bonding Program'!$R$42),'Bonding Program'!$Q$42,0),0)</f>
        <v>0</v>
      </c>
      <c r="CD183" s="19" t="n">
        <f aca="false">IF(AND('Bonding Program'!$S$42=1,CD$3='Bonding Program'!$H$42),'Bonding Program'!$AA$42,0)-IF(CD$3&lt;='Bonding Program'!$C$8,IF(AND('Bonding Program'!$K$42&lt;&gt;"",CD$3='Bonding Program'!$K$42),'Bonding Program'!$J$42,0)-IF(AND('Bonding Program'!$M$42&lt;&gt;"",CD$3='Bonding Program'!$M$42),'Bonding Program'!$L$42,0)-IF(AND('Bonding Program'!$P$42&lt;&gt;"",CD$3='Bonding Program'!$P$42),'Bonding Program'!$O$42,0)-IF(AND('Bonding Program'!$R$42&lt;&gt;"",CD$3='Bonding Program'!$R$42),'Bonding Program'!$Q$42,0),0)</f>
        <v>0</v>
      </c>
      <c r="CE183" s="19" t="n">
        <f aca="false">IF(AND('Bonding Program'!$S$42=1,CE$3='Bonding Program'!$H$42),'Bonding Program'!$AA$42,0)-IF(CE$3&lt;='Bonding Program'!$C$8,IF(AND('Bonding Program'!$K$42&lt;&gt;"",CE$3='Bonding Program'!$K$42),'Bonding Program'!$J$42,0)-IF(AND('Bonding Program'!$M$42&lt;&gt;"",CE$3='Bonding Program'!$M$42),'Bonding Program'!$L$42,0)-IF(AND('Bonding Program'!$P$42&lt;&gt;"",CE$3='Bonding Program'!$P$42),'Bonding Program'!$O$42,0)-IF(AND('Bonding Program'!$R$42&lt;&gt;"",CE$3='Bonding Program'!$R$42),'Bonding Program'!$Q$42,0),0)</f>
        <v>0</v>
      </c>
      <c r="CF183" s="19" t="n">
        <f aca="false">IF(AND('Bonding Program'!$S$42=1,CF$3='Bonding Program'!$H$42),'Bonding Program'!$AA$42,0)-IF(CF$3&lt;='Bonding Program'!$C$8,IF(AND('Bonding Program'!$K$42&lt;&gt;"",CF$3='Bonding Program'!$K$42),'Bonding Program'!$J$42,0)-IF(AND('Bonding Program'!$M$42&lt;&gt;"",CF$3='Bonding Program'!$M$42),'Bonding Program'!$L$42,0)-IF(AND('Bonding Program'!$P$42&lt;&gt;"",CF$3='Bonding Program'!$P$42),'Bonding Program'!$O$42,0)-IF(AND('Bonding Program'!$R$42&lt;&gt;"",CF$3='Bonding Program'!$R$42),'Bonding Program'!$Q$42,0),0)</f>
        <v>0</v>
      </c>
      <c r="CG183" s="19" t="n">
        <f aca="false">IF(AND('Bonding Program'!$S$42=1,CG$3='Bonding Program'!$H$42),'Bonding Program'!$AA$42,0)-IF(CG$3&lt;='Bonding Program'!$C$8,IF(AND('Bonding Program'!$K$42&lt;&gt;"",CG$3='Bonding Program'!$K$42),'Bonding Program'!$J$42,0)-IF(AND('Bonding Program'!$M$42&lt;&gt;"",CG$3='Bonding Program'!$M$42),'Bonding Program'!$L$42,0)-IF(AND('Bonding Program'!$P$42&lt;&gt;"",CG$3='Bonding Program'!$P$42),'Bonding Program'!$O$42,0)-IF(AND('Bonding Program'!$R$42&lt;&gt;"",CG$3='Bonding Program'!$R$42),'Bonding Program'!$Q$42,0),0)</f>
        <v>0</v>
      </c>
      <c r="CH183" s="19" t="n">
        <f aca="false">IF(AND('Bonding Program'!$S$42=1,CH$3='Bonding Program'!$H$42),'Bonding Program'!$AA$42,0)-IF(CH$3&lt;='Bonding Program'!$C$8,IF(AND('Bonding Program'!$K$42&lt;&gt;"",CH$3='Bonding Program'!$K$42),'Bonding Program'!$J$42,0)-IF(AND('Bonding Program'!$M$42&lt;&gt;"",CH$3='Bonding Program'!$M$42),'Bonding Program'!$L$42,0)-IF(AND('Bonding Program'!$P$42&lt;&gt;"",CH$3='Bonding Program'!$P$42),'Bonding Program'!$O$42,0)-IF(AND('Bonding Program'!$R$42&lt;&gt;"",CH$3='Bonding Program'!$R$42),'Bonding Program'!$Q$42,0),0)</f>
        <v>0</v>
      </c>
      <c r="CI183" s="19" t="n">
        <f aca="false">IF(AND('Bonding Program'!$S$42=1,CI$3='Bonding Program'!$H$42),'Bonding Program'!$AA$42,0)-IF(CI$3&lt;='Bonding Program'!$C$8,IF(AND('Bonding Program'!$K$42&lt;&gt;"",CI$3='Bonding Program'!$K$42),'Bonding Program'!$J$42,0)-IF(AND('Bonding Program'!$M$42&lt;&gt;"",CI$3='Bonding Program'!$M$42),'Bonding Program'!$L$42,0)-IF(AND('Bonding Program'!$P$42&lt;&gt;"",CI$3='Bonding Program'!$P$42),'Bonding Program'!$O$42,0)-IF(AND('Bonding Program'!$R$42&lt;&gt;"",CI$3='Bonding Program'!$R$42),'Bonding Program'!$Q$42,0),0)</f>
        <v>0</v>
      </c>
      <c r="CJ183" s="19" t="n">
        <f aca="false">IF(AND('Bonding Program'!$S$42=1,CJ$3='Bonding Program'!$H$42),'Bonding Program'!$AA$42,0)-IF(CJ$3&lt;='Bonding Program'!$C$8,IF(AND('Bonding Program'!$K$42&lt;&gt;"",CJ$3='Bonding Program'!$K$42),'Bonding Program'!$J$42,0)-IF(AND('Bonding Program'!$M$42&lt;&gt;"",CJ$3='Bonding Program'!$M$42),'Bonding Program'!$L$42,0)-IF(AND('Bonding Program'!$P$42&lt;&gt;"",CJ$3='Bonding Program'!$P$42),'Bonding Program'!$O$42,0)-IF(AND('Bonding Program'!$R$42&lt;&gt;"",CJ$3='Bonding Program'!$R$42),'Bonding Program'!$Q$42,0),0)</f>
        <v>0</v>
      </c>
      <c r="CK183" s="19" t="n">
        <f aca="false">IF(AND('Bonding Program'!$S$42=1,CK$3='Bonding Program'!$H$42),'Bonding Program'!$AA$42,0)-IF(CK$3&lt;='Bonding Program'!$C$8,IF(AND('Bonding Program'!$K$42&lt;&gt;"",CK$3='Bonding Program'!$K$42),'Bonding Program'!$J$42,0)-IF(AND('Bonding Program'!$M$42&lt;&gt;"",CK$3='Bonding Program'!$M$42),'Bonding Program'!$L$42,0)-IF(AND('Bonding Program'!$P$42&lt;&gt;"",CK$3='Bonding Program'!$P$42),'Bonding Program'!$O$42,0)-IF(AND('Bonding Program'!$R$42&lt;&gt;"",CK$3='Bonding Program'!$R$42),'Bonding Program'!$Q$42,0),0)</f>
        <v>0</v>
      </c>
      <c r="CL183" s="19" t="n">
        <f aca="false">IF(AND('Bonding Program'!$S$42=1,CL$3='Bonding Program'!$H$42),'Bonding Program'!$AA$42,0)-IF(CL$3&lt;='Bonding Program'!$C$8,IF(AND('Bonding Program'!$K$42&lt;&gt;"",CL$3='Bonding Program'!$K$42),'Bonding Program'!$J$42,0)-IF(AND('Bonding Program'!$M$42&lt;&gt;"",CL$3='Bonding Program'!$M$42),'Bonding Program'!$L$42,0)-IF(AND('Bonding Program'!$P$42&lt;&gt;"",CL$3='Bonding Program'!$P$42),'Bonding Program'!$O$42,0)-IF(AND('Bonding Program'!$R$42&lt;&gt;"",CL$3='Bonding Program'!$R$42),'Bonding Program'!$Q$42,0),0)</f>
        <v>0</v>
      </c>
      <c r="CM183" s="19" t="n">
        <f aca="false">IF(AND('Bonding Program'!$S$42=1,CM$3='Bonding Program'!$H$42),'Bonding Program'!$AA$42,0)-IF(CM$3&lt;='Bonding Program'!$C$8,IF(AND('Bonding Program'!$K$42&lt;&gt;"",CM$3='Bonding Program'!$K$42),'Bonding Program'!$J$42,0)-IF(AND('Bonding Program'!$M$42&lt;&gt;"",CM$3='Bonding Program'!$M$42),'Bonding Program'!$L$42,0)-IF(AND('Bonding Program'!$P$42&lt;&gt;"",CM$3='Bonding Program'!$P$42),'Bonding Program'!$O$42,0)-IF(AND('Bonding Program'!$R$42&lt;&gt;"",CM$3='Bonding Program'!$R$42),'Bonding Program'!$Q$42,0),0)</f>
        <v>0</v>
      </c>
      <c r="CN183" s="19" t="n">
        <f aca="false">IF(AND('Bonding Program'!$S$42=1,CN$3='Bonding Program'!$H$42),'Bonding Program'!$AA$42,0)-IF(CN$3&lt;='Bonding Program'!$C$8,IF(AND('Bonding Program'!$K$42&lt;&gt;"",CN$3='Bonding Program'!$K$42),'Bonding Program'!$J$42,0)-IF(AND('Bonding Program'!$M$42&lt;&gt;"",CN$3='Bonding Program'!$M$42),'Bonding Program'!$L$42,0)-IF(AND('Bonding Program'!$P$42&lt;&gt;"",CN$3='Bonding Program'!$P$42),'Bonding Program'!$O$42,0)-IF(AND('Bonding Program'!$R$42&lt;&gt;"",CN$3='Bonding Program'!$R$42),'Bonding Program'!$Q$42,0),0)</f>
        <v>0</v>
      </c>
      <c r="CO183" s="19" t="n">
        <f aca="false">IF(AND('Bonding Program'!$S$42=1,CO$3='Bonding Program'!$H$42),'Bonding Program'!$AA$42,0)-IF(CO$3&lt;='Bonding Program'!$C$8,IF(AND('Bonding Program'!$K$42&lt;&gt;"",CO$3='Bonding Program'!$K$42),'Bonding Program'!$J$42,0)-IF(AND('Bonding Program'!$M$42&lt;&gt;"",CO$3='Bonding Program'!$M$42),'Bonding Program'!$L$42,0)-IF(AND('Bonding Program'!$P$42&lt;&gt;"",CO$3='Bonding Program'!$P$42),'Bonding Program'!$O$42,0)-IF(AND('Bonding Program'!$R$42&lt;&gt;"",CO$3='Bonding Program'!$R$42),'Bonding Program'!$Q$42,0),0)</f>
        <v>0</v>
      </c>
      <c r="CP183" s="19" t="n">
        <f aca="false">IF(AND('Bonding Program'!$S$42=1,CP$3='Bonding Program'!$H$42),'Bonding Program'!$AA$42,0)-IF(CP$3&lt;='Bonding Program'!$C$8,IF(AND('Bonding Program'!$K$42&lt;&gt;"",CP$3='Bonding Program'!$K$42),'Bonding Program'!$J$42,0)-IF(AND('Bonding Program'!$M$42&lt;&gt;"",CP$3='Bonding Program'!$M$42),'Bonding Program'!$L$42,0)-IF(AND('Bonding Program'!$P$42&lt;&gt;"",CP$3='Bonding Program'!$P$42),'Bonding Program'!$O$42,0)-IF(AND('Bonding Program'!$R$42&lt;&gt;"",CP$3='Bonding Program'!$R$42),'Bonding Program'!$Q$42,0),0)</f>
        <v>0</v>
      </c>
      <c r="CQ183" s="19" t="n">
        <f aca="false">IF(AND('Bonding Program'!$S$42=1,CQ$3='Bonding Program'!$H$42),'Bonding Program'!$AA$42,0)-IF(CQ$3&lt;='Bonding Program'!$C$8,IF(AND('Bonding Program'!$K$42&lt;&gt;"",CQ$3='Bonding Program'!$K$42),'Bonding Program'!$J$42,0)-IF(AND('Bonding Program'!$M$42&lt;&gt;"",CQ$3='Bonding Program'!$M$42),'Bonding Program'!$L$42,0)-IF(AND('Bonding Program'!$P$42&lt;&gt;"",CQ$3='Bonding Program'!$P$42),'Bonding Program'!$O$42,0)-IF(AND('Bonding Program'!$R$42&lt;&gt;"",CQ$3='Bonding Program'!$R$42),'Bonding Program'!$Q$42,0),0)</f>
        <v>0</v>
      </c>
      <c r="CR183" s="19" t="n">
        <f aca="false">IF(AND('Bonding Program'!$S$42=1,CR$3='Bonding Program'!$H$42),'Bonding Program'!$AA$42,0)-IF(CR$3&lt;='Bonding Program'!$C$8,IF(AND('Bonding Program'!$K$42&lt;&gt;"",CR$3='Bonding Program'!$K$42),'Bonding Program'!$J$42,0)-IF(AND('Bonding Program'!$M$42&lt;&gt;"",CR$3='Bonding Program'!$M$42),'Bonding Program'!$L$42,0)-IF(AND('Bonding Program'!$P$42&lt;&gt;"",CR$3='Bonding Program'!$P$42),'Bonding Program'!$O$42,0)-IF(AND('Bonding Program'!$R$42&lt;&gt;"",CR$3='Bonding Program'!$R$42),'Bonding Program'!$Q$42,0),0)</f>
        <v>0</v>
      </c>
      <c r="CS183" s="19" t="n">
        <f aca="false">IF(AND('Bonding Program'!$S$42=1,CS$3='Bonding Program'!$H$42),'Bonding Program'!$AA$42,0)-IF(CS$3&lt;='Bonding Program'!$C$8,IF(AND('Bonding Program'!$K$42&lt;&gt;"",CS$3='Bonding Program'!$K$42),'Bonding Program'!$J$42,0)-IF(AND('Bonding Program'!$M$42&lt;&gt;"",CS$3='Bonding Program'!$M$42),'Bonding Program'!$L$42,0)-IF(AND('Bonding Program'!$P$42&lt;&gt;"",CS$3='Bonding Program'!$P$42),'Bonding Program'!$O$42,0)-IF(AND('Bonding Program'!$R$42&lt;&gt;"",CS$3='Bonding Program'!$R$42),'Bonding Program'!$Q$42,0),0)</f>
        <v>0</v>
      </c>
      <c r="CT183" s="19" t="n">
        <f aca="false">IF(AND('Bonding Program'!$S$42=1,CT$3='Bonding Program'!$H$42),'Bonding Program'!$AA$42,0)-IF(CT$3&lt;='Bonding Program'!$C$8,IF(AND('Bonding Program'!$K$42&lt;&gt;"",CT$3='Bonding Program'!$K$42),'Bonding Program'!$J$42,0)-IF(AND('Bonding Program'!$M$42&lt;&gt;"",CT$3='Bonding Program'!$M$42),'Bonding Program'!$L$42,0)-IF(AND('Bonding Program'!$P$42&lt;&gt;"",CT$3='Bonding Program'!$P$42),'Bonding Program'!$O$42,0)-IF(AND('Bonding Program'!$R$42&lt;&gt;"",CT$3='Bonding Program'!$R$42),'Bonding Program'!$Q$42,0),0)</f>
        <v>0</v>
      </c>
      <c r="CU183" s="19" t="n">
        <f aca="false">IF(AND('Bonding Program'!$S$42=1,CU$3='Bonding Program'!$H$42),'Bonding Program'!$AA$42,0)-IF(CU$3&lt;='Bonding Program'!$C$8,IF(AND('Bonding Program'!$K$42&lt;&gt;"",CU$3='Bonding Program'!$K$42),'Bonding Program'!$J$42,0)-IF(AND('Bonding Program'!$M$42&lt;&gt;"",CU$3='Bonding Program'!$M$42),'Bonding Program'!$L$42,0)-IF(AND('Bonding Program'!$P$42&lt;&gt;"",CU$3='Bonding Program'!$P$42),'Bonding Program'!$O$42,0)-IF(AND('Bonding Program'!$R$42&lt;&gt;"",CU$3='Bonding Program'!$R$42),'Bonding Program'!$Q$42,0),0)</f>
        <v>0</v>
      </c>
      <c r="CV183" s="19" t="n">
        <f aca="false">IF(AND('Bonding Program'!$S$42=1,CV$3='Bonding Program'!$H$42),'Bonding Program'!$AA$42,0)-IF(CV$3&lt;='Bonding Program'!$C$8,IF(AND('Bonding Program'!$K$42&lt;&gt;"",CV$3='Bonding Program'!$K$42),'Bonding Program'!$J$42,0)-IF(AND('Bonding Program'!$M$42&lt;&gt;"",CV$3='Bonding Program'!$M$42),'Bonding Program'!$L$42,0)-IF(AND('Bonding Program'!$P$42&lt;&gt;"",CV$3='Bonding Program'!$P$42),'Bonding Program'!$O$42,0)-IF(AND('Bonding Program'!$R$42&lt;&gt;"",CV$3='Bonding Program'!$R$42),'Bonding Program'!$Q$42,0),0)</f>
        <v>0</v>
      </c>
      <c r="CW183" s="19" t="n">
        <f aca="false">IF(AND('Bonding Program'!$S$42=1,CW$3='Bonding Program'!$H$42),'Bonding Program'!$AA$42,0)-IF(CW$3&lt;='Bonding Program'!$C$8,IF(AND('Bonding Program'!$K$42&lt;&gt;"",CW$3='Bonding Program'!$K$42),'Bonding Program'!$J$42,0)-IF(AND('Bonding Program'!$M$42&lt;&gt;"",CW$3='Bonding Program'!$M$42),'Bonding Program'!$L$42,0)-IF(AND('Bonding Program'!$P$42&lt;&gt;"",CW$3='Bonding Program'!$P$42),'Bonding Program'!$O$42,0)-IF(AND('Bonding Program'!$R$42&lt;&gt;"",CW$3='Bonding Program'!$R$42),'Bonding Program'!$Q$42,0),0)</f>
        <v>0</v>
      </c>
      <c r="CX183" s="19" t="n">
        <f aca="false">IF(AND('Bonding Program'!$S$42=1,CX$3='Bonding Program'!$H$42),'Bonding Program'!$AA$42,0)-IF(CX$3&lt;='Bonding Program'!$C$8,IF(AND('Bonding Program'!$K$42&lt;&gt;"",CX$3='Bonding Program'!$K$42),'Bonding Program'!$J$42,0)-IF(AND('Bonding Program'!$M$42&lt;&gt;"",CX$3='Bonding Program'!$M$42),'Bonding Program'!$L$42,0)-IF(AND('Bonding Program'!$P$42&lt;&gt;"",CX$3='Bonding Program'!$P$42),'Bonding Program'!$O$42,0)-IF(AND('Bonding Program'!$R$42&lt;&gt;"",CX$3='Bonding Program'!$R$42),'Bonding Program'!$Q$42,0),0)</f>
        <v>0</v>
      </c>
      <c r="CY183" s="19" t="n">
        <f aca="false">IF(AND('Bonding Program'!$S$42=1,CY$3='Bonding Program'!$H$42),'Bonding Program'!$AA$42,0)-IF(CY$3&lt;='Bonding Program'!$C$8,IF(AND('Bonding Program'!$K$42&lt;&gt;"",CY$3='Bonding Program'!$K$42),'Bonding Program'!$J$42,0)-IF(AND('Bonding Program'!$M$42&lt;&gt;"",CY$3='Bonding Program'!$M$42),'Bonding Program'!$L$42,0)-IF(AND('Bonding Program'!$P$42&lt;&gt;"",CY$3='Bonding Program'!$P$42),'Bonding Program'!$O$42,0)-IF(AND('Bonding Program'!$R$42&lt;&gt;"",CY$3='Bonding Program'!$R$42),'Bonding Program'!$Q$42,0),0)</f>
        <v>0</v>
      </c>
      <c r="CZ183" s="19" t="n">
        <f aca="false">IF(AND('Bonding Program'!$S$42=1,CZ$3='Bonding Program'!$H$42),'Bonding Program'!$AA$42,0)-IF(CZ$3&lt;='Bonding Program'!$C$8,IF(AND('Bonding Program'!$K$42&lt;&gt;"",CZ$3='Bonding Program'!$K$42),'Bonding Program'!$J$42,0)-IF(AND('Bonding Program'!$M$42&lt;&gt;"",CZ$3='Bonding Program'!$M$42),'Bonding Program'!$L$42,0)-IF(AND('Bonding Program'!$P$42&lt;&gt;"",CZ$3='Bonding Program'!$P$42),'Bonding Program'!$O$42,0)-IF(AND('Bonding Program'!$R$42&lt;&gt;"",CZ$3='Bonding Program'!$R$42),'Bonding Program'!$Q$42,0),0)</f>
        <v>0</v>
      </c>
      <c r="DA183" s="19" t="n">
        <f aca="false">IF(AND('Bonding Program'!$S$42=1,DA$3='Bonding Program'!$H$42),'Bonding Program'!$AA$42,0)-IF(DA$3&lt;='Bonding Program'!$C$8,IF(AND('Bonding Program'!$K$42&lt;&gt;"",DA$3='Bonding Program'!$K$42),'Bonding Program'!$J$42,0)-IF(AND('Bonding Program'!$M$42&lt;&gt;"",DA$3='Bonding Program'!$M$42),'Bonding Program'!$L$42,0)-IF(AND('Bonding Program'!$P$42&lt;&gt;"",DA$3='Bonding Program'!$P$42),'Bonding Program'!$O$42,0)-IF(AND('Bonding Program'!$R$42&lt;&gt;"",DA$3='Bonding Program'!$R$42),'Bonding Program'!$Q$42,0),0)</f>
        <v>0</v>
      </c>
      <c r="DB183" s="19" t="n">
        <f aca="false">IF(AND('Bonding Program'!$S$42=1,DB$3='Bonding Program'!$H$42),'Bonding Program'!$AA$42,0)-IF(DB$3&lt;='Bonding Program'!$C$8,IF(AND('Bonding Program'!$K$42&lt;&gt;"",DB$3='Bonding Program'!$K$42),'Bonding Program'!$J$42,0)-IF(AND('Bonding Program'!$M$42&lt;&gt;"",DB$3='Bonding Program'!$M$42),'Bonding Program'!$L$42,0)-IF(AND('Bonding Program'!$P$42&lt;&gt;"",DB$3='Bonding Program'!$P$42),'Bonding Program'!$O$42,0)-IF(AND('Bonding Program'!$R$42&lt;&gt;"",DB$3='Bonding Program'!$R$42),'Bonding Program'!$Q$42,0),0)</f>
        <v>0</v>
      </c>
      <c r="DC183" s="19" t="n">
        <f aca="false">IF(AND('Bonding Program'!$S$42=1,DC$3='Bonding Program'!$H$42),'Bonding Program'!$AA$42,0)-IF(DC$3&lt;='Bonding Program'!$C$8,IF(AND('Bonding Program'!$K$42&lt;&gt;"",DC$3='Bonding Program'!$K$42),'Bonding Program'!$J$42,0)-IF(AND('Bonding Program'!$M$42&lt;&gt;"",DC$3='Bonding Program'!$M$42),'Bonding Program'!$L$42,0)-IF(AND('Bonding Program'!$P$42&lt;&gt;"",DC$3='Bonding Program'!$P$42),'Bonding Program'!$O$42,0)-IF(AND('Bonding Program'!$R$42&lt;&gt;"",DC$3='Bonding Program'!$R$42),'Bonding Program'!$Q$42,0),0)</f>
        <v>0</v>
      </c>
      <c r="DD183" s="19" t="n">
        <f aca="false">IF(AND('Bonding Program'!$S$42=1,DD$3='Bonding Program'!$H$42),'Bonding Program'!$AA$42,0)-IF(DD$3&lt;='Bonding Program'!$C$8,IF(AND('Bonding Program'!$K$42&lt;&gt;"",DD$3='Bonding Program'!$K$42),'Bonding Program'!$J$42,0)-IF(AND('Bonding Program'!$M$42&lt;&gt;"",DD$3='Bonding Program'!$M$42),'Bonding Program'!$L$42,0)-IF(AND('Bonding Program'!$P$42&lt;&gt;"",DD$3='Bonding Program'!$P$42),'Bonding Program'!$O$42,0)-IF(AND('Bonding Program'!$R$42&lt;&gt;"",DD$3='Bonding Program'!$R$42),'Bonding Program'!$Q$42,0),0)</f>
        <v>0</v>
      </c>
      <c r="DE183" s="19" t="n">
        <f aca="false">IF(AND('Bonding Program'!$S$42=1,DE$3='Bonding Program'!$H$42),'Bonding Program'!$AA$42,0)-IF(DE$3&lt;='Bonding Program'!$C$8,IF(AND('Bonding Program'!$K$42&lt;&gt;"",DE$3='Bonding Program'!$K$42),'Bonding Program'!$J$42,0)-IF(AND('Bonding Program'!$M$42&lt;&gt;"",DE$3='Bonding Program'!$M$42),'Bonding Program'!$L$42,0)-IF(AND('Bonding Program'!$P$42&lt;&gt;"",DE$3='Bonding Program'!$P$42),'Bonding Program'!$O$42,0)-IF(AND('Bonding Program'!$R$42&lt;&gt;"",DE$3='Bonding Program'!$R$42),'Bonding Program'!$Q$42,0),0)</f>
        <v>0</v>
      </c>
    </row>
    <row r="184" customFormat="false" ht="15" hidden="false" customHeight="true" outlineLevel="1" collapsed="false">
      <c r="A184" s="28" t="s">
        <v>39</v>
      </c>
      <c r="B184" s="19" t="n">
        <f aca="false">IF(AND('Bonding Program'!$S$43=1,B$3='Bonding Program'!$H$43),'Bonding Program'!$AA$43,0)-IF(B$3&lt;='Bonding Program'!$C$8,IF(AND('Bonding Program'!$K$43&lt;&gt;"",B$3='Bonding Program'!$K$43),'Bonding Program'!$J$43,0)-IF(AND('Bonding Program'!$M$43&lt;&gt;"",B$3='Bonding Program'!$M$43),'Bonding Program'!$L$43,0)-IF(AND('Bonding Program'!$P$43&lt;&gt;"",B$3='Bonding Program'!$P$43),'Bonding Program'!$O$43,0)-IF(AND('Bonding Program'!$R$43&lt;&gt;"",B$3='Bonding Program'!$R$43),'Bonding Program'!$Q$43,0),0)</f>
        <v>0</v>
      </c>
      <c r="C184" s="19" t="n">
        <f aca="false">IF(AND('Bonding Program'!$S$43=1,C$3='Bonding Program'!$H$43),'Bonding Program'!$AA$43,0)-IF(C$3&lt;='Bonding Program'!$C$8,IF(AND('Bonding Program'!$K$43&lt;&gt;"",C$3='Bonding Program'!$K$43),'Bonding Program'!$J$43,0)-IF(AND('Bonding Program'!$M$43&lt;&gt;"",C$3='Bonding Program'!$M$43),'Bonding Program'!$L$43,0)-IF(AND('Bonding Program'!$P$43&lt;&gt;"",C$3='Bonding Program'!$P$43),'Bonding Program'!$O$43,0)-IF(AND('Bonding Program'!$R$43&lt;&gt;"",C$3='Bonding Program'!$R$43),'Bonding Program'!$Q$43,0),0)</f>
        <v>0</v>
      </c>
      <c r="D184" s="19" t="n">
        <f aca="false">IF(AND('Bonding Program'!$S$43=1,D$3='Bonding Program'!$H$43),'Bonding Program'!$AA$43,0)-IF(D$3&lt;='Bonding Program'!$C$8,IF(AND('Bonding Program'!$K$43&lt;&gt;"",D$3='Bonding Program'!$K$43),'Bonding Program'!$J$43,0)-IF(AND('Bonding Program'!$M$43&lt;&gt;"",D$3='Bonding Program'!$M$43),'Bonding Program'!$L$43,0)-IF(AND('Bonding Program'!$P$43&lt;&gt;"",D$3='Bonding Program'!$P$43),'Bonding Program'!$O$43,0)-IF(AND('Bonding Program'!$R$43&lt;&gt;"",D$3='Bonding Program'!$R$43),'Bonding Program'!$Q$43,0),0)</f>
        <v>0</v>
      </c>
      <c r="E184" s="19" t="n">
        <f aca="false">IF(AND('Bonding Program'!$S$43=1,E$3='Bonding Program'!$H$43),'Bonding Program'!$AA$43,0)-IF(E$3&lt;='Bonding Program'!$C$8,IF(AND('Bonding Program'!$K$43&lt;&gt;"",E$3='Bonding Program'!$K$43),'Bonding Program'!$J$43,0)-IF(AND('Bonding Program'!$M$43&lt;&gt;"",E$3='Bonding Program'!$M$43),'Bonding Program'!$L$43,0)-IF(AND('Bonding Program'!$P$43&lt;&gt;"",E$3='Bonding Program'!$P$43),'Bonding Program'!$O$43,0)-IF(AND('Bonding Program'!$R$43&lt;&gt;"",E$3='Bonding Program'!$R$43),'Bonding Program'!$Q$43,0),0)</f>
        <v>0</v>
      </c>
      <c r="F184" s="19" t="n">
        <f aca="false">IF(AND('Bonding Program'!$S$43=1,F$3='Bonding Program'!$H$43),'Bonding Program'!$AA$43,0)-IF(F$3&lt;='Bonding Program'!$C$8,IF(AND('Bonding Program'!$K$43&lt;&gt;"",F$3='Bonding Program'!$K$43),'Bonding Program'!$J$43,0)-IF(AND('Bonding Program'!$M$43&lt;&gt;"",F$3='Bonding Program'!$M$43),'Bonding Program'!$L$43,0)-IF(AND('Bonding Program'!$P$43&lt;&gt;"",F$3='Bonding Program'!$P$43),'Bonding Program'!$O$43,0)-IF(AND('Bonding Program'!$R$43&lt;&gt;"",F$3='Bonding Program'!$R$43),'Bonding Program'!$Q$43,0),0)</f>
        <v>0</v>
      </c>
      <c r="G184" s="19" t="n">
        <f aca="false">IF(AND('Bonding Program'!$S$43=1,G$3='Bonding Program'!$H$43),'Bonding Program'!$AA$43,0)-IF(G$3&lt;='Bonding Program'!$C$8,IF(AND('Bonding Program'!$K$43&lt;&gt;"",G$3='Bonding Program'!$K$43),'Bonding Program'!$J$43,0)-IF(AND('Bonding Program'!$M$43&lt;&gt;"",G$3='Bonding Program'!$M$43),'Bonding Program'!$L$43,0)-IF(AND('Bonding Program'!$P$43&lt;&gt;"",G$3='Bonding Program'!$P$43),'Bonding Program'!$O$43,0)-IF(AND('Bonding Program'!$R$43&lt;&gt;"",G$3='Bonding Program'!$R$43),'Bonding Program'!$Q$43,0),0)</f>
        <v>0</v>
      </c>
      <c r="H184" s="19" t="n">
        <f aca="false">IF(AND('Bonding Program'!$S$43=1,H$3='Bonding Program'!$H$43),'Bonding Program'!$AA$43,0)-IF(H$3&lt;='Bonding Program'!$C$8,IF(AND('Bonding Program'!$K$43&lt;&gt;"",H$3='Bonding Program'!$K$43),'Bonding Program'!$J$43,0)-IF(AND('Bonding Program'!$M$43&lt;&gt;"",H$3='Bonding Program'!$M$43),'Bonding Program'!$L$43,0)-IF(AND('Bonding Program'!$P$43&lt;&gt;"",H$3='Bonding Program'!$P$43),'Bonding Program'!$O$43,0)-IF(AND('Bonding Program'!$R$43&lt;&gt;"",H$3='Bonding Program'!$R$43),'Bonding Program'!$Q$43,0),0)</f>
        <v>0</v>
      </c>
      <c r="I184" s="19" t="n">
        <f aca="false">IF(AND('Bonding Program'!$S$43=1,I$3='Bonding Program'!$H$43),'Bonding Program'!$AA$43,0)-IF(I$3&lt;='Bonding Program'!$C$8,IF(AND('Bonding Program'!$K$43&lt;&gt;"",I$3='Bonding Program'!$K$43),'Bonding Program'!$J$43,0)-IF(AND('Bonding Program'!$M$43&lt;&gt;"",I$3='Bonding Program'!$M$43),'Bonding Program'!$L$43,0)-IF(AND('Bonding Program'!$P$43&lt;&gt;"",I$3='Bonding Program'!$P$43),'Bonding Program'!$O$43,0)-IF(AND('Bonding Program'!$R$43&lt;&gt;"",I$3='Bonding Program'!$R$43),'Bonding Program'!$Q$43,0),0)</f>
        <v>0</v>
      </c>
      <c r="J184" s="19" t="n">
        <f aca="false">IF(AND('Bonding Program'!$S$43=1,J$3='Bonding Program'!$H$43),'Bonding Program'!$AA$43,0)-IF(J$3&lt;='Bonding Program'!$C$8,IF(AND('Bonding Program'!$K$43&lt;&gt;"",J$3='Bonding Program'!$K$43),'Bonding Program'!$J$43,0)-IF(AND('Bonding Program'!$M$43&lt;&gt;"",J$3='Bonding Program'!$M$43),'Bonding Program'!$L$43,0)-IF(AND('Bonding Program'!$P$43&lt;&gt;"",J$3='Bonding Program'!$P$43),'Bonding Program'!$O$43,0)-IF(AND('Bonding Program'!$R$43&lt;&gt;"",J$3='Bonding Program'!$R$43),'Bonding Program'!$Q$43,0),0)</f>
        <v>0</v>
      </c>
      <c r="K184" s="19" t="n">
        <f aca="false">IF(AND('Bonding Program'!$S$43=1,K$3='Bonding Program'!$H$43),'Bonding Program'!$AA$43,0)-IF(K$3&lt;='Bonding Program'!$C$8,IF(AND('Bonding Program'!$K$43&lt;&gt;"",K$3='Bonding Program'!$K$43),'Bonding Program'!$J$43,0)-IF(AND('Bonding Program'!$M$43&lt;&gt;"",K$3='Bonding Program'!$M$43),'Bonding Program'!$L$43,0)-IF(AND('Bonding Program'!$P$43&lt;&gt;"",K$3='Bonding Program'!$P$43),'Bonding Program'!$O$43,0)-IF(AND('Bonding Program'!$R$43&lt;&gt;"",K$3='Bonding Program'!$R$43),'Bonding Program'!$Q$43,0),0)</f>
        <v>0</v>
      </c>
      <c r="L184" s="19" t="n">
        <f aca="false">IF(AND('Bonding Program'!$S$43=1,L$3='Bonding Program'!$H$43),'Bonding Program'!$AA$43,0)-IF(L$3&lt;='Bonding Program'!$C$8,IF(AND('Bonding Program'!$K$43&lt;&gt;"",L$3='Bonding Program'!$K$43),'Bonding Program'!$J$43,0)-IF(AND('Bonding Program'!$M$43&lt;&gt;"",L$3='Bonding Program'!$M$43),'Bonding Program'!$L$43,0)-IF(AND('Bonding Program'!$P$43&lt;&gt;"",L$3='Bonding Program'!$P$43),'Bonding Program'!$O$43,0)-IF(AND('Bonding Program'!$R$43&lt;&gt;"",L$3='Bonding Program'!$R$43),'Bonding Program'!$Q$43,0),0)</f>
        <v>0</v>
      </c>
      <c r="M184" s="19" t="n">
        <f aca="false">IF(AND('Bonding Program'!$S$43=1,M$3='Bonding Program'!$H$43),'Bonding Program'!$AA$43,0)-IF(M$3&lt;='Bonding Program'!$C$8,IF(AND('Bonding Program'!$K$43&lt;&gt;"",M$3='Bonding Program'!$K$43),'Bonding Program'!$J$43,0)-IF(AND('Bonding Program'!$M$43&lt;&gt;"",M$3='Bonding Program'!$M$43),'Bonding Program'!$L$43,0)-IF(AND('Bonding Program'!$P$43&lt;&gt;"",M$3='Bonding Program'!$P$43),'Bonding Program'!$O$43,0)-IF(AND('Bonding Program'!$R$43&lt;&gt;"",M$3='Bonding Program'!$R$43),'Bonding Program'!$Q$43,0),0)</f>
        <v>0</v>
      </c>
      <c r="N184" s="19" t="n">
        <f aca="false">IF(AND('Bonding Program'!$S$43=1,N$3='Bonding Program'!$H$43),'Bonding Program'!$AA$43,0)-IF(N$3&lt;='Bonding Program'!$C$8,IF(AND('Bonding Program'!$K$43&lt;&gt;"",N$3='Bonding Program'!$K$43),'Bonding Program'!$J$43,0)-IF(AND('Bonding Program'!$M$43&lt;&gt;"",N$3='Bonding Program'!$M$43),'Bonding Program'!$L$43,0)-IF(AND('Bonding Program'!$P$43&lt;&gt;"",N$3='Bonding Program'!$P$43),'Bonding Program'!$O$43,0)-IF(AND('Bonding Program'!$R$43&lt;&gt;"",N$3='Bonding Program'!$R$43),'Bonding Program'!$Q$43,0),0)</f>
        <v>0</v>
      </c>
      <c r="O184" s="19" t="n">
        <f aca="false">IF(AND('Bonding Program'!$S$43=1,O$3='Bonding Program'!$H$43),'Bonding Program'!$AA$43,0)-IF(O$3&lt;='Bonding Program'!$C$8,IF(AND('Bonding Program'!$K$43&lt;&gt;"",O$3='Bonding Program'!$K$43),'Bonding Program'!$J$43,0)-IF(AND('Bonding Program'!$M$43&lt;&gt;"",O$3='Bonding Program'!$M$43),'Bonding Program'!$L$43,0)-IF(AND('Bonding Program'!$P$43&lt;&gt;"",O$3='Bonding Program'!$P$43),'Bonding Program'!$O$43,0)-IF(AND('Bonding Program'!$R$43&lt;&gt;"",O$3='Bonding Program'!$R$43),'Bonding Program'!$Q$43,0),0)</f>
        <v>0</v>
      </c>
      <c r="P184" s="19" t="n">
        <f aca="false">IF(AND('Bonding Program'!$S$43=1,P$3='Bonding Program'!$H$43),'Bonding Program'!$AA$43,0)-IF(P$3&lt;='Bonding Program'!$C$8,IF(AND('Bonding Program'!$K$43&lt;&gt;"",P$3='Bonding Program'!$K$43),'Bonding Program'!$J$43,0)-IF(AND('Bonding Program'!$M$43&lt;&gt;"",P$3='Bonding Program'!$M$43),'Bonding Program'!$L$43,0)-IF(AND('Bonding Program'!$P$43&lt;&gt;"",P$3='Bonding Program'!$P$43),'Bonding Program'!$O$43,0)-IF(AND('Bonding Program'!$R$43&lt;&gt;"",P$3='Bonding Program'!$R$43),'Bonding Program'!$Q$43,0),0)</f>
        <v>0</v>
      </c>
      <c r="Q184" s="19" t="n">
        <f aca="false">IF(AND('Bonding Program'!$S$43=1,Q$3='Bonding Program'!$H$43),'Bonding Program'!$AA$43,0)-IF(Q$3&lt;='Bonding Program'!$C$8,IF(AND('Bonding Program'!$K$43&lt;&gt;"",Q$3='Bonding Program'!$K$43),'Bonding Program'!$J$43,0)-IF(AND('Bonding Program'!$M$43&lt;&gt;"",Q$3='Bonding Program'!$M$43),'Bonding Program'!$L$43,0)-IF(AND('Bonding Program'!$P$43&lt;&gt;"",Q$3='Bonding Program'!$P$43),'Bonding Program'!$O$43,0)-IF(AND('Bonding Program'!$R$43&lt;&gt;"",Q$3='Bonding Program'!$R$43),'Bonding Program'!$Q$43,0),0)</f>
        <v>0</v>
      </c>
      <c r="R184" s="19" t="n">
        <f aca="false">IF(AND('Bonding Program'!$S$43=1,R$3='Bonding Program'!$H$43),'Bonding Program'!$AA$43,0)-IF(R$3&lt;='Bonding Program'!$C$8,IF(AND('Bonding Program'!$K$43&lt;&gt;"",R$3='Bonding Program'!$K$43),'Bonding Program'!$J$43,0)-IF(AND('Bonding Program'!$M$43&lt;&gt;"",R$3='Bonding Program'!$M$43),'Bonding Program'!$L$43,0)-IF(AND('Bonding Program'!$P$43&lt;&gt;"",R$3='Bonding Program'!$P$43),'Bonding Program'!$O$43,0)-IF(AND('Bonding Program'!$R$43&lt;&gt;"",R$3='Bonding Program'!$R$43),'Bonding Program'!$Q$43,0),0)</f>
        <v>0</v>
      </c>
      <c r="S184" s="19" t="n">
        <f aca="false">IF(AND('Bonding Program'!$S$43=1,S$3='Bonding Program'!$H$43),'Bonding Program'!$AA$43,0)-IF(S$3&lt;='Bonding Program'!$C$8,IF(AND('Bonding Program'!$K$43&lt;&gt;"",S$3='Bonding Program'!$K$43),'Bonding Program'!$J$43,0)-IF(AND('Bonding Program'!$M$43&lt;&gt;"",S$3='Bonding Program'!$M$43),'Bonding Program'!$L$43,0)-IF(AND('Bonding Program'!$P$43&lt;&gt;"",S$3='Bonding Program'!$P$43),'Bonding Program'!$O$43,0)-IF(AND('Bonding Program'!$R$43&lt;&gt;"",S$3='Bonding Program'!$R$43),'Bonding Program'!$Q$43,0),0)</f>
        <v>0</v>
      </c>
      <c r="T184" s="19" t="n">
        <f aca="false">IF(AND('Bonding Program'!$S$43=1,T$3='Bonding Program'!$H$43),'Bonding Program'!$AA$43,0)-IF(T$3&lt;='Bonding Program'!$C$8,IF(AND('Bonding Program'!$K$43&lt;&gt;"",T$3='Bonding Program'!$K$43),'Bonding Program'!$J$43,0)-IF(AND('Bonding Program'!$M$43&lt;&gt;"",T$3='Bonding Program'!$M$43),'Bonding Program'!$L$43,0)-IF(AND('Bonding Program'!$P$43&lt;&gt;"",T$3='Bonding Program'!$P$43),'Bonding Program'!$O$43,0)-IF(AND('Bonding Program'!$R$43&lt;&gt;"",T$3='Bonding Program'!$R$43),'Bonding Program'!$Q$43,0),0)</f>
        <v>0</v>
      </c>
      <c r="U184" s="19" t="n">
        <f aca="false">IF(AND('Bonding Program'!$S$43=1,U$3='Bonding Program'!$H$43),'Bonding Program'!$AA$43,0)-IF(U$3&lt;='Bonding Program'!$C$8,IF(AND('Bonding Program'!$K$43&lt;&gt;"",U$3='Bonding Program'!$K$43),'Bonding Program'!$J$43,0)-IF(AND('Bonding Program'!$M$43&lt;&gt;"",U$3='Bonding Program'!$M$43),'Bonding Program'!$L$43,0)-IF(AND('Bonding Program'!$P$43&lt;&gt;"",U$3='Bonding Program'!$P$43),'Bonding Program'!$O$43,0)-IF(AND('Bonding Program'!$R$43&lt;&gt;"",U$3='Bonding Program'!$R$43),'Bonding Program'!$Q$43,0),0)</f>
        <v>0</v>
      </c>
      <c r="V184" s="19" t="n">
        <f aca="false">IF(AND('Bonding Program'!$S$43=1,V$3='Bonding Program'!$H$43),'Bonding Program'!$AA$43,0)-IF(V$3&lt;='Bonding Program'!$C$8,IF(AND('Bonding Program'!$K$43&lt;&gt;"",V$3='Bonding Program'!$K$43),'Bonding Program'!$J$43,0)-IF(AND('Bonding Program'!$M$43&lt;&gt;"",V$3='Bonding Program'!$M$43),'Bonding Program'!$L$43,0)-IF(AND('Bonding Program'!$P$43&lt;&gt;"",V$3='Bonding Program'!$P$43),'Bonding Program'!$O$43,0)-IF(AND('Bonding Program'!$R$43&lt;&gt;"",V$3='Bonding Program'!$R$43),'Bonding Program'!$Q$43,0),0)</f>
        <v>0</v>
      </c>
      <c r="W184" s="19" t="n">
        <f aca="false">IF(AND('Bonding Program'!$S$43=1,W$3='Bonding Program'!$H$43),'Bonding Program'!$AA$43,0)-IF(W$3&lt;='Bonding Program'!$C$8,IF(AND('Bonding Program'!$K$43&lt;&gt;"",W$3='Bonding Program'!$K$43),'Bonding Program'!$J$43,0)-IF(AND('Bonding Program'!$M$43&lt;&gt;"",W$3='Bonding Program'!$M$43),'Bonding Program'!$L$43,0)-IF(AND('Bonding Program'!$P$43&lt;&gt;"",W$3='Bonding Program'!$P$43),'Bonding Program'!$O$43,0)-IF(AND('Bonding Program'!$R$43&lt;&gt;"",W$3='Bonding Program'!$R$43),'Bonding Program'!$Q$43,0),0)</f>
        <v>0</v>
      </c>
      <c r="X184" s="19" t="n">
        <f aca="false">IF(AND('Bonding Program'!$S$43=1,X$3='Bonding Program'!$H$43),'Bonding Program'!$AA$43,0)-IF(X$3&lt;='Bonding Program'!$C$8,IF(AND('Bonding Program'!$K$43&lt;&gt;"",X$3='Bonding Program'!$K$43),'Bonding Program'!$J$43,0)-IF(AND('Bonding Program'!$M$43&lt;&gt;"",X$3='Bonding Program'!$M$43),'Bonding Program'!$L$43,0)-IF(AND('Bonding Program'!$P$43&lt;&gt;"",X$3='Bonding Program'!$P$43),'Bonding Program'!$O$43,0)-IF(AND('Bonding Program'!$R$43&lt;&gt;"",X$3='Bonding Program'!$R$43),'Bonding Program'!$Q$43,0),0)</f>
        <v>0</v>
      </c>
      <c r="Y184" s="19" t="n">
        <f aca="false">IF(AND('Bonding Program'!$S$43=1,Y$3='Bonding Program'!$H$43),'Bonding Program'!$AA$43,0)-IF(Y$3&lt;='Bonding Program'!$C$8,IF(AND('Bonding Program'!$K$43&lt;&gt;"",Y$3='Bonding Program'!$K$43),'Bonding Program'!$J$43,0)-IF(AND('Bonding Program'!$M$43&lt;&gt;"",Y$3='Bonding Program'!$M$43),'Bonding Program'!$L$43,0)-IF(AND('Bonding Program'!$P$43&lt;&gt;"",Y$3='Bonding Program'!$P$43),'Bonding Program'!$O$43,0)-IF(AND('Bonding Program'!$R$43&lt;&gt;"",Y$3='Bonding Program'!$R$43),'Bonding Program'!$Q$43,0),0)</f>
        <v>0</v>
      </c>
      <c r="Z184" s="19" t="n">
        <f aca="false">IF(AND('Bonding Program'!$S$43=1,Z$3='Bonding Program'!$H$43),'Bonding Program'!$AA$43,0)-IF(Z$3&lt;='Bonding Program'!$C$8,IF(AND('Bonding Program'!$K$43&lt;&gt;"",Z$3='Bonding Program'!$K$43),'Bonding Program'!$J$43,0)-IF(AND('Bonding Program'!$M$43&lt;&gt;"",Z$3='Bonding Program'!$M$43),'Bonding Program'!$L$43,0)-IF(AND('Bonding Program'!$P$43&lt;&gt;"",Z$3='Bonding Program'!$P$43),'Bonding Program'!$O$43,0)-IF(AND('Bonding Program'!$R$43&lt;&gt;"",Z$3='Bonding Program'!$R$43),'Bonding Program'!$Q$43,0),0)</f>
        <v>0</v>
      </c>
      <c r="AA184" s="19" t="n">
        <f aca="false">IF(AND('Bonding Program'!$S$43=1,AA$3='Bonding Program'!$H$43),'Bonding Program'!$AA$43,0)-IF(AA$3&lt;='Bonding Program'!$C$8,IF(AND('Bonding Program'!$K$43&lt;&gt;"",AA$3='Bonding Program'!$K$43),'Bonding Program'!$J$43,0)-IF(AND('Bonding Program'!$M$43&lt;&gt;"",AA$3='Bonding Program'!$M$43),'Bonding Program'!$L$43,0)-IF(AND('Bonding Program'!$P$43&lt;&gt;"",AA$3='Bonding Program'!$P$43),'Bonding Program'!$O$43,0)-IF(AND('Bonding Program'!$R$43&lt;&gt;"",AA$3='Bonding Program'!$R$43),'Bonding Program'!$Q$43,0),0)</f>
        <v>0</v>
      </c>
      <c r="AB184" s="19" t="n">
        <f aca="false">IF(AND('Bonding Program'!$S$43=1,AB$3='Bonding Program'!$H$43),'Bonding Program'!$AA$43,0)-IF(AB$3&lt;='Bonding Program'!$C$8,IF(AND('Bonding Program'!$K$43&lt;&gt;"",AB$3='Bonding Program'!$K$43),'Bonding Program'!$J$43,0)-IF(AND('Bonding Program'!$M$43&lt;&gt;"",AB$3='Bonding Program'!$M$43),'Bonding Program'!$L$43,0)-IF(AND('Bonding Program'!$P$43&lt;&gt;"",AB$3='Bonding Program'!$P$43),'Bonding Program'!$O$43,0)-IF(AND('Bonding Program'!$R$43&lt;&gt;"",AB$3='Bonding Program'!$R$43),'Bonding Program'!$Q$43,0),0)</f>
        <v>0</v>
      </c>
      <c r="AC184" s="19" t="n">
        <f aca="false">IF(AND('Bonding Program'!$S$43=1,AC$3='Bonding Program'!$H$43),'Bonding Program'!$AA$43,0)-IF(AC$3&lt;='Bonding Program'!$C$8,IF(AND('Bonding Program'!$K$43&lt;&gt;"",AC$3='Bonding Program'!$K$43),'Bonding Program'!$J$43,0)-IF(AND('Bonding Program'!$M$43&lt;&gt;"",AC$3='Bonding Program'!$M$43),'Bonding Program'!$L$43,0)-IF(AND('Bonding Program'!$P$43&lt;&gt;"",AC$3='Bonding Program'!$P$43),'Bonding Program'!$O$43,0)-IF(AND('Bonding Program'!$R$43&lt;&gt;"",AC$3='Bonding Program'!$R$43),'Bonding Program'!$Q$43,0),0)</f>
        <v>0</v>
      </c>
      <c r="AD184" s="19" t="n">
        <f aca="false">IF(AND('Bonding Program'!$S$43=1,AD$3='Bonding Program'!$H$43),'Bonding Program'!$AA$43,0)-IF(AD$3&lt;='Bonding Program'!$C$8,IF(AND('Bonding Program'!$K$43&lt;&gt;"",AD$3='Bonding Program'!$K$43),'Bonding Program'!$J$43,0)-IF(AND('Bonding Program'!$M$43&lt;&gt;"",AD$3='Bonding Program'!$M$43),'Bonding Program'!$L$43,0)-IF(AND('Bonding Program'!$P$43&lt;&gt;"",AD$3='Bonding Program'!$P$43),'Bonding Program'!$O$43,0)-IF(AND('Bonding Program'!$R$43&lt;&gt;"",AD$3='Bonding Program'!$R$43),'Bonding Program'!$Q$43,0),0)</f>
        <v>0</v>
      </c>
      <c r="AE184" s="19" t="n">
        <f aca="false">IF(AND('Bonding Program'!$S$43=1,AE$3='Bonding Program'!$H$43),'Bonding Program'!$AA$43,0)-IF(AE$3&lt;='Bonding Program'!$C$8,IF(AND('Bonding Program'!$K$43&lt;&gt;"",AE$3='Bonding Program'!$K$43),'Bonding Program'!$J$43,0)-IF(AND('Bonding Program'!$M$43&lt;&gt;"",AE$3='Bonding Program'!$M$43),'Bonding Program'!$L$43,0)-IF(AND('Bonding Program'!$P$43&lt;&gt;"",AE$3='Bonding Program'!$P$43),'Bonding Program'!$O$43,0)-IF(AND('Bonding Program'!$R$43&lt;&gt;"",AE$3='Bonding Program'!$R$43),'Bonding Program'!$Q$43,0),0)</f>
        <v>0</v>
      </c>
      <c r="AF184" s="19" t="n">
        <f aca="false">IF(AND('Bonding Program'!$S$43=1,AF$3='Bonding Program'!$H$43),'Bonding Program'!$AA$43,0)-IF(AF$3&lt;='Bonding Program'!$C$8,IF(AND('Bonding Program'!$K$43&lt;&gt;"",AF$3='Bonding Program'!$K$43),'Bonding Program'!$J$43,0)-IF(AND('Bonding Program'!$M$43&lt;&gt;"",AF$3='Bonding Program'!$M$43),'Bonding Program'!$L$43,0)-IF(AND('Bonding Program'!$P$43&lt;&gt;"",AF$3='Bonding Program'!$P$43),'Bonding Program'!$O$43,0)-IF(AND('Bonding Program'!$R$43&lt;&gt;"",AF$3='Bonding Program'!$R$43),'Bonding Program'!$Q$43,0),0)</f>
        <v>0</v>
      </c>
      <c r="AG184" s="19" t="n">
        <f aca="false">IF(AND('Bonding Program'!$S$43=1,AG$3='Bonding Program'!$H$43),'Bonding Program'!$AA$43,0)-IF(AG$3&lt;='Bonding Program'!$C$8,IF(AND('Bonding Program'!$K$43&lt;&gt;"",AG$3='Bonding Program'!$K$43),'Bonding Program'!$J$43,0)-IF(AND('Bonding Program'!$M$43&lt;&gt;"",AG$3='Bonding Program'!$M$43),'Bonding Program'!$L$43,0)-IF(AND('Bonding Program'!$P$43&lt;&gt;"",AG$3='Bonding Program'!$P$43),'Bonding Program'!$O$43,0)-IF(AND('Bonding Program'!$R$43&lt;&gt;"",AG$3='Bonding Program'!$R$43),'Bonding Program'!$Q$43,0),0)</f>
        <v>0</v>
      </c>
      <c r="AH184" s="19" t="n">
        <f aca="false">IF(AND('Bonding Program'!$S$43=1,AH$3='Bonding Program'!$H$43),'Bonding Program'!$AA$43,0)-IF(AH$3&lt;='Bonding Program'!$C$8,IF(AND('Bonding Program'!$K$43&lt;&gt;"",AH$3='Bonding Program'!$K$43),'Bonding Program'!$J$43,0)-IF(AND('Bonding Program'!$M$43&lt;&gt;"",AH$3='Bonding Program'!$M$43),'Bonding Program'!$L$43,0)-IF(AND('Bonding Program'!$P$43&lt;&gt;"",AH$3='Bonding Program'!$P$43),'Bonding Program'!$O$43,0)-IF(AND('Bonding Program'!$R$43&lt;&gt;"",AH$3='Bonding Program'!$R$43),'Bonding Program'!$Q$43,0),0)</f>
        <v>0</v>
      </c>
      <c r="AI184" s="19" t="n">
        <f aca="false">IF(AND('Bonding Program'!$S$43=1,AI$3='Bonding Program'!$H$43),'Bonding Program'!$AA$43,0)-IF(AI$3&lt;='Bonding Program'!$C$8,IF(AND('Bonding Program'!$K$43&lt;&gt;"",AI$3='Bonding Program'!$K$43),'Bonding Program'!$J$43,0)-IF(AND('Bonding Program'!$M$43&lt;&gt;"",AI$3='Bonding Program'!$M$43),'Bonding Program'!$L$43,0)-IF(AND('Bonding Program'!$P$43&lt;&gt;"",AI$3='Bonding Program'!$P$43),'Bonding Program'!$O$43,0)-IF(AND('Bonding Program'!$R$43&lt;&gt;"",AI$3='Bonding Program'!$R$43),'Bonding Program'!$Q$43,0),0)</f>
        <v>0</v>
      </c>
      <c r="AJ184" s="19" t="n">
        <f aca="false">IF(AND('Bonding Program'!$S$43=1,AJ$3='Bonding Program'!$H$43),'Bonding Program'!$AA$43,0)-IF(AJ$3&lt;='Bonding Program'!$C$8,IF(AND('Bonding Program'!$K$43&lt;&gt;"",AJ$3='Bonding Program'!$K$43),'Bonding Program'!$J$43,0)-IF(AND('Bonding Program'!$M$43&lt;&gt;"",AJ$3='Bonding Program'!$M$43),'Bonding Program'!$L$43,0)-IF(AND('Bonding Program'!$P$43&lt;&gt;"",AJ$3='Bonding Program'!$P$43),'Bonding Program'!$O$43,0)-IF(AND('Bonding Program'!$R$43&lt;&gt;"",AJ$3='Bonding Program'!$R$43),'Bonding Program'!$Q$43,0),0)</f>
        <v>0</v>
      </c>
      <c r="AK184" s="19" t="n">
        <f aca="false">IF(AND('Bonding Program'!$S$43=1,AK$3='Bonding Program'!$H$43),'Bonding Program'!$AA$43,0)-IF(AK$3&lt;='Bonding Program'!$C$8,IF(AND('Bonding Program'!$K$43&lt;&gt;"",AK$3='Bonding Program'!$K$43),'Bonding Program'!$J$43,0)-IF(AND('Bonding Program'!$M$43&lt;&gt;"",AK$3='Bonding Program'!$M$43),'Bonding Program'!$L$43,0)-IF(AND('Bonding Program'!$P$43&lt;&gt;"",AK$3='Bonding Program'!$P$43),'Bonding Program'!$O$43,0)-IF(AND('Bonding Program'!$R$43&lt;&gt;"",AK$3='Bonding Program'!$R$43),'Bonding Program'!$Q$43,0),0)</f>
        <v>0</v>
      </c>
      <c r="AL184" s="19" t="n">
        <f aca="false">IF(AND('Bonding Program'!$S$43=1,AL$3='Bonding Program'!$H$43),'Bonding Program'!$AA$43,0)-IF(AL$3&lt;='Bonding Program'!$C$8,IF(AND('Bonding Program'!$K$43&lt;&gt;"",AL$3='Bonding Program'!$K$43),'Bonding Program'!$J$43,0)-IF(AND('Bonding Program'!$M$43&lt;&gt;"",AL$3='Bonding Program'!$M$43),'Bonding Program'!$L$43,0)-IF(AND('Bonding Program'!$P$43&lt;&gt;"",AL$3='Bonding Program'!$P$43),'Bonding Program'!$O$43,0)-IF(AND('Bonding Program'!$R$43&lt;&gt;"",AL$3='Bonding Program'!$R$43),'Bonding Program'!$Q$43,0),0)</f>
        <v>0</v>
      </c>
      <c r="AM184" s="19" t="n">
        <f aca="false">IF(AND('Bonding Program'!$S$43=1,AM$3='Bonding Program'!$H$43),'Bonding Program'!$AA$43,0)-IF(AM$3&lt;='Bonding Program'!$C$8,IF(AND('Bonding Program'!$K$43&lt;&gt;"",AM$3='Bonding Program'!$K$43),'Bonding Program'!$J$43,0)-IF(AND('Bonding Program'!$M$43&lt;&gt;"",AM$3='Bonding Program'!$M$43),'Bonding Program'!$L$43,0)-IF(AND('Bonding Program'!$P$43&lt;&gt;"",AM$3='Bonding Program'!$P$43),'Bonding Program'!$O$43,0)-IF(AND('Bonding Program'!$R$43&lt;&gt;"",AM$3='Bonding Program'!$R$43),'Bonding Program'!$Q$43,0),0)</f>
        <v>0</v>
      </c>
      <c r="AN184" s="19" t="n">
        <f aca="false">IF(AND('Bonding Program'!$S$43=1,AN$3='Bonding Program'!$H$43),'Bonding Program'!$AA$43,0)-IF(AN$3&lt;='Bonding Program'!$C$8,IF(AND('Bonding Program'!$K$43&lt;&gt;"",AN$3='Bonding Program'!$K$43),'Bonding Program'!$J$43,0)-IF(AND('Bonding Program'!$M$43&lt;&gt;"",AN$3='Bonding Program'!$M$43),'Bonding Program'!$L$43,0)-IF(AND('Bonding Program'!$P$43&lt;&gt;"",AN$3='Bonding Program'!$P$43),'Bonding Program'!$O$43,0)-IF(AND('Bonding Program'!$R$43&lt;&gt;"",AN$3='Bonding Program'!$R$43),'Bonding Program'!$Q$43,0),0)</f>
        <v>0</v>
      </c>
      <c r="AO184" s="19" t="n">
        <f aca="false">IF(AND('Bonding Program'!$S$43=1,AO$3='Bonding Program'!$H$43),'Bonding Program'!$AA$43,0)-IF(AO$3&lt;='Bonding Program'!$C$8,IF(AND('Bonding Program'!$K$43&lt;&gt;"",AO$3='Bonding Program'!$K$43),'Bonding Program'!$J$43,0)-IF(AND('Bonding Program'!$M$43&lt;&gt;"",AO$3='Bonding Program'!$M$43),'Bonding Program'!$L$43,0)-IF(AND('Bonding Program'!$P$43&lt;&gt;"",AO$3='Bonding Program'!$P$43),'Bonding Program'!$O$43,0)-IF(AND('Bonding Program'!$R$43&lt;&gt;"",AO$3='Bonding Program'!$R$43),'Bonding Program'!$Q$43,0),0)</f>
        <v>0</v>
      </c>
      <c r="AP184" s="19" t="n">
        <f aca="false">IF(AND('Bonding Program'!$S$43=1,AP$3='Bonding Program'!$H$43),'Bonding Program'!$AA$43,0)-IF(AP$3&lt;='Bonding Program'!$C$8,IF(AND('Bonding Program'!$K$43&lt;&gt;"",AP$3='Bonding Program'!$K$43),'Bonding Program'!$J$43,0)-IF(AND('Bonding Program'!$M$43&lt;&gt;"",AP$3='Bonding Program'!$M$43),'Bonding Program'!$L$43,0)-IF(AND('Bonding Program'!$P$43&lt;&gt;"",AP$3='Bonding Program'!$P$43),'Bonding Program'!$O$43,0)-IF(AND('Bonding Program'!$R$43&lt;&gt;"",AP$3='Bonding Program'!$R$43),'Bonding Program'!$Q$43,0),0)</f>
        <v>0</v>
      </c>
      <c r="AQ184" s="19" t="n">
        <f aca="false">IF(AND('Bonding Program'!$S$43=1,AQ$3='Bonding Program'!$H$43),'Bonding Program'!$AA$43,0)-IF(AQ$3&lt;='Bonding Program'!$C$8,IF(AND('Bonding Program'!$K$43&lt;&gt;"",AQ$3='Bonding Program'!$K$43),'Bonding Program'!$J$43,0)-IF(AND('Bonding Program'!$M$43&lt;&gt;"",AQ$3='Bonding Program'!$M$43),'Bonding Program'!$L$43,0)-IF(AND('Bonding Program'!$P$43&lt;&gt;"",AQ$3='Bonding Program'!$P$43),'Bonding Program'!$O$43,0)-IF(AND('Bonding Program'!$R$43&lt;&gt;"",AQ$3='Bonding Program'!$R$43),'Bonding Program'!$Q$43,0),0)</f>
        <v>0</v>
      </c>
      <c r="AR184" s="19" t="n">
        <f aca="false">IF(AND('Bonding Program'!$S$43=1,AR$3='Bonding Program'!$H$43),'Bonding Program'!$AA$43,0)-IF(AR$3&lt;='Bonding Program'!$C$8,IF(AND('Bonding Program'!$K$43&lt;&gt;"",AR$3='Bonding Program'!$K$43),'Bonding Program'!$J$43,0)-IF(AND('Bonding Program'!$M$43&lt;&gt;"",AR$3='Bonding Program'!$M$43),'Bonding Program'!$L$43,0)-IF(AND('Bonding Program'!$P$43&lt;&gt;"",AR$3='Bonding Program'!$P$43),'Bonding Program'!$O$43,0)-IF(AND('Bonding Program'!$R$43&lt;&gt;"",AR$3='Bonding Program'!$R$43),'Bonding Program'!$Q$43,0),0)</f>
        <v>0</v>
      </c>
      <c r="AS184" s="19" t="n">
        <f aca="false">IF(AND('Bonding Program'!$S$43=1,AS$3='Bonding Program'!$H$43),'Bonding Program'!$AA$43,0)-IF(AS$3&lt;='Bonding Program'!$C$8,IF(AND('Bonding Program'!$K$43&lt;&gt;"",AS$3='Bonding Program'!$K$43),'Bonding Program'!$J$43,0)-IF(AND('Bonding Program'!$M$43&lt;&gt;"",AS$3='Bonding Program'!$M$43),'Bonding Program'!$L$43,0)-IF(AND('Bonding Program'!$P$43&lt;&gt;"",AS$3='Bonding Program'!$P$43),'Bonding Program'!$O$43,0)-IF(AND('Bonding Program'!$R$43&lt;&gt;"",AS$3='Bonding Program'!$R$43),'Bonding Program'!$Q$43,0),0)</f>
        <v>0</v>
      </c>
      <c r="AT184" s="19" t="n">
        <f aca="false">IF(AND('Bonding Program'!$S$43=1,AT$3='Bonding Program'!$H$43),'Bonding Program'!$AA$43,0)-IF(AT$3&lt;='Bonding Program'!$C$8,IF(AND('Bonding Program'!$K$43&lt;&gt;"",AT$3='Bonding Program'!$K$43),'Bonding Program'!$J$43,0)-IF(AND('Bonding Program'!$M$43&lt;&gt;"",AT$3='Bonding Program'!$M$43),'Bonding Program'!$L$43,0)-IF(AND('Bonding Program'!$P$43&lt;&gt;"",AT$3='Bonding Program'!$P$43),'Bonding Program'!$O$43,0)-IF(AND('Bonding Program'!$R$43&lt;&gt;"",AT$3='Bonding Program'!$R$43),'Bonding Program'!$Q$43,0),0)</f>
        <v>0</v>
      </c>
      <c r="AU184" s="19" t="n">
        <f aca="false">IF(AND('Bonding Program'!$S$43=1,AU$3='Bonding Program'!$H$43),'Bonding Program'!$AA$43,0)-IF(AU$3&lt;='Bonding Program'!$C$8,IF(AND('Bonding Program'!$K$43&lt;&gt;"",AU$3='Bonding Program'!$K$43),'Bonding Program'!$J$43,0)-IF(AND('Bonding Program'!$M$43&lt;&gt;"",AU$3='Bonding Program'!$M$43),'Bonding Program'!$L$43,0)-IF(AND('Bonding Program'!$P$43&lt;&gt;"",AU$3='Bonding Program'!$P$43),'Bonding Program'!$O$43,0)-IF(AND('Bonding Program'!$R$43&lt;&gt;"",AU$3='Bonding Program'!$R$43),'Bonding Program'!$Q$43,0),0)</f>
        <v>0</v>
      </c>
      <c r="AV184" s="19" t="n">
        <f aca="false">IF(AND('Bonding Program'!$S$43=1,AV$3='Bonding Program'!$H$43),'Bonding Program'!$AA$43,0)-IF(AV$3&lt;='Bonding Program'!$C$8,IF(AND('Bonding Program'!$K$43&lt;&gt;"",AV$3='Bonding Program'!$K$43),'Bonding Program'!$J$43,0)-IF(AND('Bonding Program'!$M$43&lt;&gt;"",AV$3='Bonding Program'!$M$43),'Bonding Program'!$L$43,0)-IF(AND('Bonding Program'!$P$43&lt;&gt;"",AV$3='Bonding Program'!$P$43),'Bonding Program'!$O$43,0)-IF(AND('Bonding Program'!$R$43&lt;&gt;"",AV$3='Bonding Program'!$R$43),'Bonding Program'!$Q$43,0),0)</f>
        <v>0</v>
      </c>
      <c r="AW184" s="19" t="n">
        <f aca="false">IF(AND('Bonding Program'!$S$43=1,AW$3='Bonding Program'!$H$43),'Bonding Program'!$AA$43,0)-IF(AW$3&lt;='Bonding Program'!$C$8,IF(AND('Bonding Program'!$K$43&lt;&gt;"",AW$3='Bonding Program'!$K$43),'Bonding Program'!$J$43,0)-IF(AND('Bonding Program'!$M$43&lt;&gt;"",AW$3='Bonding Program'!$M$43),'Bonding Program'!$L$43,0)-IF(AND('Bonding Program'!$P$43&lt;&gt;"",AW$3='Bonding Program'!$P$43),'Bonding Program'!$O$43,0)-IF(AND('Bonding Program'!$R$43&lt;&gt;"",AW$3='Bonding Program'!$R$43),'Bonding Program'!$Q$43,0),0)</f>
        <v>0</v>
      </c>
      <c r="AX184" s="19" t="n">
        <f aca="false">IF(AND('Bonding Program'!$S$43=1,AX$3='Bonding Program'!$H$43),'Bonding Program'!$AA$43,0)-IF(AX$3&lt;='Bonding Program'!$C$8,IF(AND('Bonding Program'!$K$43&lt;&gt;"",AX$3='Bonding Program'!$K$43),'Bonding Program'!$J$43,0)-IF(AND('Bonding Program'!$M$43&lt;&gt;"",AX$3='Bonding Program'!$M$43),'Bonding Program'!$L$43,0)-IF(AND('Bonding Program'!$P$43&lt;&gt;"",AX$3='Bonding Program'!$P$43),'Bonding Program'!$O$43,0)-IF(AND('Bonding Program'!$R$43&lt;&gt;"",AX$3='Bonding Program'!$R$43),'Bonding Program'!$Q$43,0),0)</f>
        <v>0</v>
      </c>
      <c r="AY184" s="19" t="n">
        <f aca="false">IF(AND('Bonding Program'!$S$43=1,AY$3='Bonding Program'!$H$43),'Bonding Program'!$AA$43,0)-IF(AY$3&lt;='Bonding Program'!$C$8,IF(AND('Bonding Program'!$K$43&lt;&gt;"",AY$3='Bonding Program'!$K$43),'Bonding Program'!$J$43,0)-IF(AND('Bonding Program'!$M$43&lt;&gt;"",AY$3='Bonding Program'!$M$43),'Bonding Program'!$L$43,0)-IF(AND('Bonding Program'!$P$43&lt;&gt;"",AY$3='Bonding Program'!$P$43),'Bonding Program'!$O$43,0)-IF(AND('Bonding Program'!$R$43&lt;&gt;"",AY$3='Bonding Program'!$R$43),'Bonding Program'!$Q$43,0),0)</f>
        <v>0</v>
      </c>
      <c r="AZ184" s="19" t="n">
        <f aca="false">IF(AND('Bonding Program'!$S$43=1,AZ$3='Bonding Program'!$H$43),'Bonding Program'!$AA$43,0)-IF(AZ$3&lt;='Bonding Program'!$C$8,IF(AND('Bonding Program'!$K$43&lt;&gt;"",AZ$3='Bonding Program'!$K$43),'Bonding Program'!$J$43,0)-IF(AND('Bonding Program'!$M$43&lt;&gt;"",AZ$3='Bonding Program'!$M$43),'Bonding Program'!$L$43,0)-IF(AND('Bonding Program'!$P$43&lt;&gt;"",AZ$3='Bonding Program'!$P$43),'Bonding Program'!$O$43,0)-IF(AND('Bonding Program'!$R$43&lt;&gt;"",AZ$3='Bonding Program'!$R$43),'Bonding Program'!$Q$43,0),0)</f>
        <v>0</v>
      </c>
      <c r="BA184" s="19" t="n">
        <f aca="false">IF(AND('Bonding Program'!$S$43=1,BA$3='Bonding Program'!$H$43),'Bonding Program'!$AA$43,0)-IF(BA$3&lt;='Bonding Program'!$C$8,IF(AND('Bonding Program'!$K$43&lt;&gt;"",BA$3='Bonding Program'!$K$43),'Bonding Program'!$J$43,0)-IF(AND('Bonding Program'!$M$43&lt;&gt;"",BA$3='Bonding Program'!$M$43),'Bonding Program'!$L$43,0)-IF(AND('Bonding Program'!$P$43&lt;&gt;"",BA$3='Bonding Program'!$P$43),'Bonding Program'!$O$43,0)-IF(AND('Bonding Program'!$R$43&lt;&gt;"",BA$3='Bonding Program'!$R$43),'Bonding Program'!$Q$43,0),0)</f>
        <v>0</v>
      </c>
      <c r="BB184" s="19" t="n">
        <f aca="false">IF(AND('Bonding Program'!$S$43=1,BB$3='Bonding Program'!$H$43),'Bonding Program'!$AA$43,0)-IF(BB$3&lt;='Bonding Program'!$C$8,IF(AND('Bonding Program'!$K$43&lt;&gt;"",BB$3='Bonding Program'!$K$43),'Bonding Program'!$J$43,0)-IF(AND('Bonding Program'!$M$43&lt;&gt;"",BB$3='Bonding Program'!$M$43),'Bonding Program'!$L$43,0)-IF(AND('Bonding Program'!$P$43&lt;&gt;"",BB$3='Bonding Program'!$P$43),'Bonding Program'!$O$43,0)-IF(AND('Bonding Program'!$R$43&lt;&gt;"",BB$3='Bonding Program'!$R$43),'Bonding Program'!$Q$43,0),0)</f>
        <v>0</v>
      </c>
      <c r="BC184" s="19" t="n">
        <f aca="false">IF(AND('Bonding Program'!$S$43=1,BC$3='Bonding Program'!$H$43),'Bonding Program'!$AA$43,0)-IF(BC$3&lt;='Bonding Program'!$C$8,IF(AND('Bonding Program'!$K$43&lt;&gt;"",BC$3='Bonding Program'!$K$43),'Bonding Program'!$J$43,0)-IF(AND('Bonding Program'!$M$43&lt;&gt;"",BC$3='Bonding Program'!$M$43),'Bonding Program'!$L$43,0)-IF(AND('Bonding Program'!$P$43&lt;&gt;"",BC$3='Bonding Program'!$P$43),'Bonding Program'!$O$43,0)-IF(AND('Bonding Program'!$R$43&lt;&gt;"",BC$3='Bonding Program'!$R$43),'Bonding Program'!$Q$43,0),0)</f>
        <v>0</v>
      </c>
      <c r="BD184" s="19" t="n">
        <f aca="false">IF(AND('Bonding Program'!$S$43=1,BD$3='Bonding Program'!$H$43),'Bonding Program'!$AA$43,0)-IF(BD$3&lt;='Bonding Program'!$C$8,IF(AND('Bonding Program'!$K$43&lt;&gt;"",BD$3='Bonding Program'!$K$43),'Bonding Program'!$J$43,0)-IF(AND('Bonding Program'!$M$43&lt;&gt;"",BD$3='Bonding Program'!$M$43),'Bonding Program'!$L$43,0)-IF(AND('Bonding Program'!$P$43&lt;&gt;"",BD$3='Bonding Program'!$P$43),'Bonding Program'!$O$43,0)-IF(AND('Bonding Program'!$R$43&lt;&gt;"",BD$3='Bonding Program'!$R$43),'Bonding Program'!$Q$43,0),0)</f>
        <v>0</v>
      </c>
      <c r="BE184" s="19" t="n">
        <f aca="false">IF(AND('Bonding Program'!$S$43=1,BE$3='Bonding Program'!$H$43),'Bonding Program'!$AA$43,0)-IF(BE$3&lt;='Bonding Program'!$C$8,IF(AND('Bonding Program'!$K$43&lt;&gt;"",BE$3='Bonding Program'!$K$43),'Bonding Program'!$J$43,0)-IF(AND('Bonding Program'!$M$43&lt;&gt;"",BE$3='Bonding Program'!$M$43),'Bonding Program'!$L$43,0)-IF(AND('Bonding Program'!$P$43&lt;&gt;"",BE$3='Bonding Program'!$P$43),'Bonding Program'!$O$43,0)-IF(AND('Bonding Program'!$R$43&lt;&gt;"",BE$3='Bonding Program'!$R$43),'Bonding Program'!$Q$43,0),0)</f>
        <v>0</v>
      </c>
      <c r="BF184" s="19" t="n">
        <f aca="false">IF(AND('Bonding Program'!$S$43=1,BF$3='Bonding Program'!$H$43),'Bonding Program'!$AA$43,0)-IF(BF$3&lt;='Bonding Program'!$C$8,IF(AND('Bonding Program'!$K$43&lt;&gt;"",BF$3='Bonding Program'!$K$43),'Bonding Program'!$J$43,0)-IF(AND('Bonding Program'!$M$43&lt;&gt;"",BF$3='Bonding Program'!$M$43),'Bonding Program'!$L$43,0)-IF(AND('Bonding Program'!$P$43&lt;&gt;"",BF$3='Bonding Program'!$P$43),'Bonding Program'!$O$43,0)-IF(AND('Bonding Program'!$R$43&lt;&gt;"",BF$3='Bonding Program'!$R$43),'Bonding Program'!$Q$43,0),0)</f>
        <v>0</v>
      </c>
      <c r="BG184" s="19" t="n">
        <f aca="false">IF(AND('Bonding Program'!$S$43=1,BG$3='Bonding Program'!$H$43),'Bonding Program'!$AA$43,0)-IF(BG$3&lt;='Bonding Program'!$C$8,IF(AND('Bonding Program'!$K$43&lt;&gt;"",BG$3='Bonding Program'!$K$43),'Bonding Program'!$J$43,0)-IF(AND('Bonding Program'!$M$43&lt;&gt;"",BG$3='Bonding Program'!$M$43),'Bonding Program'!$L$43,0)-IF(AND('Bonding Program'!$P$43&lt;&gt;"",BG$3='Bonding Program'!$P$43),'Bonding Program'!$O$43,0)-IF(AND('Bonding Program'!$R$43&lt;&gt;"",BG$3='Bonding Program'!$R$43),'Bonding Program'!$Q$43,0),0)</f>
        <v>0</v>
      </c>
      <c r="BH184" s="19" t="n">
        <f aca="false">IF(AND('Bonding Program'!$S$43=1,BH$3='Bonding Program'!$H$43),'Bonding Program'!$AA$43,0)-IF(BH$3&lt;='Bonding Program'!$C$8,IF(AND('Bonding Program'!$K$43&lt;&gt;"",BH$3='Bonding Program'!$K$43),'Bonding Program'!$J$43,0)-IF(AND('Bonding Program'!$M$43&lt;&gt;"",BH$3='Bonding Program'!$M$43),'Bonding Program'!$L$43,0)-IF(AND('Bonding Program'!$P$43&lt;&gt;"",BH$3='Bonding Program'!$P$43),'Bonding Program'!$O$43,0)-IF(AND('Bonding Program'!$R$43&lt;&gt;"",BH$3='Bonding Program'!$R$43),'Bonding Program'!$Q$43,0),0)</f>
        <v>0</v>
      </c>
      <c r="BI184" s="19" t="n">
        <f aca="false">IF(AND('Bonding Program'!$S$43=1,BI$3='Bonding Program'!$H$43),'Bonding Program'!$AA$43,0)-IF(BI$3&lt;='Bonding Program'!$C$8,IF(AND('Bonding Program'!$K$43&lt;&gt;"",BI$3='Bonding Program'!$K$43),'Bonding Program'!$J$43,0)-IF(AND('Bonding Program'!$M$43&lt;&gt;"",BI$3='Bonding Program'!$M$43),'Bonding Program'!$L$43,0)-IF(AND('Bonding Program'!$P$43&lt;&gt;"",BI$3='Bonding Program'!$P$43),'Bonding Program'!$O$43,0)-IF(AND('Bonding Program'!$R$43&lt;&gt;"",BI$3='Bonding Program'!$R$43),'Bonding Program'!$Q$43,0),0)</f>
        <v>0</v>
      </c>
      <c r="BJ184" s="19" t="n">
        <f aca="false">IF(AND('Bonding Program'!$S$43=1,BJ$3='Bonding Program'!$H$43),'Bonding Program'!$AA$43,0)-IF(BJ$3&lt;='Bonding Program'!$C$8,IF(AND('Bonding Program'!$K$43&lt;&gt;"",BJ$3='Bonding Program'!$K$43),'Bonding Program'!$J$43,0)-IF(AND('Bonding Program'!$M$43&lt;&gt;"",BJ$3='Bonding Program'!$M$43),'Bonding Program'!$L$43,0)-IF(AND('Bonding Program'!$P$43&lt;&gt;"",BJ$3='Bonding Program'!$P$43),'Bonding Program'!$O$43,0)-IF(AND('Bonding Program'!$R$43&lt;&gt;"",BJ$3='Bonding Program'!$R$43),'Bonding Program'!$Q$43,0),0)</f>
        <v>0</v>
      </c>
      <c r="BK184" s="19" t="n">
        <f aca="false">IF(AND('Bonding Program'!$S$43=1,BK$3='Bonding Program'!$H$43),'Bonding Program'!$AA$43,0)-IF(BK$3&lt;='Bonding Program'!$C$8,IF(AND('Bonding Program'!$K$43&lt;&gt;"",BK$3='Bonding Program'!$K$43),'Bonding Program'!$J$43,0)-IF(AND('Bonding Program'!$M$43&lt;&gt;"",BK$3='Bonding Program'!$M$43),'Bonding Program'!$L$43,0)-IF(AND('Bonding Program'!$P$43&lt;&gt;"",BK$3='Bonding Program'!$P$43),'Bonding Program'!$O$43,0)-IF(AND('Bonding Program'!$R$43&lt;&gt;"",BK$3='Bonding Program'!$R$43),'Bonding Program'!$Q$43,0),0)</f>
        <v>0</v>
      </c>
      <c r="BL184" s="19" t="n">
        <f aca="false">IF(AND('Bonding Program'!$S$43=1,BL$3='Bonding Program'!$H$43),'Bonding Program'!$AA$43,0)-IF(BL$3&lt;='Bonding Program'!$C$8,IF(AND('Bonding Program'!$K$43&lt;&gt;"",BL$3='Bonding Program'!$K$43),'Bonding Program'!$J$43,0)-IF(AND('Bonding Program'!$M$43&lt;&gt;"",BL$3='Bonding Program'!$M$43),'Bonding Program'!$L$43,0)-IF(AND('Bonding Program'!$P$43&lt;&gt;"",BL$3='Bonding Program'!$P$43),'Bonding Program'!$O$43,0)-IF(AND('Bonding Program'!$R$43&lt;&gt;"",BL$3='Bonding Program'!$R$43),'Bonding Program'!$Q$43,0),0)</f>
        <v>0</v>
      </c>
      <c r="BM184" s="19" t="n">
        <f aca="false">IF(AND('Bonding Program'!$S$43=1,BM$3='Bonding Program'!$H$43),'Bonding Program'!$AA$43,0)-IF(BM$3&lt;='Bonding Program'!$C$8,IF(AND('Bonding Program'!$K$43&lt;&gt;"",BM$3='Bonding Program'!$K$43),'Bonding Program'!$J$43,0)-IF(AND('Bonding Program'!$M$43&lt;&gt;"",BM$3='Bonding Program'!$M$43),'Bonding Program'!$L$43,0)-IF(AND('Bonding Program'!$P$43&lt;&gt;"",BM$3='Bonding Program'!$P$43),'Bonding Program'!$O$43,0)-IF(AND('Bonding Program'!$R$43&lt;&gt;"",BM$3='Bonding Program'!$R$43),'Bonding Program'!$Q$43,0),0)</f>
        <v>0</v>
      </c>
      <c r="BN184" s="19" t="n">
        <f aca="false">IF(AND('Bonding Program'!$S$43=1,BN$3='Bonding Program'!$H$43),'Bonding Program'!$AA$43,0)-IF(BN$3&lt;='Bonding Program'!$C$8,IF(AND('Bonding Program'!$K$43&lt;&gt;"",BN$3='Bonding Program'!$K$43),'Bonding Program'!$J$43,0)-IF(AND('Bonding Program'!$M$43&lt;&gt;"",BN$3='Bonding Program'!$M$43),'Bonding Program'!$L$43,0)-IF(AND('Bonding Program'!$P$43&lt;&gt;"",BN$3='Bonding Program'!$P$43),'Bonding Program'!$O$43,0)-IF(AND('Bonding Program'!$R$43&lt;&gt;"",BN$3='Bonding Program'!$R$43),'Bonding Program'!$Q$43,0),0)</f>
        <v>0</v>
      </c>
      <c r="BO184" s="19" t="n">
        <f aca="false">IF(AND('Bonding Program'!$S$43=1,BO$3='Bonding Program'!$H$43),'Bonding Program'!$AA$43,0)-IF(BO$3&lt;='Bonding Program'!$C$8,IF(AND('Bonding Program'!$K$43&lt;&gt;"",BO$3='Bonding Program'!$K$43),'Bonding Program'!$J$43,0)-IF(AND('Bonding Program'!$M$43&lt;&gt;"",BO$3='Bonding Program'!$M$43),'Bonding Program'!$L$43,0)-IF(AND('Bonding Program'!$P$43&lt;&gt;"",BO$3='Bonding Program'!$P$43),'Bonding Program'!$O$43,0)-IF(AND('Bonding Program'!$R$43&lt;&gt;"",BO$3='Bonding Program'!$R$43),'Bonding Program'!$Q$43,0),0)</f>
        <v>0</v>
      </c>
      <c r="BP184" s="19" t="n">
        <f aca="false">IF(AND('Bonding Program'!$S$43=1,BP$3='Bonding Program'!$H$43),'Bonding Program'!$AA$43,0)-IF(BP$3&lt;='Bonding Program'!$C$8,IF(AND('Bonding Program'!$K$43&lt;&gt;"",BP$3='Bonding Program'!$K$43),'Bonding Program'!$J$43,0)-IF(AND('Bonding Program'!$M$43&lt;&gt;"",BP$3='Bonding Program'!$M$43),'Bonding Program'!$L$43,0)-IF(AND('Bonding Program'!$P$43&lt;&gt;"",BP$3='Bonding Program'!$P$43),'Bonding Program'!$O$43,0)-IF(AND('Bonding Program'!$R$43&lt;&gt;"",BP$3='Bonding Program'!$R$43),'Bonding Program'!$Q$43,0),0)</f>
        <v>0</v>
      </c>
      <c r="BQ184" s="19" t="n">
        <f aca="false">IF(AND('Bonding Program'!$S$43=1,BQ$3='Bonding Program'!$H$43),'Bonding Program'!$AA$43,0)-IF(BQ$3&lt;='Bonding Program'!$C$8,IF(AND('Bonding Program'!$K$43&lt;&gt;"",BQ$3='Bonding Program'!$K$43),'Bonding Program'!$J$43,0)-IF(AND('Bonding Program'!$M$43&lt;&gt;"",BQ$3='Bonding Program'!$M$43),'Bonding Program'!$L$43,0)-IF(AND('Bonding Program'!$P$43&lt;&gt;"",BQ$3='Bonding Program'!$P$43),'Bonding Program'!$O$43,0)-IF(AND('Bonding Program'!$R$43&lt;&gt;"",BQ$3='Bonding Program'!$R$43),'Bonding Program'!$Q$43,0),0)</f>
        <v>0</v>
      </c>
      <c r="BR184" s="19" t="n">
        <f aca="false">IF(AND('Bonding Program'!$S$43=1,BR$3='Bonding Program'!$H$43),'Bonding Program'!$AA$43,0)-IF(BR$3&lt;='Bonding Program'!$C$8,IF(AND('Bonding Program'!$K$43&lt;&gt;"",BR$3='Bonding Program'!$K$43),'Bonding Program'!$J$43,0)-IF(AND('Bonding Program'!$M$43&lt;&gt;"",BR$3='Bonding Program'!$M$43),'Bonding Program'!$L$43,0)-IF(AND('Bonding Program'!$P$43&lt;&gt;"",BR$3='Bonding Program'!$P$43),'Bonding Program'!$O$43,0)-IF(AND('Bonding Program'!$R$43&lt;&gt;"",BR$3='Bonding Program'!$R$43),'Bonding Program'!$Q$43,0),0)</f>
        <v>0</v>
      </c>
      <c r="BS184" s="19" t="n">
        <f aca="false">IF(AND('Bonding Program'!$S$43=1,BS$3='Bonding Program'!$H$43),'Bonding Program'!$AA$43,0)-IF(BS$3&lt;='Bonding Program'!$C$8,IF(AND('Bonding Program'!$K$43&lt;&gt;"",BS$3='Bonding Program'!$K$43),'Bonding Program'!$J$43,0)-IF(AND('Bonding Program'!$M$43&lt;&gt;"",BS$3='Bonding Program'!$M$43),'Bonding Program'!$L$43,0)-IF(AND('Bonding Program'!$P$43&lt;&gt;"",BS$3='Bonding Program'!$P$43),'Bonding Program'!$O$43,0)-IF(AND('Bonding Program'!$R$43&lt;&gt;"",BS$3='Bonding Program'!$R$43),'Bonding Program'!$Q$43,0),0)</f>
        <v>0</v>
      </c>
      <c r="BT184" s="19" t="n">
        <f aca="false">IF(AND('Bonding Program'!$S$43=1,BT$3='Bonding Program'!$H$43),'Bonding Program'!$AA$43,0)-IF(BT$3&lt;='Bonding Program'!$C$8,IF(AND('Bonding Program'!$K$43&lt;&gt;"",BT$3='Bonding Program'!$K$43),'Bonding Program'!$J$43,0)-IF(AND('Bonding Program'!$M$43&lt;&gt;"",BT$3='Bonding Program'!$M$43),'Bonding Program'!$L$43,0)-IF(AND('Bonding Program'!$P$43&lt;&gt;"",BT$3='Bonding Program'!$P$43),'Bonding Program'!$O$43,0)-IF(AND('Bonding Program'!$R$43&lt;&gt;"",BT$3='Bonding Program'!$R$43),'Bonding Program'!$Q$43,0),0)</f>
        <v>0</v>
      </c>
      <c r="BU184" s="19" t="n">
        <f aca="false">IF(AND('Bonding Program'!$S$43=1,BU$3='Bonding Program'!$H$43),'Bonding Program'!$AA$43,0)-IF(BU$3&lt;='Bonding Program'!$C$8,IF(AND('Bonding Program'!$K$43&lt;&gt;"",BU$3='Bonding Program'!$K$43),'Bonding Program'!$J$43,0)-IF(AND('Bonding Program'!$M$43&lt;&gt;"",BU$3='Bonding Program'!$M$43),'Bonding Program'!$L$43,0)-IF(AND('Bonding Program'!$P$43&lt;&gt;"",BU$3='Bonding Program'!$P$43),'Bonding Program'!$O$43,0)-IF(AND('Bonding Program'!$R$43&lt;&gt;"",BU$3='Bonding Program'!$R$43),'Bonding Program'!$Q$43,0),0)</f>
        <v>0</v>
      </c>
      <c r="BV184" s="19" t="n">
        <f aca="false">IF(AND('Bonding Program'!$S$43=1,BV$3='Bonding Program'!$H$43),'Bonding Program'!$AA$43,0)-IF(BV$3&lt;='Bonding Program'!$C$8,IF(AND('Bonding Program'!$K$43&lt;&gt;"",BV$3='Bonding Program'!$K$43),'Bonding Program'!$J$43,0)-IF(AND('Bonding Program'!$M$43&lt;&gt;"",BV$3='Bonding Program'!$M$43),'Bonding Program'!$L$43,0)-IF(AND('Bonding Program'!$P$43&lt;&gt;"",BV$3='Bonding Program'!$P$43),'Bonding Program'!$O$43,0)-IF(AND('Bonding Program'!$R$43&lt;&gt;"",BV$3='Bonding Program'!$R$43),'Bonding Program'!$Q$43,0),0)</f>
        <v>0</v>
      </c>
      <c r="BW184" s="19" t="n">
        <f aca="false">IF(AND('Bonding Program'!$S$43=1,BW$3='Bonding Program'!$H$43),'Bonding Program'!$AA$43,0)-IF(BW$3&lt;='Bonding Program'!$C$8,IF(AND('Bonding Program'!$K$43&lt;&gt;"",BW$3='Bonding Program'!$K$43),'Bonding Program'!$J$43,0)-IF(AND('Bonding Program'!$M$43&lt;&gt;"",BW$3='Bonding Program'!$M$43),'Bonding Program'!$L$43,0)-IF(AND('Bonding Program'!$P$43&lt;&gt;"",BW$3='Bonding Program'!$P$43),'Bonding Program'!$O$43,0)-IF(AND('Bonding Program'!$R$43&lt;&gt;"",BW$3='Bonding Program'!$R$43),'Bonding Program'!$Q$43,0),0)</f>
        <v>0</v>
      </c>
      <c r="BX184" s="19" t="n">
        <f aca="false">IF(AND('Bonding Program'!$S$43=1,BX$3='Bonding Program'!$H$43),'Bonding Program'!$AA$43,0)-IF(BX$3&lt;='Bonding Program'!$C$8,IF(AND('Bonding Program'!$K$43&lt;&gt;"",BX$3='Bonding Program'!$K$43),'Bonding Program'!$J$43,0)-IF(AND('Bonding Program'!$M$43&lt;&gt;"",BX$3='Bonding Program'!$M$43),'Bonding Program'!$L$43,0)-IF(AND('Bonding Program'!$P$43&lt;&gt;"",BX$3='Bonding Program'!$P$43),'Bonding Program'!$O$43,0)-IF(AND('Bonding Program'!$R$43&lt;&gt;"",BX$3='Bonding Program'!$R$43),'Bonding Program'!$Q$43,0),0)</f>
        <v>0</v>
      </c>
      <c r="BY184" s="19" t="n">
        <f aca="false">IF(AND('Bonding Program'!$S$43=1,BY$3='Bonding Program'!$H$43),'Bonding Program'!$AA$43,0)-IF(BY$3&lt;='Bonding Program'!$C$8,IF(AND('Bonding Program'!$K$43&lt;&gt;"",BY$3='Bonding Program'!$K$43),'Bonding Program'!$J$43,0)-IF(AND('Bonding Program'!$M$43&lt;&gt;"",BY$3='Bonding Program'!$M$43),'Bonding Program'!$L$43,0)-IF(AND('Bonding Program'!$P$43&lt;&gt;"",BY$3='Bonding Program'!$P$43),'Bonding Program'!$O$43,0)-IF(AND('Bonding Program'!$R$43&lt;&gt;"",BY$3='Bonding Program'!$R$43),'Bonding Program'!$Q$43,0),0)</f>
        <v>0</v>
      </c>
      <c r="BZ184" s="19" t="n">
        <f aca="false">IF(AND('Bonding Program'!$S$43=1,BZ$3='Bonding Program'!$H$43),'Bonding Program'!$AA$43,0)-IF(BZ$3&lt;='Bonding Program'!$C$8,IF(AND('Bonding Program'!$K$43&lt;&gt;"",BZ$3='Bonding Program'!$K$43),'Bonding Program'!$J$43,0)-IF(AND('Bonding Program'!$M$43&lt;&gt;"",BZ$3='Bonding Program'!$M$43),'Bonding Program'!$L$43,0)-IF(AND('Bonding Program'!$P$43&lt;&gt;"",BZ$3='Bonding Program'!$P$43),'Bonding Program'!$O$43,0)-IF(AND('Bonding Program'!$R$43&lt;&gt;"",BZ$3='Bonding Program'!$R$43),'Bonding Program'!$Q$43,0),0)</f>
        <v>0</v>
      </c>
      <c r="CA184" s="19" t="n">
        <f aca="false">IF(AND('Bonding Program'!$S$43=1,CA$3='Bonding Program'!$H$43),'Bonding Program'!$AA$43,0)-IF(CA$3&lt;='Bonding Program'!$C$8,IF(AND('Bonding Program'!$K$43&lt;&gt;"",CA$3='Bonding Program'!$K$43),'Bonding Program'!$J$43,0)-IF(AND('Bonding Program'!$M$43&lt;&gt;"",CA$3='Bonding Program'!$M$43),'Bonding Program'!$L$43,0)-IF(AND('Bonding Program'!$P$43&lt;&gt;"",CA$3='Bonding Program'!$P$43),'Bonding Program'!$O$43,0)-IF(AND('Bonding Program'!$R$43&lt;&gt;"",CA$3='Bonding Program'!$R$43),'Bonding Program'!$Q$43,0),0)</f>
        <v>0</v>
      </c>
      <c r="CB184" s="19" t="n">
        <f aca="false">IF(AND('Bonding Program'!$S$43=1,CB$3='Bonding Program'!$H$43),'Bonding Program'!$AA$43,0)-IF(CB$3&lt;='Bonding Program'!$C$8,IF(AND('Bonding Program'!$K$43&lt;&gt;"",CB$3='Bonding Program'!$K$43),'Bonding Program'!$J$43,0)-IF(AND('Bonding Program'!$M$43&lt;&gt;"",CB$3='Bonding Program'!$M$43),'Bonding Program'!$L$43,0)-IF(AND('Bonding Program'!$P$43&lt;&gt;"",CB$3='Bonding Program'!$P$43),'Bonding Program'!$O$43,0)-IF(AND('Bonding Program'!$R$43&lt;&gt;"",CB$3='Bonding Program'!$R$43),'Bonding Program'!$Q$43,0),0)</f>
        <v>0</v>
      </c>
      <c r="CC184" s="19" t="n">
        <f aca="false">IF(AND('Bonding Program'!$S$43=1,CC$3='Bonding Program'!$H$43),'Bonding Program'!$AA$43,0)-IF(CC$3&lt;='Bonding Program'!$C$8,IF(AND('Bonding Program'!$K$43&lt;&gt;"",CC$3='Bonding Program'!$K$43),'Bonding Program'!$J$43,0)-IF(AND('Bonding Program'!$M$43&lt;&gt;"",CC$3='Bonding Program'!$M$43),'Bonding Program'!$L$43,0)-IF(AND('Bonding Program'!$P$43&lt;&gt;"",CC$3='Bonding Program'!$P$43),'Bonding Program'!$O$43,0)-IF(AND('Bonding Program'!$R$43&lt;&gt;"",CC$3='Bonding Program'!$R$43),'Bonding Program'!$Q$43,0),0)</f>
        <v>0</v>
      </c>
      <c r="CD184" s="19" t="n">
        <f aca="false">IF(AND('Bonding Program'!$S$43=1,CD$3='Bonding Program'!$H$43),'Bonding Program'!$AA$43,0)-IF(CD$3&lt;='Bonding Program'!$C$8,IF(AND('Bonding Program'!$K$43&lt;&gt;"",CD$3='Bonding Program'!$K$43),'Bonding Program'!$J$43,0)-IF(AND('Bonding Program'!$M$43&lt;&gt;"",CD$3='Bonding Program'!$M$43),'Bonding Program'!$L$43,0)-IF(AND('Bonding Program'!$P$43&lt;&gt;"",CD$3='Bonding Program'!$P$43),'Bonding Program'!$O$43,0)-IF(AND('Bonding Program'!$R$43&lt;&gt;"",CD$3='Bonding Program'!$R$43),'Bonding Program'!$Q$43,0),0)</f>
        <v>0</v>
      </c>
      <c r="CE184" s="19" t="n">
        <f aca="false">IF(AND('Bonding Program'!$S$43=1,CE$3='Bonding Program'!$H$43),'Bonding Program'!$AA$43,0)-IF(CE$3&lt;='Bonding Program'!$C$8,IF(AND('Bonding Program'!$K$43&lt;&gt;"",CE$3='Bonding Program'!$K$43),'Bonding Program'!$J$43,0)-IF(AND('Bonding Program'!$M$43&lt;&gt;"",CE$3='Bonding Program'!$M$43),'Bonding Program'!$L$43,0)-IF(AND('Bonding Program'!$P$43&lt;&gt;"",CE$3='Bonding Program'!$P$43),'Bonding Program'!$O$43,0)-IF(AND('Bonding Program'!$R$43&lt;&gt;"",CE$3='Bonding Program'!$R$43),'Bonding Program'!$Q$43,0),0)</f>
        <v>0</v>
      </c>
      <c r="CF184" s="19" t="n">
        <f aca="false">IF(AND('Bonding Program'!$S$43=1,CF$3='Bonding Program'!$H$43),'Bonding Program'!$AA$43,0)-IF(CF$3&lt;='Bonding Program'!$C$8,IF(AND('Bonding Program'!$K$43&lt;&gt;"",CF$3='Bonding Program'!$K$43),'Bonding Program'!$J$43,0)-IF(AND('Bonding Program'!$M$43&lt;&gt;"",CF$3='Bonding Program'!$M$43),'Bonding Program'!$L$43,0)-IF(AND('Bonding Program'!$P$43&lt;&gt;"",CF$3='Bonding Program'!$P$43),'Bonding Program'!$O$43,0)-IF(AND('Bonding Program'!$R$43&lt;&gt;"",CF$3='Bonding Program'!$R$43),'Bonding Program'!$Q$43,0),0)</f>
        <v>0</v>
      </c>
      <c r="CG184" s="19" t="n">
        <f aca="false">IF(AND('Bonding Program'!$S$43=1,CG$3='Bonding Program'!$H$43),'Bonding Program'!$AA$43,0)-IF(CG$3&lt;='Bonding Program'!$C$8,IF(AND('Bonding Program'!$K$43&lt;&gt;"",CG$3='Bonding Program'!$K$43),'Bonding Program'!$J$43,0)-IF(AND('Bonding Program'!$M$43&lt;&gt;"",CG$3='Bonding Program'!$M$43),'Bonding Program'!$L$43,0)-IF(AND('Bonding Program'!$P$43&lt;&gt;"",CG$3='Bonding Program'!$P$43),'Bonding Program'!$O$43,0)-IF(AND('Bonding Program'!$R$43&lt;&gt;"",CG$3='Bonding Program'!$R$43),'Bonding Program'!$Q$43,0),0)</f>
        <v>0</v>
      </c>
      <c r="CH184" s="19" t="n">
        <f aca="false">IF(AND('Bonding Program'!$S$43=1,CH$3='Bonding Program'!$H$43),'Bonding Program'!$AA$43,0)-IF(CH$3&lt;='Bonding Program'!$C$8,IF(AND('Bonding Program'!$K$43&lt;&gt;"",CH$3='Bonding Program'!$K$43),'Bonding Program'!$J$43,0)-IF(AND('Bonding Program'!$M$43&lt;&gt;"",CH$3='Bonding Program'!$M$43),'Bonding Program'!$L$43,0)-IF(AND('Bonding Program'!$P$43&lt;&gt;"",CH$3='Bonding Program'!$P$43),'Bonding Program'!$O$43,0)-IF(AND('Bonding Program'!$R$43&lt;&gt;"",CH$3='Bonding Program'!$R$43),'Bonding Program'!$Q$43,0),0)</f>
        <v>0</v>
      </c>
      <c r="CI184" s="19" t="n">
        <f aca="false">IF(AND('Bonding Program'!$S$43=1,CI$3='Bonding Program'!$H$43),'Bonding Program'!$AA$43,0)-IF(CI$3&lt;='Bonding Program'!$C$8,IF(AND('Bonding Program'!$K$43&lt;&gt;"",CI$3='Bonding Program'!$K$43),'Bonding Program'!$J$43,0)-IF(AND('Bonding Program'!$M$43&lt;&gt;"",CI$3='Bonding Program'!$M$43),'Bonding Program'!$L$43,0)-IF(AND('Bonding Program'!$P$43&lt;&gt;"",CI$3='Bonding Program'!$P$43),'Bonding Program'!$O$43,0)-IF(AND('Bonding Program'!$R$43&lt;&gt;"",CI$3='Bonding Program'!$R$43),'Bonding Program'!$Q$43,0),0)</f>
        <v>0</v>
      </c>
      <c r="CJ184" s="19" t="n">
        <f aca="false">IF(AND('Bonding Program'!$S$43=1,CJ$3='Bonding Program'!$H$43),'Bonding Program'!$AA$43,0)-IF(CJ$3&lt;='Bonding Program'!$C$8,IF(AND('Bonding Program'!$K$43&lt;&gt;"",CJ$3='Bonding Program'!$K$43),'Bonding Program'!$J$43,0)-IF(AND('Bonding Program'!$M$43&lt;&gt;"",CJ$3='Bonding Program'!$M$43),'Bonding Program'!$L$43,0)-IF(AND('Bonding Program'!$P$43&lt;&gt;"",CJ$3='Bonding Program'!$P$43),'Bonding Program'!$O$43,0)-IF(AND('Bonding Program'!$R$43&lt;&gt;"",CJ$3='Bonding Program'!$R$43),'Bonding Program'!$Q$43,0),0)</f>
        <v>0</v>
      </c>
      <c r="CK184" s="19" t="n">
        <f aca="false">IF(AND('Bonding Program'!$S$43=1,CK$3='Bonding Program'!$H$43),'Bonding Program'!$AA$43,0)-IF(CK$3&lt;='Bonding Program'!$C$8,IF(AND('Bonding Program'!$K$43&lt;&gt;"",CK$3='Bonding Program'!$K$43),'Bonding Program'!$J$43,0)-IF(AND('Bonding Program'!$M$43&lt;&gt;"",CK$3='Bonding Program'!$M$43),'Bonding Program'!$L$43,0)-IF(AND('Bonding Program'!$P$43&lt;&gt;"",CK$3='Bonding Program'!$P$43),'Bonding Program'!$O$43,0)-IF(AND('Bonding Program'!$R$43&lt;&gt;"",CK$3='Bonding Program'!$R$43),'Bonding Program'!$Q$43,0),0)</f>
        <v>0</v>
      </c>
      <c r="CL184" s="19" t="n">
        <f aca="false">IF(AND('Bonding Program'!$S$43=1,CL$3='Bonding Program'!$H$43),'Bonding Program'!$AA$43,0)-IF(CL$3&lt;='Bonding Program'!$C$8,IF(AND('Bonding Program'!$K$43&lt;&gt;"",CL$3='Bonding Program'!$K$43),'Bonding Program'!$J$43,0)-IF(AND('Bonding Program'!$M$43&lt;&gt;"",CL$3='Bonding Program'!$M$43),'Bonding Program'!$L$43,0)-IF(AND('Bonding Program'!$P$43&lt;&gt;"",CL$3='Bonding Program'!$P$43),'Bonding Program'!$O$43,0)-IF(AND('Bonding Program'!$R$43&lt;&gt;"",CL$3='Bonding Program'!$R$43),'Bonding Program'!$Q$43,0),0)</f>
        <v>0</v>
      </c>
      <c r="CM184" s="19" t="n">
        <f aca="false">IF(AND('Bonding Program'!$S$43=1,CM$3='Bonding Program'!$H$43),'Bonding Program'!$AA$43,0)-IF(CM$3&lt;='Bonding Program'!$C$8,IF(AND('Bonding Program'!$K$43&lt;&gt;"",CM$3='Bonding Program'!$K$43),'Bonding Program'!$J$43,0)-IF(AND('Bonding Program'!$M$43&lt;&gt;"",CM$3='Bonding Program'!$M$43),'Bonding Program'!$L$43,0)-IF(AND('Bonding Program'!$P$43&lt;&gt;"",CM$3='Bonding Program'!$P$43),'Bonding Program'!$O$43,0)-IF(AND('Bonding Program'!$R$43&lt;&gt;"",CM$3='Bonding Program'!$R$43),'Bonding Program'!$Q$43,0),0)</f>
        <v>0</v>
      </c>
      <c r="CN184" s="19" t="n">
        <f aca="false">IF(AND('Bonding Program'!$S$43=1,CN$3='Bonding Program'!$H$43),'Bonding Program'!$AA$43,0)-IF(CN$3&lt;='Bonding Program'!$C$8,IF(AND('Bonding Program'!$K$43&lt;&gt;"",CN$3='Bonding Program'!$K$43),'Bonding Program'!$J$43,0)-IF(AND('Bonding Program'!$M$43&lt;&gt;"",CN$3='Bonding Program'!$M$43),'Bonding Program'!$L$43,0)-IF(AND('Bonding Program'!$P$43&lt;&gt;"",CN$3='Bonding Program'!$P$43),'Bonding Program'!$O$43,0)-IF(AND('Bonding Program'!$R$43&lt;&gt;"",CN$3='Bonding Program'!$R$43),'Bonding Program'!$Q$43,0),0)</f>
        <v>0</v>
      </c>
      <c r="CO184" s="19" t="n">
        <f aca="false">IF(AND('Bonding Program'!$S$43=1,CO$3='Bonding Program'!$H$43),'Bonding Program'!$AA$43,0)-IF(CO$3&lt;='Bonding Program'!$C$8,IF(AND('Bonding Program'!$K$43&lt;&gt;"",CO$3='Bonding Program'!$K$43),'Bonding Program'!$J$43,0)-IF(AND('Bonding Program'!$M$43&lt;&gt;"",CO$3='Bonding Program'!$M$43),'Bonding Program'!$L$43,0)-IF(AND('Bonding Program'!$P$43&lt;&gt;"",CO$3='Bonding Program'!$P$43),'Bonding Program'!$O$43,0)-IF(AND('Bonding Program'!$R$43&lt;&gt;"",CO$3='Bonding Program'!$R$43),'Bonding Program'!$Q$43,0),0)</f>
        <v>0</v>
      </c>
      <c r="CP184" s="19" t="n">
        <f aca="false">IF(AND('Bonding Program'!$S$43=1,CP$3='Bonding Program'!$H$43),'Bonding Program'!$AA$43,0)-IF(CP$3&lt;='Bonding Program'!$C$8,IF(AND('Bonding Program'!$K$43&lt;&gt;"",CP$3='Bonding Program'!$K$43),'Bonding Program'!$J$43,0)-IF(AND('Bonding Program'!$M$43&lt;&gt;"",CP$3='Bonding Program'!$M$43),'Bonding Program'!$L$43,0)-IF(AND('Bonding Program'!$P$43&lt;&gt;"",CP$3='Bonding Program'!$P$43),'Bonding Program'!$O$43,0)-IF(AND('Bonding Program'!$R$43&lt;&gt;"",CP$3='Bonding Program'!$R$43),'Bonding Program'!$Q$43,0),0)</f>
        <v>0</v>
      </c>
      <c r="CQ184" s="19" t="n">
        <f aca="false">IF(AND('Bonding Program'!$S$43=1,CQ$3='Bonding Program'!$H$43),'Bonding Program'!$AA$43,0)-IF(CQ$3&lt;='Bonding Program'!$C$8,IF(AND('Bonding Program'!$K$43&lt;&gt;"",CQ$3='Bonding Program'!$K$43),'Bonding Program'!$J$43,0)-IF(AND('Bonding Program'!$M$43&lt;&gt;"",CQ$3='Bonding Program'!$M$43),'Bonding Program'!$L$43,0)-IF(AND('Bonding Program'!$P$43&lt;&gt;"",CQ$3='Bonding Program'!$P$43),'Bonding Program'!$O$43,0)-IF(AND('Bonding Program'!$R$43&lt;&gt;"",CQ$3='Bonding Program'!$R$43),'Bonding Program'!$Q$43,0),0)</f>
        <v>0</v>
      </c>
      <c r="CR184" s="19" t="n">
        <f aca="false">IF(AND('Bonding Program'!$S$43=1,CR$3='Bonding Program'!$H$43),'Bonding Program'!$AA$43,0)-IF(CR$3&lt;='Bonding Program'!$C$8,IF(AND('Bonding Program'!$K$43&lt;&gt;"",CR$3='Bonding Program'!$K$43),'Bonding Program'!$J$43,0)-IF(AND('Bonding Program'!$M$43&lt;&gt;"",CR$3='Bonding Program'!$M$43),'Bonding Program'!$L$43,0)-IF(AND('Bonding Program'!$P$43&lt;&gt;"",CR$3='Bonding Program'!$P$43),'Bonding Program'!$O$43,0)-IF(AND('Bonding Program'!$R$43&lt;&gt;"",CR$3='Bonding Program'!$R$43),'Bonding Program'!$Q$43,0),0)</f>
        <v>0</v>
      </c>
      <c r="CS184" s="19" t="n">
        <f aca="false">IF(AND('Bonding Program'!$S$43=1,CS$3='Bonding Program'!$H$43),'Bonding Program'!$AA$43,0)-IF(CS$3&lt;='Bonding Program'!$C$8,IF(AND('Bonding Program'!$K$43&lt;&gt;"",CS$3='Bonding Program'!$K$43),'Bonding Program'!$J$43,0)-IF(AND('Bonding Program'!$M$43&lt;&gt;"",CS$3='Bonding Program'!$M$43),'Bonding Program'!$L$43,0)-IF(AND('Bonding Program'!$P$43&lt;&gt;"",CS$3='Bonding Program'!$P$43),'Bonding Program'!$O$43,0)-IF(AND('Bonding Program'!$R$43&lt;&gt;"",CS$3='Bonding Program'!$R$43),'Bonding Program'!$Q$43,0),0)</f>
        <v>0</v>
      </c>
      <c r="CT184" s="19" t="n">
        <f aca="false">IF(AND('Bonding Program'!$S$43=1,CT$3='Bonding Program'!$H$43),'Bonding Program'!$AA$43,0)-IF(CT$3&lt;='Bonding Program'!$C$8,IF(AND('Bonding Program'!$K$43&lt;&gt;"",CT$3='Bonding Program'!$K$43),'Bonding Program'!$J$43,0)-IF(AND('Bonding Program'!$M$43&lt;&gt;"",CT$3='Bonding Program'!$M$43),'Bonding Program'!$L$43,0)-IF(AND('Bonding Program'!$P$43&lt;&gt;"",CT$3='Bonding Program'!$P$43),'Bonding Program'!$O$43,0)-IF(AND('Bonding Program'!$R$43&lt;&gt;"",CT$3='Bonding Program'!$R$43),'Bonding Program'!$Q$43,0),0)</f>
        <v>0</v>
      </c>
      <c r="CU184" s="19" t="n">
        <f aca="false">IF(AND('Bonding Program'!$S$43=1,CU$3='Bonding Program'!$H$43),'Bonding Program'!$AA$43,0)-IF(CU$3&lt;='Bonding Program'!$C$8,IF(AND('Bonding Program'!$K$43&lt;&gt;"",CU$3='Bonding Program'!$K$43),'Bonding Program'!$J$43,0)-IF(AND('Bonding Program'!$M$43&lt;&gt;"",CU$3='Bonding Program'!$M$43),'Bonding Program'!$L$43,0)-IF(AND('Bonding Program'!$P$43&lt;&gt;"",CU$3='Bonding Program'!$P$43),'Bonding Program'!$O$43,0)-IF(AND('Bonding Program'!$R$43&lt;&gt;"",CU$3='Bonding Program'!$R$43),'Bonding Program'!$Q$43,0),0)</f>
        <v>0</v>
      </c>
      <c r="CV184" s="19" t="n">
        <f aca="false">IF(AND('Bonding Program'!$S$43=1,CV$3='Bonding Program'!$H$43),'Bonding Program'!$AA$43,0)-IF(CV$3&lt;='Bonding Program'!$C$8,IF(AND('Bonding Program'!$K$43&lt;&gt;"",CV$3='Bonding Program'!$K$43),'Bonding Program'!$J$43,0)-IF(AND('Bonding Program'!$M$43&lt;&gt;"",CV$3='Bonding Program'!$M$43),'Bonding Program'!$L$43,0)-IF(AND('Bonding Program'!$P$43&lt;&gt;"",CV$3='Bonding Program'!$P$43),'Bonding Program'!$O$43,0)-IF(AND('Bonding Program'!$R$43&lt;&gt;"",CV$3='Bonding Program'!$R$43),'Bonding Program'!$Q$43,0),0)</f>
        <v>0</v>
      </c>
      <c r="CW184" s="19" t="n">
        <f aca="false">IF(AND('Bonding Program'!$S$43=1,CW$3='Bonding Program'!$H$43),'Bonding Program'!$AA$43,0)-IF(CW$3&lt;='Bonding Program'!$C$8,IF(AND('Bonding Program'!$K$43&lt;&gt;"",CW$3='Bonding Program'!$K$43),'Bonding Program'!$J$43,0)-IF(AND('Bonding Program'!$M$43&lt;&gt;"",CW$3='Bonding Program'!$M$43),'Bonding Program'!$L$43,0)-IF(AND('Bonding Program'!$P$43&lt;&gt;"",CW$3='Bonding Program'!$P$43),'Bonding Program'!$O$43,0)-IF(AND('Bonding Program'!$R$43&lt;&gt;"",CW$3='Bonding Program'!$R$43),'Bonding Program'!$Q$43,0),0)</f>
        <v>0</v>
      </c>
      <c r="CX184" s="19" t="n">
        <f aca="false">IF(AND('Bonding Program'!$S$43=1,CX$3='Bonding Program'!$H$43),'Bonding Program'!$AA$43,0)-IF(CX$3&lt;='Bonding Program'!$C$8,IF(AND('Bonding Program'!$K$43&lt;&gt;"",CX$3='Bonding Program'!$K$43),'Bonding Program'!$J$43,0)-IF(AND('Bonding Program'!$M$43&lt;&gt;"",CX$3='Bonding Program'!$M$43),'Bonding Program'!$L$43,0)-IF(AND('Bonding Program'!$P$43&lt;&gt;"",CX$3='Bonding Program'!$P$43),'Bonding Program'!$O$43,0)-IF(AND('Bonding Program'!$R$43&lt;&gt;"",CX$3='Bonding Program'!$R$43),'Bonding Program'!$Q$43,0),0)</f>
        <v>0</v>
      </c>
      <c r="CY184" s="19" t="n">
        <f aca="false">IF(AND('Bonding Program'!$S$43=1,CY$3='Bonding Program'!$H$43),'Bonding Program'!$AA$43,0)-IF(CY$3&lt;='Bonding Program'!$C$8,IF(AND('Bonding Program'!$K$43&lt;&gt;"",CY$3='Bonding Program'!$K$43),'Bonding Program'!$J$43,0)-IF(AND('Bonding Program'!$M$43&lt;&gt;"",CY$3='Bonding Program'!$M$43),'Bonding Program'!$L$43,0)-IF(AND('Bonding Program'!$P$43&lt;&gt;"",CY$3='Bonding Program'!$P$43),'Bonding Program'!$O$43,0)-IF(AND('Bonding Program'!$R$43&lt;&gt;"",CY$3='Bonding Program'!$R$43),'Bonding Program'!$Q$43,0),0)</f>
        <v>0</v>
      </c>
      <c r="CZ184" s="19" t="n">
        <f aca="false">IF(AND('Bonding Program'!$S$43=1,CZ$3='Bonding Program'!$H$43),'Bonding Program'!$AA$43,0)-IF(CZ$3&lt;='Bonding Program'!$C$8,IF(AND('Bonding Program'!$K$43&lt;&gt;"",CZ$3='Bonding Program'!$K$43),'Bonding Program'!$J$43,0)-IF(AND('Bonding Program'!$M$43&lt;&gt;"",CZ$3='Bonding Program'!$M$43),'Bonding Program'!$L$43,0)-IF(AND('Bonding Program'!$P$43&lt;&gt;"",CZ$3='Bonding Program'!$P$43),'Bonding Program'!$O$43,0)-IF(AND('Bonding Program'!$R$43&lt;&gt;"",CZ$3='Bonding Program'!$R$43),'Bonding Program'!$Q$43,0),0)</f>
        <v>0</v>
      </c>
      <c r="DA184" s="19" t="n">
        <f aca="false">IF(AND('Bonding Program'!$S$43=1,DA$3='Bonding Program'!$H$43),'Bonding Program'!$AA$43,0)-IF(DA$3&lt;='Bonding Program'!$C$8,IF(AND('Bonding Program'!$K$43&lt;&gt;"",DA$3='Bonding Program'!$K$43),'Bonding Program'!$J$43,0)-IF(AND('Bonding Program'!$M$43&lt;&gt;"",DA$3='Bonding Program'!$M$43),'Bonding Program'!$L$43,0)-IF(AND('Bonding Program'!$P$43&lt;&gt;"",DA$3='Bonding Program'!$P$43),'Bonding Program'!$O$43,0)-IF(AND('Bonding Program'!$R$43&lt;&gt;"",DA$3='Bonding Program'!$R$43),'Bonding Program'!$Q$43,0),0)</f>
        <v>0</v>
      </c>
      <c r="DB184" s="19" t="n">
        <f aca="false">IF(AND('Bonding Program'!$S$43=1,DB$3='Bonding Program'!$H$43),'Bonding Program'!$AA$43,0)-IF(DB$3&lt;='Bonding Program'!$C$8,IF(AND('Bonding Program'!$K$43&lt;&gt;"",DB$3='Bonding Program'!$K$43),'Bonding Program'!$J$43,0)-IF(AND('Bonding Program'!$M$43&lt;&gt;"",DB$3='Bonding Program'!$M$43),'Bonding Program'!$L$43,0)-IF(AND('Bonding Program'!$P$43&lt;&gt;"",DB$3='Bonding Program'!$P$43),'Bonding Program'!$O$43,0)-IF(AND('Bonding Program'!$R$43&lt;&gt;"",DB$3='Bonding Program'!$R$43),'Bonding Program'!$Q$43,0),0)</f>
        <v>0</v>
      </c>
      <c r="DC184" s="19" t="n">
        <f aca="false">IF(AND('Bonding Program'!$S$43=1,DC$3='Bonding Program'!$H$43),'Bonding Program'!$AA$43,0)-IF(DC$3&lt;='Bonding Program'!$C$8,IF(AND('Bonding Program'!$K$43&lt;&gt;"",DC$3='Bonding Program'!$K$43),'Bonding Program'!$J$43,0)-IF(AND('Bonding Program'!$M$43&lt;&gt;"",DC$3='Bonding Program'!$M$43),'Bonding Program'!$L$43,0)-IF(AND('Bonding Program'!$P$43&lt;&gt;"",DC$3='Bonding Program'!$P$43),'Bonding Program'!$O$43,0)-IF(AND('Bonding Program'!$R$43&lt;&gt;"",DC$3='Bonding Program'!$R$43),'Bonding Program'!$Q$43,0),0)</f>
        <v>0</v>
      </c>
      <c r="DD184" s="19" t="n">
        <f aca="false">IF(AND('Bonding Program'!$S$43=1,DD$3='Bonding Program'!$H$43),'Bonding Program'!$AA$43,0)-IF(DD$3&lt;='Bonding Program'!$C$8,IF(AND('Bonding Program'!$K$43&lt;&gt;"",DD$3='Bonding Program'!$K$43),'Bonding Program'!$J$43,0)-IF(AND('Bonding Program'!$M$43&lt;&gt;"",DD$3='Bonding Program'!$M$43),'Bonding Program'!$L$43,0)-IF(AND('Bonding Program'!$P$43&lt;&gt;"",DD$3='Bonding Program'!$P$43),'Bonding Program'!$O$43,0)-IF(AND('Bonding Program'!$R$43&lt;&gt;"",DD$3='Bonding Program'!$R$43),'Bonding Program'!$Q$43,0),0)</f>
        <v>0</v>
      </c>
      <c r="DE184" s="19" t="n">
        <f aca="false">IF(AND('Bonding Program'!$S$43=1,DE$3='Bonding Program'!$H$43),'Bonding Program'!$AA$43,0)-IF(DE$3&lt;='Bonding Program'!$C$8,IF(AND('Bonding Program'!$K$43&lt;&gt;"",DE$3='Bonding Program'!$K$43),'Bonding Program'!$J$43,0)-IF(AND('Bonding Program'!$M$43&lt;&gt;"",DE$3='Bonding Program'!$M$43),'Bonding Program'!$L$43,0)-IF(AND('Bonding Program'!$P$43&lt;&gt;"",DE$3='Bonding Program'!$P$43),'Bonding Program'!$O$43,0)-IF(AND('Bonding Program'!$R$43&lt;&gt;"",DE$3='Bonding Program'!$R$43),'Bonding Program'!$Q$43,0),0)</f>
        <v>0</v>
      </c>
    </row>
    <row r="185" customFormat="false" ht="15" hidden="false" customHeight="true" outlineLevel="1" collapsed="false">
      <c r="A185" s="28" t="s">
        <v>40</v>
      </c>
      <c r="B185" s="19" t="n">
        <f aca="false">IF(AND('Bonding Program'!$S$44=1,B$3='Bonding Program'!$H$44),'Bonding Program'!$AA$44,0)-IF(B$3&lt;='Bonding Program'!$C$8,IF(AND('Bonding Program'!$K$44&lt;&gt;"",B$3='Bonding Program'!$K$44),'Bonding Program'!$J$44,0)-IF(AND('Bonding Program'!$M$44&lt;&gt;"",B$3='Bonding Program'!$M$44),'Bonding Program'!$L$44,0)-IF(AND('Bonding Program'!$P$44&lt;&gt;"",B$3='Bonding Program'!$P$44),'Bonding Program'!$O$44,0)-IF(AND('Bonding Program'!$R$44&lt;&gt;"",B$3='Bonding Program'!$R$44),'Bonding Program'!$Q$44,0),0)</f>
        <v>0</v>
      </c>
      <c r="C185" s="19" t="n">
        <f aca="false">IF(AND('Bonding Program'!$S$44=1,C$3='Bonding Program'!$H$44),'Bonding Program'!$AA$44,0)-IF(C$3&lt;='Bonding Program'!$C$8,IF(AND('Bonding Program'!$K$44&lt;&gt;"",C$3='Bonding Program'!$K$44),'Bonding Program'!$J$44,0)-IF(AND('Bonding Program'!$M$44&lt;&gt;"",C$3='Bonding Program'!$M$44),'Bonding Program'!$L$44,0)-IF(AND('Bonding Program'!$P$44&lt;&gt;"",C$3='Bonding Program'!$P$44),'Bonding Program'!$O$44,0)-IF(AND('Bonding Program'!$R$44&lt;&gt;"",C$3='Bonding Program'!$R$44),'Bonding Program'!$Q$44,0),0)</f>
        <v>0</v>
      </c>
      <c r="D185" s="19" t="n">
        <f aca="false">IF(AND('Bonding Program'!$S$44=1,D$3='Bonding Program'!$H$44),'Bonding Program'!$AA$44,0)-IF(D$3&lt;='Bonding Program'!$C$8,IF(AND('Bonding Program'!$K$44&lt;&gt;"",D$3='Bonding Program'!$K$44),'Bonding Program'!$J$44,0)-IF(AND('Bonding Program'!$M$44&lt;&gt;"",D$3='Bonding Program'!$M$44),'Bonding Program'!$L$44,0)-IF(AND('Bonding Program'!$P$44&lt;&gt;"",D$3='Bonding Program'!$P$44),'Bonding Program'!$O$44,0)-IF(AND('Bonding Program'!$R$44&lt;&gt;"",D$3='Bonding Program'!$R$44),'Bonding Program'!$Q$44,0),0)</f>
        <v>0</v>
      </c>
      <c r="E185" s="19" t="n">
        <f aca="false">IF(AND('Bonding Program'!$S$44=1,E$3='Bonding Program'!$H$44),'Bonding Program'!$AA$44,0)-IF(E$3&lt;='Bonding Program'!$C$8,IF(AND('Bonding Program'!$K$44&lt;&gt;"",E$3='Bonding Program'!$K$44),'Bonding Program'!$J$44,0)-IF(AND('Bonding Program'!$M$44&lt;&gt;"",E$3='Bonding Program'!$M$44),'Bonding Program'!$L$44,0)-IF(AND('Bonding Program'!$P$44&lt;&gt;"",E$3='Bonding Program'!$P$44),'Bonding Program'!$O$44,0)-IF(AND('Bonding Program'!$R$44&lt;&gt;"",E$3='Bonding Program'!$R$44),'Bonding Program'!$Q$44,0),0)</f>
        <v>0</v>
      </c>
      <c r="F185" s="19" t="n">
        <f aca="false">IF(AND('Bonding Program'!$S$44=1,F$3='Bonding Program'!$H$44),'Bonding Program'!$AA$44,0)-IF(F$3&lt;='Bonding Program'!$C$8,IF(AND('Bonding Program'!$K$44&lt;&gt;"",F$3='Bonding Program'!$K$44),'Bonding Program'!$J$44,0)-IF(AND('Bonding Program'!$M$44&lt;&gt;"",F$3='Bonding Program'!$M$44),'Bonding Program'!$L$44,0)-IF(AND('Bonding Program'!$P$44&lt;&gt;"",F$3='Bonding Program'!$P$44),'Bonding Program'!$O$44,0)-IF(AND('Bonding Program'!$R$44&lt;&gt;"",F$3='Bonding Program'!$R$44),'Bonding Program'!$Q$44,0),0)</f>
        <v>0</v>
      </c>
      <c r="G185" s="19" t="n">
        <f aca="false">IF(AND('Bonding Program'!$S$44=1,G$3='Bonding Program'!$H$44),'Bonding Program'!$AA$44,0)-IF(G$3&lt;='Bonding Program'!$C$8,IF(AND('Bonding Program'!$K$44&lt;&gt;"",G$3='Bonding Program'!$K$44),'Bonding Program'!$J$44,0)-IF(AND('Bonding Program'!$M$44&lt;&gt;"",G$3='Bonding Program'!$M$44),'Bonding Program'!$L$44,0)-IF(AND('Bonding Program'!$P$44&lt;&gt;"",G$3='Bonding Program'!$P$44),'Bonding Program'!$O$44,0)-IF(AND('Bonding Program'!$R$44&lt;&gt;"",G$3='Bonding Program'!$R$44),'Bonding Program'!$Q$44,0),0)</f>
        <v>0</v>
      </c>
      <c r="H185" s="19" t="n">
        <f aca="false">IF(AND('Bonding Program'!$S$44=1,H$3='Bonding Program'!$H$44),'Bonding Program'!$AA$44,0)-IF(H$3&lt;='Bonding Program'!$C$8,IF(AND('Bonding Program'!$K$44&lt;&gt;"",H$3='Bonding Program'!$K$44),'Bonding Program'!$J$44,0)-IF(AND('Bonding Program'!$M$44&lt;&gt;"",H$3='Bonding Program'!$M$44),'Bonding Program'!$L$44,0)-IF(AND('Bonding Program'!$P$44&lt;&gt;"",H$3='Bonding Program'!$P$44),'Bonding Program'!$O$44,0)-IF(AND('Bonding Program'!$R$44&lt;&gt;"",H$3='Bonding Program'!$R$44),'Bonding Program'!$Q$44,0),0)</f>
        <v>0</v>
      </c>
      <c r="I185" s="19" t="n">
        <f aca="false">IF(AND('Bonding Program'!$S$44=1,I$3='Bonding Program'!$H$44),'Bonding Program'!$AA$44,0)-IF(I$3&lt;='Bonding Program'!$C$8,IF(AND('Bonding Program'!$K$44&lt;&gt;"",I$3='Bonding Program'!$K$44),'Bonding Program'!$J$44,0)-IF(AND('Bonding Program'!$M$44&lt;&gt;"",I$3='Bonding Program'!$M$44),'Bonding Program'!$L$44,0)-IF(AND('Bonding Program'!$P$44&lt;&gt;"",I$3='Bonding Program'!$P$44),'Bonding Program'!$O$44,0)-IF(AND('Bonding Program'!$R$44&lt;&gt;"",I$3='Bonding Program'!$R$44),'Bonding Program'!$Q$44,0),0)</f>
        <v>0</v>
      </c>
      <c r="J185" s="19" t="n">
        <f aca="false">IF(AND('Bonding Program'!$S$44=1,J$3='Bonding Program'!$H$44),'Bonding Program'!$AA$44,0)-IF(J$3&lt;='Bonding Program'!$C$8,IF(AND('Bonding Program'!$K$44&lt;&gt;"",J$3='Bonding Program'!$K$44),'Bonding Program'!$J$44,0)-IF(AND('Bonding Program'!$M$44&lt;&gt;"",J$3='Bonding Program'!$M$44),'Bonding Program'!$L$44,0)-IF(AND('Bonding Program'!$P$44&lt;&gt;"",J$3='Bonding Program'!$P$44),'Bonding Program'!$O$44,0)-IF(AND('Bonding Program'!$R$44&lt;&gt;"",J$3='Bonding Program'!$R$44),'Bonding Program'!$Q$44,0),0)</f>
        <v>0</v>
      </c>
      <c r="K185" s="19" t="n">
        <f aca="false">IF(AND('Bonding Program'!$S$44=1,K$3='Bonding Program'!$H$44),'Bonding Program'!$AA$44,0)-IF(K$3&lt;='Bonding Program'!$C$8,IF(AND('Bonding Program'!$K$44&lt;&gt;"",K$3='Bonding Program'!$K$44),'Bonding Program'!$J$44,0)-IF(AND('Bonding Program'!$M$44&lt;&gt;"",K$3='Bonding Program'!$M$44),'Bonding Program'!$L$44,0)-IF(AND('Bonding Program'!$P$44&lt;&gt;"",K$3='Bonding Program'!$P$44),'Bonding Program'!$O$44,0)-IF(AND('Bonding Program'!$R$44&lt;&gt;"",K$3='Bonding Program'!$R$44),'Bonding Program'!$Q$44,0),0)</f>
        <v>0</v>
      </c>
      <c r="L185" s="19" t="n">
        <f aca="false">IF(AND('Bonding Program'!$S$44=1,L$3='Bonding Program'!$H$44),'Bonding Program'!$AA$44,0)-IF(L$3&lt;='Bonding Program'!$C$8,IF(AND('Bonding Program'!$K$44&lt;&gt;"",L$3='Bonding Program'!$K$44),'Bonding Program'!$J$44,0)-IF(AND('Bonding Program'!$M$44&lt;&gt;"",L$3='Bonding Program'!$M$44),'Bonding Program'!$L$44,0)-IF(AND('Bonding Program'!$P$44&lt;&gt;"",L$3='Bonding Program'!$P$44),'Bonding Program'!$O$44,0)-IF(AND('Bonding Program'!$R$44&lt;&gt;"",L$3='Bonding Program'!$R$44),'Bonding Program'!$Q$44,0),0)</f>
        <v>0</v>
      </c>
      <c r="M185" s="19" t="n">
        <f aca="false">IF(AND('Bonding Program'!$S$44=1,M$3='Bonding Program'!$H$44),'Bonding Program'!$AA$44,0)-IF(M$3&lt;='Bonding Program'!$C$8,IF(AND('Bonding Program'!$K$44&lt;&gt;"",M$3='Bonding Program'!$K$44),'Bonding Program'!$J$44,0)-IF(AND('Bonding Program'!$M$44&lt;&gt;"",M$3='Bonding Program'!$M$44),'Bonding Program'!$L$44,0)-IF(AND('Bonding Program'!$P$44&lt;&gt;"",M$3='Bonding Program'!$P$44),'Bonding Program'!$O$44,0)-IF(AND('Bonding Program'!$R$44&lt;&gt;"",M$3='Bonding Program'!$R$44),'Bonding Program'!$Q$44,0),0)</f>
        <v>0</v>
      </c>
      <c r="N185" s="19" t="n">
        <f aca="false">IF(AND('Bonding Program'!$S$44=1,N$3='Bonding Program'!$H$44),'Bonding Program'!$AA$44,0)-IF(N$3&lt;='Bonding Program'!$C$8,IF(AND('Bonding Program'!$K$44&lt;&gt;"",N$3='Bonding Program'!$K$44),'Bonding Program'!$J$44,0)-IF(AND('Bonding Program'!$M$44&lt;&gt;"",N$3='Bonding Program'!$M$44),'Bonding Program'!$L$44,0)-IF(AND('Bonding Program'!$P$44&lt;&gt;"",N$3='Bonding Program'!$P$44),'Bonding Program'!$O$44,0)-IF(AND('Bonding Program'!$R$44&lt;&gt;"",N$3='Bonding Program'!$R$44),'Bonding Program'!$Q$44,0),0)</f>
        <v>0</v>
      </c>
      <c r="O185" s="19" t="n">
        <f aca="false">IF(AND('Bonding Program'!$S$44=1,O$3='Bonding Program'!$H$44),'Bonding Program'!$AA$44,0)-IF(O$3&lt;='Bonding Program'!$C$8,IF(AND('Bonding Program'!$K$44&lt;&gt;"",O$3='Bonding Program'!$K$44),'Bonding Program'!$J$44,0)-IF(AND('Bonding Program'!$M$44&lt;&gt;"",O$3='Bonding Program'!$M$44),'Bonding Program'!$L$44,0)-IF(AND('Bonding Program'!$P$44&lt;&gt;"",O$3='Bonding Program'!$P$44),'Bonding Program'!$O$44,0)-IF(AND('Bonding Program'!$R$44&lt;&gt;"",O$3='Bonding Program'!$R$44),'Bonding Program'!$Q$44,0),0)</f>
        <v>0</v>
      </c>
      <c r="P185" s="19" t="n">
        <f aca="false">IF(AND('Bonding Program'!$S$44=1,P$3='Bonding Program'!$H$44),'Bonding Program'!$AA$44,0)-IF(P$3&lt;='Bonding Program'!$C$8,IF(AND('Bonding Program'!$K$44&lt;&gt;"",P$3='Bonding Program'!$K$44),'Bonding Program'!$J$44,0)-IF(AND('Bonding Program'!$M$44&lt;&gt;"",P$3='Bonding Program'!$M$44),'Bonding Program'!$L$44,0)-IF(AND('Bonding Program'!$P$44&lt;&gt;"",P$3='Bonding Program'!$P$44),'Bonding Program'!$O$44,0)-IF(AND('Bonding Program'!$R$44&lt;&gt;"",P$3='Bonding Program'!$R$44),'Bonding Program'!$Q$44,0),0)</f>
        <v>0</v>
      </c>
      <c r="Q185" s="19" t="n">
        <f aca="false">IF(AND('Bonding Program'!$S$44=1,Q$3='Bonding Program'!$H$44),'Bonding Program'!$AA$44,0)-IF(Q$3&lt;='Bonding Program'!$C$8,IF(AND('Bonding Program'!$K$44&lt;&gt;"",Q$3='Bonding Program'!$K$44),'Bonding Program'!$J$44,0)-IF(AND('Bonding Program'!$M$44&lt;&gt;"",Q$3='Bonding Program'!$M$44),'Bonding Program'!$L$44,0)-IF(AND('Bonding Program'!$P$44&lt;&gt;"",Q$3='Bonding Program'!$P$44),'Bonding Program'!$O$44,0)-IF(AND('Bonding Program'!$R$44&lt;&gt;"",Q$3='Bonding Program'!$R$44),'Bonding Program'!$Q$44,0),0)</f>
        <v>0</v>
      </c>
      <c r="R185" s="19" t="n">
        <f aca="false">IF(AND('Bonding Program'!$S$44=1,R$3='Bonding Program'!$H$44),'Bonding Program'!$AA$44,0)-IF(R$3&lt;='Bonding Program'!$C$8,IF(AND('Bonding Program'!$K$44&lt;&gt;"",R$3='Bonding Program'!$K$44),'Bonding Program'!$J$44,0)-IF(AND('Bonding Program'!$M$44&lt;&gt;"",R$3='Bonding Program'!$M$44),'Bonding Program'!$L$44,0)-IF(AND('Bonding Program'!$P$44&lt;&gt;"",R$3='Bonding Program'!$P$44),'Bonding Program'!$O$44,0)-IF(AND('Bonding Program'!$R$44&lt;&gt;"",R$3='Bonding Program'!$R$44),'Bonding Program'!$Q$44,0),0)</f>
        <v>0</v>
      </c>
      <c r="S185" s="19" t="n">
        <f aca="false">IF(AND('Bonding Program'!$S$44=1,S$3='Bonding Program'!$H$44),'Bonding Program'!$AA$44,0)-IF(S$3&lt;='Bonding Program'!$C$8,IF(AND('Bonding Program'!$K$44&lt;&gt;"",S$3='Bonding Program'!$K$44),'Bonding Program'!$J$44,0)-IF(AND('Bonding Program'!$M$44&lt;&gt;"",S$3='Bonding Program'!$M$44),'Bonding Program'!$L$44,0)-IF(AND('Bonding Program'!$P$44&lt;&gt;"",S$3='Bonding Program'!$P$44),'Bonding Program'!$O$44,0)-IF(AND('Bonding Program'!$R$44&lt;&gt;"",S$3='Bonding Program'!$R$44),'Bonding Program'!$Q$44,0),0)</f>
        <v>0</v>
      </c>
      <c r="T185" s="19" t="n">
        <f aca="false">IF(AND('Bonding Program'!$S$44=1,T$3='Bonding Program'!$H$44),'Bonding Program'!$AA$44,0)-IF(T$3&lt;='Bonding Program'!$C$8,IF(AND('Bonding Program'!$K$44&lt;&gt;"",T$3='Bonding Program'!$K$44),'Bonding Program'!$J$44,0)-IF(AND('Bonding Program'!$M$44&lt;&gt;"",T$3='Bonding Program'!$M$44),'Bonding Program'!$L$44,0)-IF(AND('Bonding Program'!$P$44&lt;&gt;"",T$3='Bonding Program'!$P$44),'Bonding Program'!$O$44,0)-IF(AND('Bonding Program'!$R$44&lt;&gt;"",T$3='Bonding Program'!$R$44),'Bonding Program'!$Q$44,0),0)</f>
        <v>0</v>
      </c>
      <c r="U185" s="19" t="n">
        <f aca="false">IF(AND('Bonding Program'!$S$44=1,U$3='Bonding Program'!$H$44),'Bonding Program'!$AA$44,0)-IF(U$3&lt;='Bonding Program'!$C$8,IF(AND('Bonding Program'!$K$44&lt;&gt;"",U$3='Bonding Program'!$K$44),'Bonding Program'!$J$44,0)-IF(AND('Bonding Program'!$M$44&lt;&gt;"",U$3='Bonding Program'!$M$44),'Bonding Program'!$L$44,0)-IF(AND('Bonding Program'!$P$44&lt;&gt;"",U$3='Bonding Program'!$P$44),'Bonding Program'!$O$44,0)-IF(AND('Bonding Program'!$R$44&lt;&gt;"",U$3='Bonding Program'!$R$44),'Bonding Program'!$Q$44,0),0)</f>
        <v>0</v>
      </c>
      <c r="V185" s="19" t="n">
        <f aca="false">IF(AND('Bonding Program'!$S$44=1,V$3='Bonding Program'!$H$44),'Bonding Program'!$AA$44,0)-IF(V$3&lt;='Bonding Program'!$C$8,IF(AND('Bonding Program'!$K$44&lt;&gt;"",V$3='Bonding Program'!$K$44),'Bonding Program'!$J$44,0)-IF(AND('Bonding Program'!$M$44&lt;&gt;"",V$3='Bonding Program'!$M$44),'Bonding Program'!$L$44,0)-IF(AND('Bonding Program'!$P$44&lt;&gt;"",V$3='Bonding Program'!$P$44),'Bonding Program'!$O$44,0)-IF(AND('Bonding Program'!$R$44&lt;&gt;"",V$3='Bonding Program'!$R$44),'Bonding Program'!$Q$44,0),0)</f>
        <v>0</v>
      </c>
      <c r="W185" s="19" t="n">
        <f aca="false">IF(AND('Bonding Program'!$S$44=1,W$3='Bonding Program'!$H$44),'Bonding Program'!$AA$44,0)-IF(W$3&lt;='Bonding Program'!$C$8,IF(AND('Bonding Program'!$K$44&lt;&gt;"",W$3='Bonding Program'!$K$44),'Bonding Program'!$J$44,0)-IF(AND('Bonding Program'!$M$44&lt;&gt;"",W$3='Bonding Program'!$M$44),'Bonding Program'!$L$44,0)-IF(AND('Bonding Program'!$P$44&lt;&gt;"",W$3='Bonding Program'!$P$44),'Bonding Program'!$O$44,0)-IF(AND('Bonding Program'!$R$44&lt;&gt;"",W$3='Bonding Program'!$R$44),'Bonding Program'!$Q$44,0),0)</f>
        <v>0</v>
      </c>
      <c r="X185" s="19" t="n">
        <f aca="false">IF(AND('Bonding Program'!$S$44=1,X$3='Bonding Program'!$H$44),'Bonding Program'!$AA$44,0)-IF(X$3&lt;='Bonding Program'!$C$8,IF(AND('Bonding Program'!$K$44&lt;&gt;"",X$3='Bonding Program'!$K$44),'Bonding Program'!$J$44,0)-IF(AND('Bonding Program'!$M$44&lt;&gt;"",X$3='Bonding Program'!$M$44),'Bonding Program'!$L$44,0)-IF(AND('Bonding Program'!$P$44&lt;&gt;"",X$3='Bonding Program'!$P$44),'Bonding Program'!$O$44,0)-IF(AND('Bonding Program'!$R$44&lt;&gt;"",X$3='Bonding Program'!$R$44),'Bonding Program'!$Q$44,0),0)</f>
        <v>0</v>
      </c>
      <c r="Y185" s="19" t="n">
        <f aca="false">IF(AND('Bonding Program'!$S$44=1,Y$3='Bonding Program'!$H$44),'Bonding Program'!$AA$44,0)-IF(Y$3&lt;='Bonding Program'!$C$8,IF(AND('Bonding Program'!$K$44&lt;&gt;"",Y$3='Bonding Program'!$K$44),'Bonding Program'!$J$44,0)-IF(AND('Bonding Program'!$M$44&lt;&gt;"",Y$3='Bonding Program'!$M$44),'Bonding Program'!$L$44,0)-IF(AND('Bonding Program'!$P$44&lt;&gt;"",Y$3='Bonding Program'!$P$44),'Bonding Program'!$O$44,0)-IF(AND('Bonding Program'!$R$44&lt;&gt;"",Y$3='Bonding Program'!$R$44),'Bonding Program'!$Q$44,0),0)</f>
        <v>0</v>
      </c>
      <c r="Z185" s="19" t="n">
        <f aca="false">IF(AND('Bonding Program'!$S$44=1,Z$3='Bonding Program'!$H$44),'Bonding Program'!$AA$44,0)-IF(Z$3&lt;='Bonding Program'!$C$8,IF(AND('Bonding Program'!$K$44&lt;&gt;"",Z$3='Bonding Program'!$K$44),'Bonding Program'!$J$44,0)-IF(AND('Bonding Program'!$M$44&lt;&gt;"",Z$3='Bonding Program'!$M$44),'Bonding Program'!$L$44,0)-IF(AND('Bonding Program'!$P$44&lt;&gt;"",Z$3='Bonding Program'!$P$44),'Bonding Program'!$O$44,0)-IF(AND('Bonding Program'!$R$44&lt;&gt;"",Z$3='Bonding Program'!$R$44),'Bonding Program'!$Q$44,0),0)</f>
        <v>0</v>
      </c>
      <c r="AA185" s="19" t="n">
        <f aca="false">IF(AND('Bonding Program'!$S$44=1,AA$3='Bonding Program'!$H$44),'Bonding Program'!$AA$44,0)-IF(AA$3&lt;='Bonding Program'!$C$8,IF(AND('Bonding Program'!$K$44&lt;&gt;"",AA$3='Bonding Program'!$K$44),'Bonding Program'!$J$44,0)-IF(AND('Bonding Program'!$M$44&lt;&gt;"",AA$3='Bonding Program'!$M$44),'Bonding Program'!$L$44,0)-IF(AND('Bonding Program'!$P$44&lt;&gt;"",AA$3='Bonding Program'!$P$44),'Bonding Program'!$O$44,0)-IF(AND('Bonding Program'!$R$44&lt;&gt;"",AA$3='Bonding Program'!$R$44),'Bonding Program'!$Q$44,0),0)</f>
        <v>0</v>
      </c>
      <c r="AB185" s="19" t="n">
        <f aca="false">IF(AND('Bonding Program'!$S$44=1,AB$3='Bonding Program'!$H$44),'Bonding Program'!$AA$44,0)-IF(AB$3&lt;='Bonding Program'!$C$8,IF(AND('Bonding Program'!$K$44&lt;&gt;"",AB$3='Bonding Program'!$K$44),'Bonding Program'!$J$44,0)-IF(AND('Bonding Program'!$M$44&lt;&gt;"",AB$3='Bonding Program'!$M$44),'Bonding Program'!$L$44,0)-IF(AND('Bonding Program'!$P$44&lt;&gt;"",AB$3='Bonding Program'!$P$44),'Bonding Program'!$O$44,0)-IF(AND('Bonding Program'!$R$44&lt;&gt;"",AB$3='Bonding Program'!$R$44),'Bonding Program'!$Q$44,0),0)</f>
        <v>0</v>
      </c>
      <c r="AC185" s="19" t="n">
        <f aca="false">IF(AND('Bonding Program'!$S$44=1,AC$3='Bonding Program'!$H$44),'Bonding Program'!$AA$44,0)-IF(AC$3&lt;='Bonding Program'!$C$8,IF(AND('Bonding Program'!$K$44&lt;&gt;"",AC$3='Bonding Program'!$K$44),'Bonding Program'!$J$44,0)-IF(AND('Bonding Program'!$M$44&lt;&gt;"",AC$3='Bonding Program'!$M$44),'Bonding Program'!$L$44,0)-IF(AND('Bonding Program'!$P$44&lt;&gt;"",AC$3='Bonding Program'!$P$44),'Bonding Program'!$O$44,0)-IF(AND('Bonding Program'!$R$44&lt;&gt;"",AC$3='Bonding Program'!$R$44),'Bonding Program'!$Q$44,0),0)</f>
        <v>0</v>
      </c>
      <c r="AD185" s="19" t="n">
        <f aca="false">IF(AND('Bonding Program'!$S$44=1,AD$3='Bonding Program'!$H$44),'Bonding Program'!$AA$44,0)-IF(AD$3&lt;='Bonding Program'!$C$8,IF(AND('Bonding Program'!$K$44&lt;&gt;"",AD$3='Bonding Program'!$K$44),'Bonding Program'!$J$44,0)-IF(AND('Bonding Program'!$M$44&lt;&gt;"",AD$3='Bonding Program'!$M$44),'Bonding Program'!$L$44,0)-IF(AND('Bonding Program'!$P$44&lt;&gt;"",AD$3='Bonding Program'!$P$44),'Bonding Program'!$O$44,0)-IF(AND('Bonding Program'!$R$44&lt;&gt;"",AD$3='Bonding Program'!$R$44),'Bonding Program'!$Q$44,0),0)</f>
        <v>0</v>
      </c>
      <c r="AE185" s="19" t="n">
        <f aca="false">IF(AND('Bonding Program'!$S$44=1,AE$3='Bonding Program'!$H$44),'Bonding Program'!$AA$44,0)-IF(AE$3&lt;='Bonding Program'!$C$8,IF(AND('Bonding Program'!$K$44&lt;&gt;"",AE$3='Bonding Program'!$K$44),'Bonding Program'!$J$44,0)-IF(AND('Bonding Program'!$M$44&lt;&gt;"",AE$3='Bonding Program'!$M$44),'Bonding Program'!$L$44,0)-IF(AND('Bonding Program'!$P$44&lt;&gt;"",AE$3='Bonding Program'!$P$44),'Bonding Program'!$O$44,0)-IF(AND('Bonding Program'!$R$44&lt;&gt;"",AE$3='Bonding Program'!$R$44),'Bonding Program'!$Q$44,0),0)</f>
        <v>0</v>
      </c>
      <c r="AF185" s="19" t="n">
        <f aca="false">IF(AND('Bonding Program'!$S$44=1,AF$3='Bonding Program'!$H$44),'Bonding Program'!$AA$44,0)-IF(AF$3&lt;='Bonding Program'!$C$8,IF(AND('Bonding Program'!$K$44&lt;&gt;"",AF$3='Bonding Program'!$K$44),'Bonding Program'!$J$44,0)-IF(AND('Bonding Program'!$M$44&lt;&gt;"",AF$3='Bonding Program'!$M$44),'Bonding Program'!$L$44,0)-IF(AND('Bonding Program'!$P$44&lt;&gt;"",AF$3='Bonding Program'!$P$44),'Bonding Program'!$O$44,0)-IF(AND('Bonding Program'!$R$44&lt;&gt;"",AF$3='Bonding Program'!$R$44),'Bonding Program'!$Q$44,0),0)</f>
        <v>0</v>
      </c>
      <c r="AG185" s="19" t="n">
        <f aca="false">IF(AND('Bonding Program'!$S$44=1,AG$3='Bonding Program'!$H$44),'Bonding Program'!$AA$44,0)-IF(AG$3&lt;='Bonding Program'!$C$8,IF(AND('Bonding Program'!$K$44&lt;&gt;"",AG$3='Bonding Program'!$K$44),'Bonding Program'!$J$44,0)-IF(AND('Bonding Program'!$M$44&lt;&gt;"",AG$3='Bonding Program'!$M$44),'Bonding Program'!$L$44,0)-IF(AND('Bonding Program'!$P$44&lt;&gt;"",AG$3='Bonding Program'!$P$44),'Bonding Program'!$O$44,0)-IF(AND('Bonding Program'!$R$44&lt;&gt;"",AG$3='Bonding Program'!$R$44),'Bonding Program'!$Q$44,0),0)</f>
        <v>0</v>
      </c>
      <c r="AH185" s="19" t="n">
        <f aca="false">IF(AND('Bonding Program'!$S$44=1,AH$3='Bonding Program'!$H$44),'Bonding Program'!$AA$44,0)-IF(AH$3&lt;='Bonding Program'!$C$8,IF(AND('Bonding Program'!$K$44&lt;&gt;"",AH$3='Bonding Program'!$K$44),'Bonding Program'!$J$44,0)-IF(AND('Bonding Program'!$M$44&lt;&gt;"",AH$3='Bonding Program'!$M$44),'Bonding Program'!$L$44,0)-IF(AND('Bonding Program'!$P$44&lt;&gt;"",AH$3='Bonding Program'!$P$44),'Bonding Program'!$O$44,0)-IF(AND('Bonding Program'!$R$44&lt;&gt;"",AH$3='Bonding Program'!$R$44),'Bonding Program'!$Q$44,0),0)</f>
        <v>0</v>
      </c>
      <c r="AI185" s="19" t="n">
        <f aca="false">IF(AND('Bonding Program'!$S$44=1,AI$3='Bonding Program'!$H$44),'Bonding Program'!$AA$44,0)-IF(AI$3&lt;='Bonding Program'!$C$8,IF(AND('Bonding Program'!$K$44&lt;&gt;"",AI$3='Bonding Program'!$K$44),'Bonding Program'!$J$44,0)-IF(AND('Bonding Program'!$M$44&lt;&gt;"",AI$3='Bonding Program'!$M$44),'Bonding Program'!$L$44,0)-IF(AND('Bonding Program'!$P$44&lt;&gt;"",AI$3='Bonding Program'!$P$44),'Bonding Program'!$O$44,0)-IF(AND('Bonding Program'!$R$44&lt;&gt;"",AI$3='Bonding Program'!$R$44),'Bonding Program'!$Q$44,0),0)</f>
        <v>0</v>
      </c>
      <c r="AJ185" s="19" t="n">
        <f aca="false">IF(AND('Bonding Program'!$S$44=1,AJ$3='Bonding Program'!$H$44),'Bonding Program'!$AA$44,0)-IF(AJ$3&lt;='Bonding Program'!$C$8,IF(AND('Bonding Program'!$K$44&lt;&gt;"",AJ$3='Bonding Program'!$K$44),'Bonding Program'!$J$44,0)-IF(AND('Bonding Program'!$M$44&lt;&gt;"",AJ$3='Bonding Program'!$M$44),'Bonding Program'!$L$44,0)-IF(AND('Bonding Program'!$P$44&lt;&gt;"",AJ$3='Bonding Program'!$P$44),'Bonding Program'!$O$44,0)-IF(AND('Bonding Program'!$R$44&lt;&gt;"",AJ$3='Bonding Program'!$R$44),'Bonding Program'!$Q$44,0),0)</f>
        <v>0</v>
      </c>
      <c r="AK185" s="19" t="n">
        <f aca="false">IF(AND('Bonding Program'!$S$44=1,AK$3='Bonding Program'!$H$44),'Bonding Program'!$AA$44,0)-IF(AK$3&lt;='Bonding Program'!$C$8,IF(AND('Bonding Program'!$K$44&lt;&gt;"",AK$3='Bonding Program'!$K$44),'Bonding Program'!$J$44,0)-IF(AND('Bonding Program'!$M$44&lt;&gt;"",AK$3='Bonding Program'!$M$44),'Bonding Program'!$L$44,0)-IF(AND('Bonding Program'!$P$44&lt;&gt;"",AK$3='Bonding Program'!$P$44),'Bonding Program'!$O$44,0)-IF(AND('Bonding Program'!$R$44&lt;&gt;"",AK$3='Bonding Program'!$R$44),'Bonding Program'!$Q$44,0),0)</f>
        <v>0</v>
      </c>
      <c r="AL185" s="19" t="n">
        <f aca="false">IF(AND('Bonding Program'!$S$44=1,AL$3='Bonding Program'!$H$44),'Bonding Program'!$AA$44,0)-IF(AL$3&lt;='Bonding Program'!$C$8,IF(AND('Bonding Program'!$K$44&lt;&gt;"",AL$3='Bonding Program'!$K$44),'Bonding Program'!$J$44,0)-IF(AND('Bonding Program'!$M$44&lt;&gt;"",AL$3='Bonding Program'!$M$44),'Bonding Program'!$L$44,0)-IF(AND('Bonding Program'!$P$44&lt;&gt;"",AL$3='Bonding Program'!$P$44),'Bonding Program'!$O$44,0)-IF(AND('Bonding Program'!$R$44&lt;&gt;"",AL$3='Bonding Program'!$R$44),'Bonding Program'!$Q$44,0),0)</f>
        <v>0</v>
      </c>
      <c r="AM185" s="19" t="n">
        <f aca="false">IF(AND('Bonding Program'!$S$44=1,AM$3='Bonding Program'!$H$44),'Bonding Program'!$AA$44,0)-IF(AM$3&lt;='Bonding Program'!$C$8,IF(AND('Bonding Program'!$K$44&lt;&gt;"",AM$3='Bonding Program'!$K$44),'Bonding Program'!$J$44,0)-IF(AND('Bonding Program'!$M$44&lt;&gt;"",AM$3='Bonding Program'!$M$44),'Bonding Program'!$L$44,0)-IF(AND('Bonding Program'!$P$44&lt;&gt;"",AM$3='Bonding Program'!$P$44),'Bonding Program'!$O$44,0)-IF(AND('Bonding Program'!$R$44&lt;&gt;"",AM$3='Bonding Program'!$R$44),'Bonding Program'!$Q$44,0),0)</f>
        <v>0</v>
      </c>
      <c r="AN185" s="19" t="n">
        <f aca="false">IF(AND('Bonding Program'!$S$44=1,AN$3='Bonding Program'!$H$44),'Bonding Program'!$AA$44,0)-IF(AN$3&lt;='Bonding Program'!$C$8,IF(AND('Bonding Program'!$K$44&lt;&gt;"",AN$3='Bonding Program'!$K$44),'Bonding Program'!$J$44,0)-IF(AND('Bonding Program'!$M$44&lt;&gt;"",AN$3='Bonding Program'!$M$44),'Bonding Program'!$L$44,0)-IF(AND('Bonding Program'!$P$44&lt;&gt;"",AN$3='Bonding Program'!$P$44),'Bonding Program'!$O$44,0)-IF(AND('Bonding Program'!$R$44&lt;&gt;"",AN$3='Bonding Program'!$R$44),'Bonding Program'!$Q$44,0),0)</f>
        <v>0</v>
      </c>
      <c r="AO185" s="19" t="n">
        <f aca="false">IF(AND('Bonding Program'!$S$44=1,AO$3='Bonding Program'!$H$44),'Bonding Program'!$AA$44,0)-IF(AO$3&lt;='Bonding Program'!$C$8,IF(AND('Bonding Program'!$K$44&lt;&gt;"",AO$3='Bonding Program'!$K$44),'Bonding Program'!$J$44,0)-IF(AND('Bonding Program'!$M$44&lt;&gt;"",AO$3='Bonding Program'!$M$44),'Bonding Program'!$L$44,0)-IF(AND('Bonding Program'!$P$44&lt;&gt;"",AO$3='Bonding Program'!$P$44),'Bonding Program'!$O$44,0)-IF(AND('Bonding Program'!$R$44&lt;&gt;"",AO$3='Bonding Program'!$R$44),'Bonding Program'!$Q$44,0),0)</f>
        <v>0</v>
      </c>
      <c r="AP185" s="19" t="n">
        <f aca="false">IF(AND('Bonding Program'!$S$44=1,AP$3='Bonding Program'!$H$44),'Bonding Program'!$AA$44,0)-IF(AP$3&lt;='Bonding Program'!$C$8,IF(AND('Bonding Program'!$K$44&lt;&gt;"",AP$3='Bonding Program'!$K$44),'Bonding Program'!$J$44,0)-IF(AND('Bonding Program'!$M$44&lt;&gt;"",AP$3='Bonding Program'!$M$44),'Bonding Program'!$L$44,0)-IF(AND('Bonding Program'!$P$44&lt;&gt;"",AP$3='Bonding Program'!$P$44),'Bonding Program'!$O$44,0)-IF(AND('Bonding Program'!$R$44&lt;&gt;"",AP$3='Bonding Program'!$R$44),'Bonding Program'!$Q$44,0),0)</f>
        <v>0</v>
      </c>
      <c r="AQ185" s="19" t="n">
        <f aca="false">IF(AND('Bonding Program'!$S$44=1,AQ$3='Bonding Program'!$H$44),'Bonding Program'!$AA$44,0)-IF(AQ$3&lt;='Bonding Program'!$C$8,IF(AND('Bonding Program'!$K$44&lt;&gt;"",AQ$3='Bonding Program'!$K$44),'Bonding Program'!$J$44,0)-IF(AND('Bonding Program'!$M$44&lt;&gt;"",AQ$3='Bonding Program'!$M$44),'Bonding Program'!$L$44,0)-IF(AND('Bonding Program'!$P$44&lt;&gt;"",AQ$3='Bonding Program'!$P$44),'Bonding Program'!$O$44,0)-IF(AND('Bonding Program'!$R$44&lt;&gt;"",AQ$3='Bonding Program'!$R$44),'Bonding Program'!$Q$44,0),0)</f>
        <v>0</v>
      </c>
      <c r="AR185" s="19" t="n">
        <f aca="false">IF(AND('Bonding Program'!$S$44=1,AR$3='Bonding Program'!$H$44),'Bonding Program'!$AA$44,0)-IF(AR$3&lt;='Bonding Program'!$C$8,IF(AND('Bonding Program'!$K$44&lt;&gt;"",AR$3='Bonding Program'!$K$44),'Bonding Program'!$J$44,0)-IF(AND('Bonding Program'!$M$44&lt;&gt;"",AR$3='Bonding Program'!$M$44),'Bonding Program'!$L$44,0)-IF(AND('Bonding Program'!$P$44&lt;&gt;"",AR$3='Bonding Program'!$P$44),'Bonding Program'!$O$44,0)-IF(AND('Bonding Program'!$R$44&lt;&gt;"",AR$3='Bonding Program'!$R$44),'Bonding Program'!$Q$44,0),0)</f>
        <v>0</v>
      </c>
      <c r="AS185" s="19" t="n">
        <f aca="false">IF(AND('Bonding Program'!$S$44=1,AS$3='Bonding Program'!$H$44),'Bonding Program'!$AA$44,0)-IF(AS$3&lt;='Bonding Program'!$C$8,IF(AND('Bonding Program'!$K$44&lt;&gt;"",AS$3='Bonding Program'!$K$44),'Bonding Program'!$J$44,0)-IF(AND('Bonding Program'!$M$44&lt;&gt;"",AS$3='Bonding Program'!$M$44),'Bonding Program'!$L$44,0)-IF(AND('Bonding Program'!$P$44&lt;&gt;"",AS$3='Bonding Program'!$P$44),'Bonding Program'!$O$44,0)-IF(AND('Bonding Program'!$R$44&lt;&gt;"",AS$3='Bonding Program'!$R$44),'Bonding Program'!$Q$44,0),0)</f>
        <v>0</v>
      </c>
      <c r="AT185" s="19" t="n">
        <f aca="false">IF(AND('Bonding Program'!$S$44=1,AT$3='Bonding Program'!$H$44),'Bonding Program'!$AA$44,0)-IF(AT$3&lt;='Bonding Program'!$C$8,IF(AND('Bonding Program'!$K$44&lt;&gt;"",AT$3='Bonding Program'!$K$44),'Bonding Program'!$J$44,0)-IF(AND('Bonding Program'!$M$44&lt;&gt;"",AT$3='Bonding Program'!$M$44),'Bonding Program'!$L$44,0)-IF(AND('Bonding Program'!$P$44&lt;&gt;"",AT$3='Bonding Program'!$P$44),'Bonding Program'!$O$44,0)-IF(AND('Bonding Program'!$R$44&lt;&gt;"",AT$3='Bonding Program'!$R$44),'Bonding Program'!$Q$44,0),0)</f>
        <v>0</v>
      </c>
      <c r="AU185" s="19" t="n">
        <f aca="false">IF(AND('Bonding Program'!$S$44=1,AU$3='Bonding Program'!$H$44),'Bonding Program'!$AA$44,0)-IF(AU$3&lt;='Bonding Program'!$C$8,IF(AND('Bonding Program'!$K$44&lt;&gt;"",AU$3='Bonding Program'!$K$44),'Bonding Program'!$J$44,0)-IF(AND('Bonding Program'!$M$44&lt;&gt;"",AU$3='Bonding Program'!$M$44),'Bonding Program'!$L$44,0)-IF(AND('Bonding Program'!$P$44&lt;&gt;"",AU$3='Bonding Program'!$P$44),'Bonding Program'!$O$44,0)-IF(AND('Bonding Program'!$R$44&lt;&gt;"",AU$3='Bonding Program'!$R$44),'Bonding Program'!$Q$44,0),0)</f>
        <v>0</v>
      </c>
      <c r="AV185" s="19" t="n">
        <f aca="false">IF(AND('Bonding Program'!$S$44=1,AV$3='Bonding Program'!$H$44),'Bonding Program'!$AA$44,0)-IF(AV$3&lt;='Bonding Program'!$C$8,IF(AND('Bonding Program'!$K$44&lt;&gt;"",AV$3='Bonding Program'!$K$44),'Bonding Program'!$J$44,0)-IF(AND('Bonding Program'!$M$44&lt;&gt;"",AV$3='Bonding Program'!$M$44),'Bonding Program'!$L$44,0)-IF(AND('Bonding Program'!$P$44&lt;&gt;"",AV$3='Bonding Program'!$P$44),'Bonding Program'!$O$44,0)-IF(AND('Bonding Program'!$R$44&lt;&gt;"",AV$3='Bonding Program'!$R$44),'Bonding Program'!$Q$44,0),0)</f>
        <v>0</v>
      </c>
      <c r="AW185" s="19" t="n">
        <f aca="false">IF(AND('Bonding Program'!$S$44=1,AW$3='Bonding Program'!$H$44),'Bonding Program'!$AA$44,0)-IF(AW$3&lt;='Bonding Program'!$C$8,IF(AND('Bonding Program'!$K$44&lt;&gt;"",AW$3='Bonding Program'!$K$44),'Bonding Program'!$J$44,0)-IF(AND('Bonding Program'!$M$44&lt;&gt;"",AW$3='Bonding Program'!$M$44),'Bonding Program'!$L$44,0)-IF(AND('Bonding Program'!$P$44&lt;&gt;"",AW$3='Bonding Program'!$P$44),'Bonding Program'!$O$44,0)-IF(AND('Bonding Program'!$R$44&lt;&gt;"",AW$3='Bonding Program'!$R$44),'Bonding Program'!$Q$44,0),0)</f>
        <v>0</v>
      </c>
      <c r="AX185" s="19" t="n">
        <f aca="false">IF(AND('Bonding Program'!$S$44=1,AX$3='Bonding Program'!$H$44),'Bonding Program'!$AA$44,0)-IF(AX$3&lt;='Bonding Program'!$C$8,IF(AND('Bonding Program'!$K$44&lt;&gt;"",AX$3='Bonding Program'!$K$44),'Bonding Program'!$J$44,0)-IF(AND('Bonding Program'!$M$44&lt;&gt;"",AX$3='Bonding Program'!$M$44),'Bonding Program'!$L$44,0)-IF(AND('Bonding Program'!$P$44&lt;&gt;"",AX$3='Bonding Program'!$P$44),'Bonding Program'!$O$44,0)-IF(AND('Bonding Program'!$R$44&lt;&gt;"",AX$3='Bonding Program'!$R$44),'Bonding Program'!$Q$44,0),0)</f>
        <v>0</v>
      </c>
      <c r="AY185" s="19" t="n">
        <f aca="false">IF(AND('Bonding Program'!$S$44=1,AY$3='Bonding Program'!$H$44),'Bonding Program'!$AA$44,0)-IF(AY$3&lt;='Bonding Program'!$C$8,IF(AND('Bonding Program'!$K$44&lt;&gt;"",AY$3='Bonding Program'!$K$44),'Bonding Program'!$J$44,0)-IF(AND('Bonding Program'!$M$44&lt;&gt;"",AY$3='Bonding Program'!$M$44),'Bonding Program'!$L$44,0)-IF(AND('Bonding Program'!$P$44&lt;&gt;"",AY$3='Bonding Program'!$P$44),'Bonding Program'!$O$44,0)-IF(AND('Bonding Program'!$R$44&lt;&gt;"",AY$3='Bonding Program'!$R$44),'Bonding Program'!$Q$44,0),0)</f>
        <v>0</v>
      </c>
      <c r="AZ185" s="19" t="n">
        <f aca="false">IF(AND('Bonding Program'!$S$44=1,AZ$3='Bonding Program'!$H$44),'Bonding Program'!$AA$44,0)-IF(AZ$3&lt;='Bonding Program'!$C$8,IF(AND('Bonding Program'!$K$44&lt;&gt;"",AZ$3='Bonding Program'!$K$44),'Bonding Program'!$J$44,0)-IF(AND('Bonding Program'!$M$44&lt;&gt;"",AZ$3='Bonding Program'!$M$44),'Bonding Program'!$L$44,0)-IF(AND('Bonding Program'!$P$44&lt;&gt;"",AZ$3='Bonding Program'!$P$44),'Bonding Program'!$O$44,0)-IF(AND('Bonding Program'!$R$44&lt;&gt;"",AZ$3='Bonding Program'!$R$44),'Bonding Program'!$Q$44,0),0)</f>
        <v>0</v>
      </c>
      <c r="BA185" s="19" t="n">
        <f aca="false">IF(AND('Bonding Program'!$S$44=1,BA$3='Bonding Program'!$H$44),'Bonding Program'!$AA$44,0)-IF(BA$3&lt;='Bonding Program'!$C$8,IF(AND('Bonding Program'!$K$44&lt;&gt;"",BA$3='Bonding Program'!$K$44),'Bonding Program'!$J$44,0)-IF(AND('Bonding Program'!$M$44&lt;&gt;"",BA$3='Bonding Program'!$M$44),'Bonding Program'!$L$44,0)-IF(AND('Bonding Program'!$P$44&lt;&gt;"",BA$3='Bonding Program'!$P$44),'Bonding Program'!$O$44,0)-IF(AND('Bonding Program'!$R$44&lt;&gt;"",BA$3='Bonding Program'!$R$44),'Bonding Program'!$Q$44,0),0)</f>
        <v>0</v>
      </c>
      <c r="BB185" s="19" t="n">
        <f aca="false">IF(AND('Bonding Program'!$S$44=1,BB$3='Bonding Program'!$H$44),'Bonding Program'!$AA$44,0)-IF(BB$3&lt;='Bonding Program'!$C$8,IF(AND('Bonding Program'!$K$44&lt;&gt;"",BB$3='Bonding Program'!$K$44),'Bonding Program'!$J$44,0)-IF(AND('Bonding Program'!$M$44&lt;&gt;"",BB$3='Bonding Program'!$M$44),'Bonding Program'!$L$44,0)-IF(AND('Bonding Program'!$P$44&lt;&gt;"",BB$3='Bonding Program'!$P$44),'Bonding Program'!$O$44,0)-IF(AND('Bonding Program'!$R$44&lt;&gt;"",BB$3='Bonding Program'!$R$44),'Bonding Program'!$Q$44,0),0)</f>
        <v>0</v>
      </c>
      <c r="BC185" s="19" t="n">
        <f aca="false">IF(AND('Bonding Program'!$S$44=1,BC$3='Bonding Program'!$H$44),'Bonding Program'!$AA$44,0)-IF(BC$3&lt;='Bonding Program'!$C$8,IF(AND('Bonding Program'!$K$44&lt;&gt;"",BC$3='Bonding Program'!$K$44),'Bonding Program'!$J$44,0)-IF(AND('Bonding Program'!$M$44&lt;&gt;"",BC$3='Bonding Program'!$M$44),'Bonding Program'!$L$44,0)-IF(AND('Bonding Program'!$P$44&lt;&gt;"",BC$3='Bonding Program'!$P$44),'Bonding Program'!$O$44,0)-IF(AND('Bonding Program'!$R$44&lt;&gt;"",BC$3='Bonding Program'!$R$44),'Bonding Program'!$Q$44,0),0)</f>
        <v>0</v>
      </c>
      <c r="BD185" s="19" t="n">
        <f aca="false">IF(AND('Bonding Program'!$S$44=1,BD$3='Bonding Program'!$H$44),'Bonding Program'!$AA$44,0)-IF(BD$3&lt;='Bonding Program'!$C$8,IF(AND('Bonding Program'!$K$44&lt;&gt;"",BD$3='Bonding Program'!$K$44),'Bonding Program'!$J$44,0)-IF(AND('Bonding Program'!$M$44&lt;&gt;"",BD$3='Bonding Program'!$M$44),'Bonding Program'!$L$44,0)-IF(AND('Bonding Program'!$P$44&lt;&gt;"",BD$3='Bonding Program'!$P$44),'Bonding Program'!$O$44,0)-IF(AND('Bonding Program'!$R$44&lt;&gt;"",BD$3='Bonding Program'!$R$44),'Bonding Program'!$Q$44,0),0)</f>
        <v>0</v>
      </c>
      <c r="BE185" s="19" t="n">
        <f aca="false">IF(AND('Bonding Program'!$S$44=1,BE$3='Bonding Program'!$H$44),'Bonding Program'!$AA$44,0)-IF(BE$3&lt;='Bonding Program'!$C$8,IF(AND('Bonding Program'!$K$44&lt;&gt;"",BE$3='Bonding Program'!$K$44),'Bonding Program'!$J$44,0)-IF(AND('Bonding Program'!$M$44&lt;&gt;"",BE$3='Bonding Program'!$M$44),'Bonding Program'!$L$44,0)-IF(AND('Bonding Program'!$P$44&lt;&gt;"",BE$3='Bonding Program'!$P$44),'Bonding Program'!$O$44,0)-IF(AND('Bonding Program'!$R$44&lt;&gt;"",BE$3='Bonding Program'!$R$44),'Bonding Program'!$Q$44,0),0)</f>
        <v>0</v>
      </c>
      <c r="BF185" s="19" t="n">
        <f aca="false">IF(AND('Bonding Program'!$S$44=1,BF$3='Bonding Program'!$H$44),'Bonding Program'!$AA$44,0)-IF(BF$3&lt;='Bonding Program'!$C$8,IF(AND('Bonding Program'!$K$44&lt;&gt;"",BF$3='Bonding Program'!$K$44),'Bonding Program'!$J$44,0)-IF(AND('Bonding Program'!$M$44&lt;&gt;"",BF$3='Bonding Program'!$M$44),'Bonding Program'!$L$44,0)-IF(AND('Bonding Program'!$P$44&lt;&gt;"",BF$3='Bonding Program'!$P$44),'Bonding Program'!$O$44,0)-IF(AND('Bonding Program'!$R$44&lt;&gt;"",BF$3='Bonding Program'!$R$44),'Bonding Program'!$Q$44,0),0)</f>
        <v>0</v>
      </c>
      <c r="BG185" s="19" t="n">
        <f aca="false">IF(AND('Bonding Program'!$S$44=1,BG$3='Bonding Program'!$H$44),'Bonding Program'!$AA$44,0)-IF(BG$3&lt;='Bonding Program'!$C$8,IF(AND('Bonding Program'!$K$44&lt;&gt;"",BG$3='Bonding Program'!$K$44),'Bonding Program'!$J$44,0)-IF(AND('Bonding Program'!$M$44&lt;&gt;"",BG$3='Bonding Program'!$M$44),'Bonding Program'!$L$44,0)-IF(AND('Bonding Program'!$P$44&lt;&gt;"",BG$3='Bonding Program'!$P$44),'Bonding Program'!$O$44,0)-IF(AND('Bonding Program'!$R$44&lt;&gt;"",BG$3='Bonding Program'!$R$44),'Bonding Program'!$Q$44,0),0)</f>
        <v>0</v>
      </c>
      <c r="BH185" s="19" t="n">
        <f aca="false">IF(AND('Bonding Program'!$S$44=1,BH$3='Bonding Program'!$H$44),'Bonding Program'!$AA$44,0)-IF(BH$3&lt;='Bonding Program'!$C$8,IF(AND('Bonding Program'!$K$44&lt;&gt;"",BH$3='Bonding Program'!$K$44),'Bonding Program'!$J$44,0)-IF(AND('Bonding Program'!$M$44&lt;&gt;"",BH$3='Bonding Program'!$M$44),'Bonding Program'!$L$44,0)-IF(AND('Bonding Program'!$P$44&lt;&gt;"",BH$3='Bonding Program'!$P$44),'Bonding Program'!$O$44,0)-IF(AND('Bonding Program'!$R$44&lt;&gt;"",BH$3='Bonding Program'!$R$44),'Bonding Program'!$Q$44,0),0)</f>
        <v>0</v>
      </c>
      <c r="BI185" s="19" t="n">
        <f aca="false">IF(AND('Bonding Program'!$S$44=1,BI$3='Bonding Program'!$H$44),'Bonding Program'!$AA$44,0)-IF(BI$3&lt;='Bonding Program'!$C$8,IF(AND('Bonding Program'!$K$44&lt;&gt;"",BI$3='Bonding Program'!$K$44),'Bonding Program'!$J$44,0)-IF(AND('Bonding Program'!$M$44&lt;&gt;"",BI$3='Bonding Program'!$M$44),'Bonding Program'!$L$44,0)-IF(AND('Bonding Program'!$P$44&lt;&gt;"",BI$3='Bonding Program'!$P$44),'Bonding Program'!$O$44,0)-IF(AND('Bonding Program'!$R$44&lt;&gt;"",BI$3='Bonding Program'!$R$44),'Bonding Program'!$Q$44,0),0)</f>
        <v>0</v>
      </c>
      <c r="BJ185" s="19" t="n">
        <f aca="false">IF(AND('Bonding Program'!$S$44=1,BJ$3='Bonding Program'!$H$44),'Bonding Program'!$AA$44,0)-IF(BJ$3&lt;='Bonding Program'!$C$8,IF(AND('Bonding Program'!$K$44&lt;&gt;"",BJ$3='Bonding Program'!$K$44),'Bonding Program'!$J$44,0)-IF(AND('Bonding Program'!$M$44&lt;&gt;"",BJ$3='Bonding Program'!$M$44),'Bonding Program'!$L$44,0)-IF(AND('Bonding Program'!$P$44&lt;&gt;"",BJ$3='Bonding Program'!$P$44),'Bonding Program'!$O$44,0)-IF(AND('Bonding Program'!$R$44&lt;&gt;"",BJ$3='Bonding Program'!$R$44),'Bonding Program'!$Q$44,0),0)</f>
        <v>0</v>
      </c>
      <c r="BK185" s="19" t="n">
        <f aca="false">IF(AND('Bonding Program'!$S$44=1,BK$3='Bonding Program'!$H$44),'Bonding Program'!$AA$44,0)-IF(BK$3&lt;='Bonding Program'!$C$8,IF(AND('Bonding Program'!$K$44&lt;&gt;"",BK$3='Bonding Program'!$K$44),'Bonding Program'!$J$44,0)-IF(AND('Bonding Program'!$M$44&lt;&gt;"",BK$3='Bonding Program'!$M$44),'Bonding Program'!$L$44,0)-IF(AND('Bonding Program'!$P$44&lt;&gt;"",BK$3='Bonding Program'!$P$44),'Bonding Program'!$O$44,0)-IF(AND('Bonding Program'!$R$44&lt;&gt;"",BK$3='Bonding Program'!$R$44),'Bonding Program'!$Q$44,0),0)</f>
        <v>0</v>
      </c>
      <c r="BL185" s="19" t="n">
        <f aca="false">IF(AND('Bonding Program'!$S$44=1,BL$3='Bonding Program'!$H$44),'Bonding Program'!$AA$44,0)-IF(BL$3&lt;='Bonding Program'!$C$8,IF(AND('Bonding Program'!$K$44&lt;&gt;"",BL$3='Bonding Program'!$K$44),'Bonding Program'!$J$44,0)-IF(AND('Bonding Program'!$M$44&lt;&gt;"",BL$3='Bonding Program'!$M$44),'Bonding Program'!$L$44,0)-IF(AND('Bonding Program'!$P$44&lt;&gt;"",BL$3='Bonding Program'!$P$44),'Bonding Program'!$O$44,0)-IF(AND('Bonding Program'!$R$44&lt;&gt;"",BL$3='Bonding Program'!$R$44),'Bonding Program'!$Q$44,0),0)</f>
        <v>0</v>
      </c>
      <c r="BM185" s="19" t="n">
        <f aca="false">IF(AND('Bonding Program'!$S$44=1,BM$3='Bonding Program'!$H$44),'Bonding Program'!$AA$44,0)-IF(BM$3&lt;='Bonding Program'!$C$8,IF(AND('Bonding Program'!$K$44&lt;&gt;"",BM$3='Bonding Program'!$K$44),'Bonding Program'!$J$44,0)-IF(AND('Bonding Program'!$M$44&lt;&gt;"",BM$3='Bonding Program'!$M$44),'Bonding Program'!$L$44,0)-IF(AND('Bonding Program'!$P$44&lt;&gt;"",BM$3='Bonding Program'!$P$44),'Bonding Program'!$O$44,0)-IF(AND('Bonding Program'!$R$44&lt;&gt;"",BM$3='Bonding Program'!$R$44),'Bonding Program'!$Q$44,0),0)</f>
        <v>0</v>
      </c>
      <c r="BN185" s="19" t="n">
        <f aca="false">IF(AND('Bonding Program'!$S$44=1,BN$3='Bonding Program'!$H$44),'Bonding Program'!$AA$44,0)-IF(BN$3&lt;='Bonding Program'!$C$8,IF(AND('Bonding Program'!$K$44&lt;&gt;"",BN$3='Bonding Program'!$K$44),'Bonding Program'!$J$44,0)-IF(AND('Bonding Program'!$M$44&lt;&gt;"",BN$3='Bonding Program'!$M$44),'Bonding Program'!$L$44,0)-IF(AND('Bonding Program'!$P$44&lt;&gt;"",BN$3='Bonding Program'!$P$44),'Bonding Program'!$O$44,0)-IF(AND('Bonding Program'!$R$44&lt;&gt;"",BN$3='Bonding Program'!$R$44),'Bonding Program'!$Q$44,0),0)</f>
        <v>0</v>
      </c>
      <c r="BO185" s="19" t="n">
        <f aca="false">IF(AND('Bonding Program'!$S$44=1,BO$3='Bonding Program'!$H$44),'Bonding Program'!$AA$44,0)-IF(BO$3&lt;='Bonding Program'!$C$8,IF(AND('Bonding Program'!$K$44&lt;&gt;"",BO$3='Bonding Program'!$K$44),'Bonding Program'!$J$44,0)-IF(AND('Bonding Program'!$M$44&lt;&gt;"",BO$3='Bonding Program'!$M$44),'Bonding Program'!$L$44,0)-IF(AND('Bonding Program'!$P$44&lt;&gt;"",BO$3='Bonding Program'!$P$44),'Bonding Program'!$O$44,0)-IF(AND('Bonding Program'!$R$44&lt;&gt;"",BO$3='Bonding Program'!$R$44),'Bonding Program'!$Q$44,0),0)</f>
        <v>0</v>
      </c>
      <c r="BP185" s="19" t="n">
        <f aca="false">IF(AND('Bonding Program'!$S$44=1,BP$3='Bonding Program'!$H$44),'Bonding Program'!$AA$44,0)-IF(BP$3&lt;='Bonding Program'!$C$8,IF(AND('Bonding Program'!$K$44&lt;&gt;"",BP$3='Bonding Program'!$K$44),'Bonding Program'!$J$44,0)-IF(AND('Bonding Program'!$M$44&lt;&gt;"",BP$3='Bonding Program'!$M$44),'Bonding Program'!$L$44,0)-IF(AND('Bonding Program'!$P$44&lt;&gt;"",BP$3='Bonding Program'!$P$44),'Bonding Program'!$O$44,0)-IF(AND('Bonding Program'!$R$44&lt;&gt;"",BP$3='Bonding Program'!$R$44),'Bonding Program'!$Q$44,0),0)</f>
        <v>0</v>
      </c>
      <c r="BQ185" s="19" t="n">
        <f aca="false">IF(AND('Bonding Program'!$S$44=1,BQ$3='Bonding Program'!$H$44),'Bonding Program'!$AA$44,0)-IF(BQ$3&lt;='Bonding Program'!$C$8,IF(AND('Bonding Program'!$K$44&lt;&gt;"",BQ$3='Bonding Program'!$K$44),'Bonding Program'!$J$44,0)-IF(AND('Bonding Program'!$M$44&lt;&gt;"",BQ$3='Bonding Program'!$M$44),'Bonding Program'!$L$44,0)-IF(AND('Bonding Program'!$P$44&lt;&gt;"",BQ$3='Bonding Program'!$P$44),'Bonding Program'!$O$44,0)-IF(AND('Bonding Program'!$R$44&lt;&gt;"",BQ$3='Bonding Program'!$R$44),'Bonding Program'!$Q$44,0),0)</f>
        <v>0</v>
      </c>
      <c r="BR185" s="19" t="n">
        <f aca="false">IF(AND('Bonding Program'!$S$44=1,BR$3='Bonding Program'!$H$44),'Bonding Program'!$AA$44,0)-IF(BR$3&lt;='Bonding Program'!$C$8,IF(AND('Bonding Program'!$K$44&lt;&gt;"",BR$3='Bonding Program'!$K$44),'Bonding Program'!$J$44,0)-IF(AND('Bonding Program'!$M$44&lt;&gt;"",BR$3='Bonding Program'!$M$44),'Bonding Program'!$L$44,0)-IF(AND('Bonding Program'!$P$44&lt;&gt;"",BR$3='Bonding Program'!$P$44),'Bonding Program'!$O$44,0)-IF(AND('Bonding Program'!$R$44&lt;&gt;"",BR$3='Bonding Program'!$R$44),'Bonding Program'!$Q$44,0),0)</f>
        <v>0</v>
      </c>
      <c r="BS185" s="19" t="n">
        <f aca="false">IF(AND('Bonding Program'!$S$44=1,BS$3='Bonding Program'!$H$44),'Bonding Program'!$AA$44,0)-IF(BS$3&lt;='Bonding Program'!$C$8,IF(AND('Bonding Program'!$K$44&lt;&gt;"",BS$3='Bonding Program'!$K$44),'Bonding Program'!$J$44,0)-IF(AND('Bonding Program'!$M$44&lt;&gt;"",BS$3='Bonding Program'!$M$44),'Bonding Program'!$L$44,0)-IF(AND('Bonding Program'!$P$44&lt;&gt;"",BS$3='Bonding Program'!$P$44),'Bonding Program'!$O$44,0)-IF(AND('Bonding Program'!$R$44&lt;&gt;"",BS$3='Bonding Program'!$R$44),'Bonding Program'!$Q$44,0),0)</f>
        <v>0</v>
      </c>
      <c r="BT185" s="19" t="n">
        <f aca="false">IF(AND('Bonding Program'!$S$44=1,BT$3='Bonding Program'!$H$44),'Bonding Program'!$AA$44,0)-IF(BT$3&lt;='Bonding Program'!$C$8,IF(AND('Bonding Program'!$K$44&lt;&gt;"",BT$3='Bonding Program'!$K$44),'Bonding Program'!$J$44,0)-IF(AND('Bonding Program'!$M$44&lt;&gt;"",BT$3='Bonding Program'!$M$44),'Bonding Program'!$L$44,0)-IF(AND('Bonding Program'!$P$44&lt;&gt;"",BT$3='Bonding Program'!$P$44),'Bonding Program'!$O$44,0)-IF(AND('Bonding Program'!$R$44&lt;&gt;"",BT$3='Bonding Program'!$R$44),'Bonding Program'!$Q$44,0),0)</f>
        <v>0</v>
      </c>
      <c r="BU185" s="19" t="n">
        <f aca="false">IF(AND('Bonding Program'!$S$44=1,BU$3='Bonding Program'!$H$44),'Bonding Program'!$AA$44,0)-IF(BU$3&lt;='Bonding Program'!$C$8,IF(AND('Bonding Program'!$K$44&lt;&gt;"",BU$3='Bonding Program'!$K$44),'Bonding Program'!$J$44,0)-IF(AND('Bonding Program'!$M$44&lt;&gt;"",BU$3='Bonding Program'!$M$44),'Bonding Program'!$L$44,0)-IF(AND('Bonding Program'!$P$44&lt;&gt;"",BU$3='Bonding Program'!$P$44),'Bonding Program'!$O$44,0)-IF(AND('Bonding Program'!$R$44&lt;&gt;"",BU$3='Bonding Program'!$R$44),'Bonding Program'!$Q$44,0),0)</f>
        <v>0</v>
      </c>
      <c r="BV185" s="19" t="n">
        <f aca="false">IF(AND('Bonding Program'!$S$44=1,BV$3='Bonding Program'!$H$44),'Bonding Program'!$AA$44,0)-IF(BV$3&lt;='Bonding Program'!$C$8,IF(AND('Bonding Program'!$K$44&lt;&gt;"",BV$3='Bonding Program'!$K$44),'Bonding Program'!$J$44,0)-IF(AND('Bonding Program'!$M$44&lt;&gt;"",BV$3='Bonding Program'!$M$44),'Bonding Program'!$L$44,0)-IF(AND('Bonding Program'!$P$44&lt;&gt;"",BV$3='Bonding Program'!$P$44),'Bonding Program'!$O$44,0)-IF(AND('Bonding Program'!$R$44&lt;&gt;"",BV$3='Bonding Program'!$R$44),'Bonding Program'!$Q$44,0),0)</f>
        <v>0</v>
      </c>
      <c r="BW185" s="19" t="n">
        <f aca="false">IF(AND('Bonding Program'!$S$44=1,BW$3='Bonding Program'!$H$44),'Bonding Program'!$AA$44,0)-IF(BW$3&lt;='Bonding Program'!$C$8,IF(AND('Bonding Program'!$K$44&lt;&gt;"",BW$3='Bonding Program'!$K$44),'Bonding Program'!$J$44,0)-IF(AND('Bonding Program'!$M$44&lt;&gt;"",BW$3='Bonding Program'!$M$44),'Bonding Program'!$L$44,0)-IF(AND('Bonding Program'!$P$44&lt;&gt;"",BW$3='Bonding Program'!$P$44),'Bonding Program'!$O$44,0)-IF(AND('Bonding Program'!$R$44&lt;&gt;"",BW$3='Bonding Program'!$R$44),'Bonding Program'!$Q$44,0),0)</f>
        <v>0</v>
      </c>
      <c r="BX185" s="19" t="n">
        <f aca="false">IF(AND('Bonding Program'!$S$44=1,BX$3='Bonding Program'!$H$44),'Bonding Program'!$AA$44,0)-IF(BX$3&lt;='Bonding Program'!$C$8,IF(AND('Bonding Program'!$K$44&lt;&gt;"",BX$3='Bonding Program'!$K$44),'Bonding Program'!$J$44,0)-IF(AND('Bonding Program'!$M$44&lt;&gt;"",BX$3='Bonding Program'!$M$44),'Bonding Program'!$L$44,0)-IF(AND('Bonding Program'!$P$44&lt;&gt;"",BX$3='Bonding Program'!$P$44),'Bonding Program'!$O$44,0)-IF(AND('Bonding Program'!$R$44&lt;&gt;"",BX$3='Bonding Program'!$R$44),'Bonding Program'!$Q$44,0),0)</f>
        <v>0</v>
      </c>
      <c r="BY185" s="19" t="n">
        <f aca="false">IF(AND('Bonding Program'!$S$44=1,BY$3='Bonding Program'!$H$44),'Bonding Program'!$AA$44,0)-IF(BY$3&lt;='Bonding Program'!$C$8,IF(AND('Bonding Program'!$K$44&lt;&gt;"",BY$3='Bonding Program'!$K$44),'Bonding Program'!$J$44,0)-IF(AND('Bonding Program'!$M$44&lt;&gt;"",BY$3='Bonding Program'!$M$44),'Bonding Program'!$L$44,0)-IF(AND('Bonding Program'!$P$44&lt;&gt;"",BY$3='Bonding Program'!$P$44),'Bonding Program'!$O$44,0)-IF(AND('Bonding Program'!$R$44&lt;&gt;"",BY$3='Bonding Program'!$R$44),'Bonding Program'!$Q$44,0),0)</f>
        <v>0</v>
      </c>
      <c r="BZ185" s="19" t="n">
        <f aca="false">IF(AND('Bonding Program'!$S$44=1,BZ$3='Bonding Program'!$H$44),'Bonding Program'!$AA$44,0)-IF(BZ$3&lt;='Bonding Program'!$C$8,IF(AND('Bonding Program'!$K$44&lt;&gt;"",BZ$3='Bonding Program'!$K$44),'Bonding Program'!$J$44,0)-IF(AND('Bonding Program'!$M$44&lt;&gt;"",BZ$3='Bonding Program'!$M$44),'Bonding Program'!$L$44,0)-IF(AND('Bonding Program'!$P$44&lt;&gt;"",BZ$3='Bonding Program'!$P$44),'Bonding Program'!$O$44,0)-IF(AND('Bonding Program'!$R$44&lt;&gt;"",BZ$3='Bonding Program'!$R$44),'Bonding Program'!$Q$44,0),0)</f>
        <v>0</v>
      </c>
      <c r="CA185" s="19" t="n">
        <f aca="false">IF(AND('Bonding Program'!$S$44=1,CA$3='Bonding Program'!$H$44),'Bonding Program'!$AA$44,0)-IF(CA$3&lt;='Bonding Program'!$C$8,IF(AND('Bonding Program'!$K$44&lt;&gt;"",CA$3='Bonding Program'!$K$44),'Bonding Program'!$J$44,0)-IF(AND('Bonding Program'!$M$44&lt;&gt;"",CA$3='Bonding Program'!$M$44),'Bonding Program'!$L$44,0)-IF(AND('Bonding Program'!$P$44&lt;&gt;"",CA$3='Bonding Program'!$P$44),'Bonding Program'!$O$44,0)-IF(AND('Bonding Program'!$R$44&lt;&gt;"",CA$3='Bonding Program'!$R$44),'Bonding Program'!$Q$44,0),0)</f>
        <v>0</v>
      </c>
      <c r="CB185" s="19" t="n">
        <f aca="false">IF(AND('Bonding Program'!$S$44=1,CB$3='Bonding Program'!$H$44),'Bonding Program'!$AA$44,0)-IF(CB$3&lt;='Bonding Program'!$C$8,IF(AND('Bonding Program'!$K$44&lt;&gt;"",CB$3='Bonding Program'!$K$44),'Bonding Program'!$J$44,0)-IF(AND('Bonding Program'!$M$44&lt;&gt;"",CB$3='Bonding Program'!$M$44),'Bonding Program'!$L$44,0)-IF(AND('Bonding Program'!$P$44&lt;&gt;"",CB$3='Bonding Program'!$P$44),'Bonding Program'!$O$44,0)-IF(AND('Bonding Program'!$R$44&lt;&gt;"",CB$3='Bonding Program'!$R$44),'Bonding Program'!$Q$44,0),0)</f>
        <v>0</v>
      </c>
      <c r="CC185" s="19" t="n">
        <f aca="false">IF(AND('Bonding Program'!$S$44=1,CC$3='Bonding Program'!$H$44),'Bonding Program'!$AA$44,0)-IF(CC$3&lt;='Bonding Program'!$C$8,IF(AND('Bonding Program'!$K$44&lt;&gt;"",CC$3='Bonding Program'!$K$44),'Bonding Program'!$J$44,0)-IF(AND('Bonding Program'!$M$44&lt;&gt;"",CC$3='Bonding Program'!$M$44),'Bonding Program'!$L$44,0)-IF(AND('Bonding Program'!$P$44&lt;&gt;"",CC$3='Bonding Program'!$P$44),'Bonding Program'!$O$44,0)-IF(AND('Bonding Program'!$R$44&lt;&gt;"",CC$3='Bonding Program'!$R$44),'Bonding Program'!$Q$44,0),0)</f>
        <v>0</v>
      </c>
      <c r="CD185" s="19" t="n">
        <f aca="false">IF(AND('Bonding Program'!$S$44=1,CD$3='Bonding Program'!$H$44),'Bonding Program'!$AA$44,0)-IF(CD$3&lt;='Bonding Program'!$C$8,IF(AND('Bonding Program'!$K$44&lt;&gt;"",CD$3='Bonding Program'!$K$44),'Bonding Program'!$J$44,0)-IF(AND('Bonding Program'!$M$44&lt;&gt;"",CD$3='Bonding Program'!$M$44),'Bonding Program'!$L$44,0)-IF(AND('Bonding Program'!$P$44&lt;&gt;"",CD$3='Bonding Program'!$P$44),'Bonding Program'!$O$44,0)-IF(AND('Bonding Program'!$R$44&lt;&gt;"",CD$3='Bonding Program'!$R$44),'Bonding Program'!$Q$44,0),0)</f>
        <v>0</v>
      </c>
      <c r="CE185" s="19" t="n">
        <f aca="false">IF(AND('Bonding Program'!$S$44=1,CE$3='Bonding Program'!$H$44),'Bonding Program'!$AA$44,0)-IF(CE$3&lt;='Bonding Program'!$C$8,IF(AND('Bonding Program'!$K$44&lt;&gt;"",CE$3='Bonding Program'!$K$44),'Bonding Program'!$J$44,0)-IF(AND('Bonding Program'!$M$44&lt;&gt;"",CE$3='Bonding Program'!$M$44),'Bonding Program'!$L$44,0)-IF(AND('Bonding Program'!$P$44&lt;&gt;"",CE$3='Bonding Program'!$P$44),'Bonding Program'!$O$44,0)-IF(AND('Bonding Program'!$R$44&lt;&gt;"",CE$3='Bonding Program'!$R$44),'Bonding Program'!$Q$44,0),0)</f>
        <v>0</v>
      </c>
      <c r="CF185" s="19" t="n">
        <f aca="false">IF(AND('Bonding Program'!$S$44=1,CF$3='Bonding Program'!$H$44),'Bonding Program'!$AA$44,0)-IF(CF$3&lt;='Bonding Program'!$C$8,IF(AND('Bonding Program'!$K$44&lt;&gt;"",CF$3='Bonding Program'!$K$44),'Bonding Program'!$J$44,0)-IF(AND('Bonding Program'!$M$44&lt;&gt;"",CF$3='Bonding Program'!$M$44),'Bonding Program'!$L$44,0)-IF(AND('Bonding Program'!$P$44&lt;&gt;"",CF$3='Bonding Program'!$P$44),'Bonding Program'!$O$44,0)-IF(AND('Bonding Program'!$R$44&lt;&gt;"",CF$3='Bonding Program'!$R$44),'Bonding Program'!$Q$44,0),0)</f>
        <v>0</v>
      </c>
      <c r="CG185" s="19" t="n">
        <f aca="false">IF(AND('Bonding Program'!$S$44=1,CG$3='Bonding Program'!$H$44),'Bonding Program'!$AA$44,0)-IF(CG$3&lt;='Bonding Program'!$C$8,IF(AND('Bonding Program'!$K$44&lt;&gt;"",CG$3='Bonding Program'!$K$44),'Bonding Program'!$J$44,0)-IF(AND('Bonding Program'!$M$44&lt;&gt;"",CG$3='Bonding Program'!$M$44),'Bonding Program'!$L$44,0)-IF(AND('Bonding Program'!$P$44&lt;&gt;"",CG$3='Bonding Program'!$P$44),'Bonding Program'!$O$44,0)-IF(AND('Bonding Program'!$R$44&lt;&gt;"",CG$3='Bonding Program'!$R$44),'Bonding Program'!$Q$44,0),0)</f>
        <v>0</v>
      </c>
      <c r="CH185" s="19" t="n">
        <f aca="false">IF(AND('Bonding Program'!$S$44=1,CH$3='Bonding Program'!$H$44),'Bonding Program'!$AA$44,0)-IF(CH$3&lt;='Bonding Program'!$C$8,IF(AND('Bonding Program'!$K$44&lt;&gt;"",CH$3='Bonding Program'!$K$44),'Bonding Program'!$J$44,0)-IF(AND('Bonding Program'!$M$44&lt;&gt;"",CH$3='Bonding Program'!$M$44),'Bonding Program'!$L$44,0)-IF(AND('Bonding Program'!$P$44&lt;&gt;"",CH$3='Bonding Program'!$P$44),'Bonding Program'!$O$44,0)-IF(AND('Bonding Program'!$R$44&lt;&gt;"",CH$3='Bonding Program'!$R$44),'Bonding Program'!$Q$44,0),0)</f>
        <v>0</v>
      </c>
      <c r="CI185" s="19" t="n">
        <f aca="false">IF(AND('Bonding Program'!$S$44=1,CI$3='Bonding Program'!$H$44),'Bonding Program'!$AA$44,0)-IF(CI$3&lt;='Bonding Program'!$C$8,IF(AND('Bonding Program'!$K$44&lt;&gt;"",CI$3='Bonding Program'!$K$44),'Bonding Program'!$J$44,0)-IF(AND('Bonding Program'!$M$44&lt;&gt;"",CI$3='Bonding Program'!$M$44),'Bonding Program'!$L$44,0)-IF(AND('Bonding Program'!$P$44&lt;&gt;"",CI$3='Bonding Program'!$P$44),'Bonding Program'!$O$44,0)-IF(AND('Bonding Program'!$R$44&lt;&gt;"",CI$3='Bonding Program'!$R$44),'Bonding Program'!$Q$44,0),0)</f>
        <v>0</v>
      </c>
      <c r="CJ185" s="19" t="n">
        <f aca="false">IF(AND('Bonding Program'!$S$44=1,CJ$3='Bonding Program'!$H$44),'Bonding Program'!$AA$44,0)-IF(CJ$3&lt;='Bonding Program'!$C$8,IF(AND('Bonding Program'!$K$44&lt;&gt;"",CJ$3='Bonding Program'!$K$44),'Bonding Program'!$J$44,0)-IF(AND('Bonding Program'!$M$44&lt;&gt;"",CJ$3='Bonding Program'!$M$44),'Bonding Program'!$L$44,0)-IF(AND('Bonding Program'!$P$44&lt;&gt;"",CJ$3='Bonding Program'!$P$44),'Bonding Program'!$O$44,0)-IF(AND('Bonding Program'!$R$44&lt;&gt;"",CJ$3='Bonding Program'!$R$44),'Bonding Program'!$Q$44,0),0)</f>
        <v>0</v>
      </c>
      <c r="CK185" s="19" t="n">
        <f aca="false">IF(AND('Bonding Program'!$S$44=1,CK$3='Bonding Program'!$H$44),'Bonding Program'!$AA$44,0)-IF(CK$3&lt;='Bonding Program'!$C$8,IF(AND('Bonding Program'!$K$44&lt;&gt;"",CK$3='Bonding Program'!$K$44),'Bonding Program'!$J$44,0)-IF(AND('Bonding Program'!$M$44&lt;&gt;"",CK$3='Bonding Program'!$M$44),'Bonding Program'!$L$44,0)-IF(AND('Bonding Program'!$P$44&lt;&gt;"",CK$3='Bonding Program'!$P$44),'Bonding Program'!$O$44,0)-IF(AND('Bonding Program'!$R$44&lt;&gt;"",CK$3='Bonding Program'!$R$44),'Bonding Program'!$Q$44,0),0)</f>
        <v>0</v>
      </c>
      <c r="CL185" s="19" t="n">
        <f aca="false">IF(AND('Bonding Program'!$S$44=1,CL$3='Bonding Program'!$H$44),'Bonding Program'!$AA$44,0)-IF(CL$3&lt;='Bonding Program'!$C$8,IF(AND('Bonding Program'!$K$44&lt;&gt;"",CL$3='Bonding Program'!$K$44),'Bonding Program'!$J$44,0)-IF(AND('Bonding Program'!$M$44&lt;&gt;"",CL$3='Bonding Program'!$M$44),'Bonding Program'!$L$44,0)-IF(AND('Bonding Program'!$P$44&lt;&gt;"",CL$3='Bonding Program'!$P$44),'Bonding Program'!$O$44,0)-IF(AND('Bonding Program'!$R$44&lt;&gt;"",CL$3='Bonding Program'!$R$44),'Bonding Program'!$Q$44,0),0)</f>
        <v>0</v>
      </c>
      <c r="CM185" s="19" t="n">
        <f aca="false">IF(AND('Bonding Program'!$S$44=1,CM$3='Bonding Program'!$H$44),'Bonding Program'!$AA$44,0)-IF(CM$3&lt;='Bonding Program'!$C$8,IF(AND('Bonding Program'!$K$44&lt;&gt;"",CM$3='Bonding Program'!$K$44),'Bonding Program'!$J$44,0)-IF(AND('Bonding Program'!$M$44&lt;&gt;"",CM$3='Bonding Program'!$M$44),'Bonding Program'!$L$44,0)-IF(AND('Bonding Program'!$P$44&lt;&gt;"",CM$3='Bonding Program'!$P$44),'Bonding Program'!$O$44,0)-IF(AND('Bonding Program'!$R$44&lt;&gt;"",CM$3='Bonding Program'!$R$44),'Bonding Program'!$Q$44,0),0)</f>
        <v>0</v>
      </c>
      <c r="CN185" s="19" t="n">
        <f aca="false">IF(AND('Bonding Program'!$S$44=1,CN$3='Bonding Program'!$H$44),'Bonding Program'!$AA$44,0)-IF(CN$3&lt;='Bonding Program'!$C$8,IF(AND('Bonding Program'!$K$44&lt;&gt;"",CN$3='Bonding Program'!$K$44),'Bonding Program'!$J$44,0)-IF(AND('Bonding Program'!$M$44&lt;&gt;"",CN$3='Bonding Program'!$M$44),'Bonding Program'!$L$44,0)-IF(AND('Bonding Program'!$P$44&lt;&gt;"",CN$3='Bonding Program'!$P$44),'Bonding Program'!$O$44,0)-IF(AND('Bonding Program'!$R$44&lt;&gt;"",CN$3='Bonding Program'!$R$44),'Bonding Program'!$Q$44,0),0)</f>
        <v>0</v>
      </c>
      <c r="CO185" s="19" t="n">
        <f aca="false">IF(AND('Bonding Program'!$S$44=1,CO$3='Bonding Program'!$H$44),'Bonding Program'!$AA$44,0)-IF(CO$3&lt;='Bonding Program'!$C$8,IF(AND('Bonding Program'!$K$44&lt;&gt;"",CO$3='Bonding Program'!$K$44),'Bonding Program'!$J$44,0)-IF(AND('Bonding Program'!$M$44&lt;&gt;"",CO$3='Bonding Program'!$M$44),'Bonding Program'!$L$44,0)-IF(AND('Bonding Program'!$P$44&lt;&gt;"",CO$3='Bonding Program'!$P$44),'Bonding Program'!$O$44,0)-IF(AND('Bonding Program'!$R$44&lt;&gt;"",CO$3='Bonding Program'!$R$44),'Bonding Program'!$Q$44,0),0)</f>
        <v>0</v>
      </c>
      <c r="CP185" s="19" t="n">
        <f aca="false">IF(AND('Bonding Program'!$S$44=1,CP$3='Bonding Program'!$H$44),'Bonding Program'!$AA$44,0)-IF(CP$3&lt;='Bonding Program'!$C$8,IF(AND('Bonding Program'!$K$44&lt;&gt;"",CP$3='Bonding Program'!$K$44),'Bonding Program'!$J$44,0)-IF(AND('Bonding Program'!$M$44&lt;&gt;"",CP$3='Bonding Program'!$M$44),'Bonding Program'!$L$44,0)-IF(AND('Bonding Program'!$P$44&lt;&gt;"",CP$3='Bonding Program'!$P$44),'Bonding Program'!$O$44,0)-IF(AND('Bonding Program'!$R$44&lt;&gt;"",CP$3='Bonding Program'!$R$44),'Bonding Program'!$Q$44,0),0)</f>
        <v>0</v>
      </c>
      <c r="CQ185" s="19" t="n">
        <f aca="false">IF(AND('Bonding Program'!$S$44=1,CQ$3='Bonding Program'!$H$44),'Bonding Program'!$AA$44,0)-IF(CQ$3&lt;='Bonding Program'!$C$8,IF(AND('Bonding Program'!$K$44&lt;&gt;"",CQ$3='Bonding Program'!$K$44),'Bonding Program'!$J$44,0)-IF(AND('Bonding Program'!$M$44&lt;&gt;"",CQ$3='Bonding Program'!$M$44),'Bonding Program'!$L$44,0)-IF(AND('Bonding Program'!$P$44&lt;&gt;"",CQ$3='Bonding Program'!$P$44),'Bonding Program'!$O$44,0)-IF(AND('Bonding Program'!$R$44&lt;&gt;"",CQ$3='Bonding Program'!$R$44),'Bonding Program'!$Q$44,0),0)</f>
        <v>0</v>
      </c>
      <c r="CR185" s="19" t="n">
        <f aca="false">IF(AND('Bonding Program'!$S$44=1,CR$3='Bonding Program'!$H$44),'Bonding Program'!$AA$44,0)-IF(CR$3&lt;='Bonding Program'!$C$8,IF(AND('Bonding Program'!$K$44&lt;&gt;"",CR$3='Bonding Program'!$K$44),'Bonding Program'!$J$44,0)-IF(AND('Bonding Program'!$M$44&lt;&gt;"",CR$3='Bonding Program'!$M$44),'Bonding Program'!$L$44,0)-IF(AND('Bonding Program'!$P$44&lt;&gt;"",CR$3='Bonding Program'!$P$44),'Bonding Program'!$O$44,0)-IF(AND('Bonding Program'!$R$44&lt;&gt;"",CR$3='Bonding Program'!$R$44),'Bonding Program'!$Q$44,0),0)</f>
        <v>0</v>
      </c>
      <c r="CS185" s="19" t="n">
        <f aca="false">IF(AND('Bonding Program'!$S$44=1,CS$3='Bonding Program'!$H$44),'Bonding Program'!$AA$44,0)-IF(CS$3&lt;='Bonding Program'!$C$8,IF(AND('Bonding Program'!$K$44&lt;&gt;"",CS$3='Bonding Program'!$K$44),'Bonding Program'!$J$44,0)-IF(AND('Bonding Program'!$M$44&lt;&gt;"",CS$3='Bonding Program'!$M$44),'Bonding Program'!$L$44,0)-IF(AND('Bonding Program'!$P$44&lt;&gt;"",CS$3='Bonding Program'!$P$44),'Bonding Program'!$O$44,0)-IF(AND('Bonding Program'!$R$44&lt;&gt;"",CS$3='Bonding Program'!$R$44),'Bonding Program'!$Q$44,0),0)</f>
        <v>0</v>
      </c>
      <c r="CT185" s="19" t="n">
        <f aca="false">IF(AND('Bonding Program'!$S$44=1,CT$3='Bonding Program'!$H$44),'Bonding Program'!$AA$44,0)-IF(CT$3&lt;='Bonding Program'!$C$8,IF(AND('Bonding Program'!$K$44&lt;&gt;"",CT$3='Bonding Program'!$K$44),'Bonding Program'!$J$44,0)-IF(AND('Bonding Program'!$M$44&lt;&gt;"",CT$3='Bonding Program'!$M$44),'Bonding Program'!$L$44,0)-IF(AND('Bonding Program'!$P$44&lt;&gt;"",CT$3='Bonding Program'!$P$44),'Bonding Program'!$O$44,0)-IF(AND('Bonding Program'!$R$44&lt;&gt;"",CT$3='Bonding Program'!$R$44),'Bonding Program'!$Q$44,0),0)</f>
        <v>0</v>
      </c>
      <c r="CU185" s="19" t="n">
        <f aca="false">IF(AND('Bonding Program'!$S$44=1,CU$3='Bonding Program'!$H$44),'Bonding Program'!$AA$44,0)-IF(CU$3&lt;='Bonding Program'!$C$8,IF(AND('Bonding Program'!$K$44&lt;&gt;"",CU$3='Bonding Program'!$K$44),'Bonding Program'!$J$44,0)-IF(AND('Bonding Program'!$M$44&lt;&gt;"",CU$3='Bonding Program'!$M$44),'Bonding Program'!$L$44,0)-IF(AND('Bonding Program'!$P$44&lt;&gt;"",CU$3='Bonding Program'!$P$44),'Bonding Program'!$O$44,0)-IF(AND('Bonding Program'!$R$44&lt;&gt;"",CU$3='Bonding Program'!$R$44),'Bonding Program'!$Q$44,0),0)</f>
        <v>0</v>
      </c>
      <c r="CV185" s="19" t="n">
        <f aca="false">IF(AND('Bonding Program'!$S$44=1,CV$3='Bonding Program'!$H$44),'Bonding Program'!$AA$44,0)-IF(CV$3&lt;='Bonding Program'!$C$8,IF(AND('Bonding Program'!$K$44&lt;&gt;"",CV$3='Bonding Program'!$K$44),'Bonding Program'!$J$44,0)-IF(AND('Bonding Program'!$M$44&lt;&gt;"",CV$3='Bonding Program'!$M$44),'Bonding Program'!$L$44,0)-IF(AND('Bonding Program'!$P$44&lt;&gt;"",CV$3='Bonding Program'!$P$44),'Bonding Program'!$O$44,0)-IF(AND('Bonding Program'!$R$44&lt;&gt;"",CV$3='Bonding Program'!$R$44),'Bonding Program'!$Q$44,0),0)</f>
        <v>0</v>
      </c>
      <c r="CW185" s="19" t="n">
        <f aca="false">IF(AND('Bonding Program'!$S$44=1,CW$3='Bonding Program'!$H$44),'Bonding Program'!$AA$44,0)-IF(CW$3&lt;='Bonding Program'!$C$8,IF(AND('Bonding Program'!$K$44&lt;&gt;"",CW$3='Bonding Program'!$K$44),'Bonding Program'!$J$44,0)-IF(AND('Bonding Program'!$M$44&lt;&gt;"",CW$3='Bonding Program'!$M$44),'Bonding Program'!$L$44,0)-IF(AND('Bonding Program'!$P$44&lt;&gt;"",CW$3='Bonding Program'!$P$44),'Bonding Program'!$O$44,0)-IF(AND('Bonding Program'!$R$44&lt;&gt;"",CW$3='Bonding Program'!$R$44),'Bonding Program'!$Q$44,0),0)</f>
        <v>0</v>
      </c>
      <c r="CX185" s="19" t="n">
        <f aca="false">IF(AND('Bonding Program'!$S$44=1,CX$3='Bonding Program'!$H$44),'Bonding Program'!$AA$44,0)-IF(CX$3&lt;='Bonding Program'!$C$8,IF(AND('Bonding Program'!$K$44&lt;&gt;"",CX$3='Bonding Program'!$K$44),'Bonding Program'!$J$44,0)-IF(AND('Bonding Program'!$M$44&lt;&gt;"",CX$3='Bonding Program'!$M$44),'Bonding Program'!$L$44,0)-IF(AND('Bonding Program'!$P$44&lt;&gt;"",CX$3='Bonding Program'!$P$44),'Bonding Program'!$O$44,0)-IF(AND('Bonding Program'!$R$44&lt;&gt;"",CX$3='Bonding Program'!$R$44),'Bonding Program'!$Q$44,0),0)</f>
        <v>0</v>
      </c>
      <c r="CY185" s="19" t="n">
        <f aca="false">IF(AND('Bonding Program'!$S$44=1,CY$3='Bonding Program'!$H$44),'Bonding Program'!$AA$44,0)-IF(CY$3&lt;='Bonding Program'!$C$8,IF(AND('Bonding Program'!$K$44&lt;&gt;"",CY$3='Bonding Program'!$K$44),'Bonding Program'!$J$44,0)-IF(AND('Bonding Program'!$M$44&lt;&gt;"",CY$3='Bonding Program'!$M$44),'Bonding Program'!$L$44,0)-IF(AND('Bonding Program'!$P$44&lt;&gt;"",CY$3='Bonding Program'!$P$44),'Bonding Program'!$O$44,0)-IF(AND('Bonding Program'!$R$44&lt;&gt;"",CY$3='Bonding Program'!$R$44),'Bonding Program'!$Q$44,0),0)</f>
        <v>0</v>
      </c>
      <c r="CZ185" s="19" t="n">
        <f aca="false">IF(AND('Bonding Program'!$S$44=1,CZ$3='Bonding Program'!$H$44),'Bonding Program'!$AA$44,0)-IF(CZ$3&lt;='Bonding Program'!$C$8,IF(AND('Bonding Program'!$K$44&lt;&gt;"",CZ$3='Bonding Program'!$K$44),'Bonding Program'!$J$44,0)-IF(AND('Bonding Program'!$M$44&lt;&gt;"",CZ$3='Bonding Program'!$M$44),'Bonding Program'!$L$44,0)-IF(AND('Bonding Program'!$P$44&lt;&gt;"",CZ$3='Bonding Program'!$P$44),'Bonding Program'!$O$44,0)-IF(AND('Bonding Program'!$R$44&lt;&gt;"",CZ$3='Bonding Program'!$R$44),'Bonding Program'!$Q$44,0),0)</f>
        <v>0</v>
      </c>
      <c r="DA185" s="19" t="n">
        <f aca="false">IF(AND('Bonding Program'!$S$44=1,DA$3='Bonding Program'!$H$44),'Bonding Program'!$AA$44,0)-IF(DA$3&lt;='Bonding Program'!$C$8,IF(AND('Bonding Program'!$K$44&lt;&gt;"",DA$3='Bonding Program'!$K$44),'Bonding Program'!$J$44,0)-IF(AND('Bonding Program'!$M$44&lt;&gt;"",DA$3='Bonding Program'!$M$44),'Bonding Program'!$L$44,0)-IF(AND('Bonding Program'!$P$44&lt;&gt;"",DA$3='Bonding Program'!$P$44),'Bonding Program'!$O$44,0)-IF(AND('Bonding Program'!$R$44&lt;&gt;"",DA$3='Bonding Program'!$R$44),'Bonding Program'!$Q$44,0),0)</f>
        <v>0</v>
      </c>
      <c r="DB185" s="19" t="n">
        <f aca="false">IF(AND('Bonding Program'!$S$44=1,DB$3='Bonding Program'!$H$44),'Bonding Program'!$AA$44,0)-IF(DB$3&lt;='Bonding Program'!$C$8,IF(AND('Bonding Program'!$K$44&lt;&gt;"",DB$3='Bonding Program'!$K$44),'Bonding Program'!$J$44,0)-IF(AND('Bonding Program'!$M$44&lt;&gt;"",DB$3='Bonding Program'!$M$44),'Bonding Program'!$L$44,0)-IF(AND('Bonding Program'!$P$44&lt;&gt;"",DB$3='Bonding Program'!$P$44),'Bonding Program'!$O$44,0)-IF(AND('Bonding Program'!$R$44&lt;&gt;"",DB$3='Bonding Program'!$R$44),'Bonding Program'!$Q$44,0),0)</f>
        <v>0</v>
      </c>
      <c r="DC185" s="19" t="n">
        <f aca="false">IF(AND('Bonding Program'!$S$44=1,DC$3='Bonding Program'!$H$44),'Bonding Program'!$AA$44,0)-IF(DC$3&lt;='Bonding Program'!$C$8,IF(AND('Bonding Program'!$K$44&lt;&gt;"",DC$3='Bonding Program'!$K$44),'Bonding Program'!$J$44,0)-IF(AND('Bonding Program'!$M$44&lt;&gt;"",DC$3='Bonding Program'!$M$44),'Bonding Program'!$L$44,0)-IF(AND('Bonding Program'!$P$44&lt;&gt;"",DC$3='Bonding Program'!$P$44),'Bonding Program'!$O$44,0)-IF(AND('Bonding Program'!$R$44&lt;&gt;"",DC$3='Bonding Program'!$R$44),'Bonding Program'!$Q$44,0),0)</f>
        <v>0</v>
      </c>
      <c r="DD185" s="19" t="n">
        <f aca="false">IF(AND('Bonding Program'!$S$44=1,DD$3='Bonding Program'!$H$44),'Bonding Program'!$AA$44,0)-IF(DD$3&lt;='Bonding Program'!$C$8,IF(AND('Bonding Program'!$K$44&lt;&gt;"",DD$3='Bonding Program'!$K$44),'Bonding Program'!$J$44,0)-IF(AND('Bonding Program'!$M$44&lt;&gt;"",DD$3='Bonding Program'!$M$44),'Bonding Program'!$L$44,0)-IF(AND('Bonding Program'!$P$44&lt;&gt;"",DD$3='Bonding Program'!$P$44),'Bonding Program'!$O$44,0)-IF(AND('Bonding Program'!$R$44&lt;&gt;"",DD$3='Bonding Program'!$R$44),'Bonding Program'!$Q$44,0),0)</f>
        <v>0</v>
      </c>
      <c r="DE185" s="19" t="n">
        <f aca="false">IF(AND('Bonding Program'!$S$44=1,DE$3='Bonding Program'!$H$44),'Bonding Program'!$AA$44,0)-IF(DE$3&lt;='Bonding Program'!$C$8,IF(AND('Bonding Program'!$K$44&lt;&gt;"",DE$3='Bonding Program'!$K$44),'Bonding Program'!$J$44,0)-IF(AND('Bonding Program'!$M$44&lt;&gt;"",DE$3='Bonding Program'!$M$44),'Bonding Program'!$L$44,0)-IF(AND('Bonding Program'!$P$44&lt;&gt;"",DE$3='Bonding Program'!$P$44),'Bonding Program'!$O$44,0)-IF(AND('Bonding Program'!$R$44&lt;&gt;"",DE$3='Bonding Program'!$R$44),'Bonding Program'!$Q$44,0),0)</f>
        <v>0</v>
      </c>
    </row>
    <row r="186" customFormat="false" ht="15" hidden="false" customHeight="true" outlineLevel="1" collapsed="false">
      <c r="A186" s="28" t="s">
        <v>41</v>
      </c>
      <c r="B186" s="19" t="n">
        <f aca="false">IF(AND('Bonding Program'!$S$45=1,B$3='Bonding Program'!$H$45),'Bonding Program'!$AA$45,0)-IF(B$3&lt;='Bonding Program'!$C$8,IF(AND('Bonding Program'!$K$45&lt;&gt;"",B$3='Bonding Program'!$K$45),'Bonding Program'!$J$45,0)-IF(AND('Bonding Program'!$M$45&lt;&gt;"",B$3='Bonding Program'!$M$45),'Bonding Program'!$L$45,0)-IF(AND('Bonding Program'!$P$45&lt;&gt;"",B$3='Bonding Program'!$P$45),'Bonding Program'!$O$45,0)-IF(AND('Bonding Program'!$R$45&lt;&gt;"",B$3='Bonding Program'!$R$45),'Bonding Program'!$Q$45,0),0)</f>
        <v>0</v>
      </c>
      <c r="C186" s="19" t="n">
        <f aca="false">IF(AND('Bonding Program'!$S$45=1,C$3='Bonding Program'!$H$45),'Bonding Program'!$AA$45,0)-IF(C$3&lt;='Bonding Program'!$C$8,IF(AND('Bonding Program'!$K$45&lt;&gt;"",C$3='Bonding Program'!$K$45),'Bonding Program'!$J$45,0)-IF(AND('Bonding Program'!$M$45&lt;&gt;"",C$3='Bonding Program'!$M$45),'Bonding Program'!$L$45,0)-IF(AND('Bonding Program'!$P$45&lt;&gt;"",C$3='Bonding Program'!$P$45),'Bonding Program'!$O$45,0)-IF(AND('Bonding Program'!$R$45&lt;&gt;"",C$3='Bonding Program'!$R$45),'Bonding Program'!$Q$45,0),0)</f>
        <v>0</v>
      </c>
      <c r="D186" s="19" t="n">
        <f aca="false">IF(AND('Bonding Program'!$S$45=1,D$3='Bonding Program'!$H$45),'Bonding Program'!$AA$45,0)-IF(D$3&lt;='Bonding Program'!$C$8,IF(AND('Bonding Program'!$K$45&lt;&gt;"",D$3='Bonding Program'!$K$45),'Bonding Program'!$J$45,0)-IF(AND('Bonding Program'!$M$45&lt;&gt;"",D$3='Bonding Program'!$M$45),'Bonding Program'!$L$45,0)-IF(AND('Bonding Program'!$P$45&lt;&gt;"",D$3='Bonding Program'!$P$45),'Bonding Program'!$O$45,0)-IF(AND('Bonding Program'!$R$45&lt;&gt;"",D$3='Bonding Program'!$R$45),'Bonding Program'!$Q$45,0),0)</f>
        <v>0</v>
      </c>
      <c r="E186" s="19" t="n">
        <f aca="false">IF(AND('Bonding Program'!$S$45=1,E$3='Bonding Program'!$H$45),'Bonding Program'!$AA$45,0)-IF(E$3&lt;='Bonding Program'!$C$8,IF(AND('Bonding Program'!$K$45&lt;&gt;"",E$3='Bonding Program'!$K$45),'Bonding Program'!$J$45,0)-IF(AND('Bonding Program'!$M$45&lt;&gt;"",E$3='Bonding Program'!$M$45),'Bonding Program'!$L$45,0)-IF(AND('Bonding Program'!$P$45&lt;&gt;"",E$3='Bonding Program'!$P$45),'Bonding Program'!$O$45,0)-IF(AND('Bonding Program'!$R$45&lt;&gt;"",E$3='Bonding Program'!$R$45),'Bonding Program'!$Q$45,0),0)</f>
        <v>0</v>
      </c>
      <c r="F186" s="19" t="n">
        <f aca="false">IF(AND('Bonding Program'!$S$45=1,F$3='Bonding Program'!$H$45),'Bonding Program'!$AA$45,0)-IF(F$3&lt;='Bonding Program'!$C$8,IF(AND('Bonding Program'!$K$45&lt;&gt;"",F$3='Bonding Program'!$K$45),'Bonding Program'!$J$45,0)-IF(AND('Bonding Program'!$M$45&lt;&gt;"",F$3='Bonding Program'!$M$45),'Bonding Program'!$L$45,0)-IF(AND('Bonding Program'!$P$45&lt;&gt;"",F$3='Bonding Program'!$P$45),'Bonding Program'!$O$45,0)-IF(AND('Bonding Program'!$R$45&lt;&gt;"",F$3='Bonding Program'!$R$45),'Bonding Program'!$Q$45,0),0)</f>
        <v>0</v>
      </c>
      <c r="G186" s="19" t="n">
        <f aca="false">IF(AND('Bonding Program'!$S$45=1,G$3='Bonding Program'!$H$45),'Bonding Program'!$AA$45,0)-IF(G$3&lt;='Bonding Program'!$C$8,IF(AND('Bonding Program'!$K$45&lt;&gt;"",G$3='Bonding Program'!$K$45),'Bonding Program'!$J$45,0)-IF(AND('Bonding Program'!$M$45&lt;&gt;"",G$3='Bonding Program'!$M$45),'Bonding Program'!$L$45,0)-IF(AND('Bonding Program'!$P$45&lt;&gt;"",G$3='Bonding Program'!$P$45),'Bonding Program'!$O$45,0)-IF(AND('Bonding Program'!$R$45&lt;&gt;"",G$3='Bonding Program'!$R$45),'Bonding Program'!$Q$45,0),0)</f>
        <v>0</v>
      </c>
      <c r="H186" s="19" t="n">
        <f aca="false">IF(AND('Bonding Program'!$S$45=1,H$3='Bonding Program'!$H$45),'Bonding Program'!$AA$45,0)-IF(H$3&lt;='Bonding Program'!$C$8,IF(AND('Bonding Program'!$K$45&lt;&gt;"",H$3='Bonding Program'!$K$45),'Bonding Program'!$J$45,0)-IF(AND('Bonding Program'!$M$45&lt;&gt;"",H$3='Bonding Program'!$M$45),'Bonding Program'!$L$45,0)-IF(AND('Bonding Program'!$P$45&lt;&gt;"",H$3='Bonding Program'!$P$45),'Bonding Program'!$O$45,0)-IF(AND('Bonding Program'!$R$45&lt;&gt;"",H$3='Bonding Program'!$R$45),'Bonding Program'!$Q$45,0),0)</f>
        <v>0</v>
      </c>
      <c r="I186" s="19" t="n">
        <f aca="false">IF(AND('Bonding Program'!$S$45=1,I$3='Bonding Program'!$H$45),'Bonding Program'!$AA$45,0)-IF(I$3&lt;='Bonding Program'!$C$8,IF(AND('Bonding Program'!$K$45&lt;&gt;"",I$3='Bonding Program'!$K$45),'Bonding Program'!$J$45,0)-IF(AND('Bonding Program'!$M$45&lt;&gt;"",I$3='Bonding Program'!$M$45),'Bonding Program'!$L$45,0)-IF(AND('Bonding Program'!$P$45&lt;&gt;"",I$3='Bonding Program'!$P$45),'Bonding Program'!$O$45,0)-IF(AND('Bonding Program'!$R$45&lt;&gt;"",I$3='Bonding Program'!$R$45),'Bonding Program'!$Q$45,0),0)</f>
        <v>0</v>
      </c>
      <c r="J186" s="19" t="n">
        <f aca="false">IF(AND('Bonding Program'!$S$45=1,J$3='Bonding Program'!$H$45),'Bonding Program'!$AA$45,0)-IF(J$3&lt;='Bonding Program'!$C$8,IF(AND('Bonding Program'!$K$45&lt;&gt;"",J$3='Bonding Program'!$K$45),'Bonding Program'!$J$45,0)-IF(AND('Bonding Program'!$M$45&lt;&gt;"",J$3='Bonding Program'!$M$45),'Bonding Program'!$L$45,0)-IF(AND('Bonding Program'!$P$45&lt;&gt;"",J$3='Bonding Program'!$P$45),'Bonding Program'!$O$45,0)-IF(AND('Bonding Program'!$R$45&lt;&gt;"",J$3='Bonding Program'!$R$45),'Bonding Program'!$Q$45,0),0)</f>
        <v>0</v>
      </c>
      <c r="K186" s="19" t="n">
        <f aca="false">IF(AND('Bonding Program'!$S$45=1,K$3='Bonding Program'!$H$45),'Bonding Program'!$AA$45,0)-IF(K$3&lt;='Bonding Program'!$C$8,IF(AND('Bonding Program'!$K$45&lt;&gt;"",K$3='Bonding Program'!$K$45),'Bonding Program'!$J$45,0)-IF(AND('Bonding Program'!$M$45&lt;&gt;"",K$3='Bonding Program'!$M$45),'Bonding Program'!$L$45,0)-IF(AND('Bonding Program'!$P$45&lt;&gt;"",K$3='Bonding Program'!$P$45),'Bonding Program'!$O$45,0)-IF(AND('Bonding Program'!$R$45&lt;&gt;"",K$3='Bonding Program'!$R$45),'Bonding Program'!$Q$45,0),0)</f>
        <v>0</v>
      </c>
      <c r="L186" s="19" t="n">
        <f aca="false">IF(AND('Bonding Program'!$S$45=1,L$3='Bonding Program'!$H$45),'Bonding Program'!$AA$45,0)-IF(L$3&lt;='Bonding Program'!$C$8,IF(AND('Bonding Program'!$K$45&lt;&gt;"",L$3='Bonding Program'!$K$45),'Bonding Program'!$J$45,0)-IF(AND('Bonding Program'!$M$45&lt;&gt;"",L$3='Bonding Program'!$M$45),'Bonding Program'!$L$45,0)-IF(AND('Bonding Program'!$P$45&lt;&gt;"",L$3='Bonding Program'!$P$45),'Bonding Program'!$O$45,0)-IF(AND('Bonding Program'!$R$45&lt;&gt;"",L$3='Bonding Program'!$R$45),'Bonding Program'!$Q$45,0),0)</f>
        <v>0</v>
      </c>
      <c r="M186" s="19" t="n">
        <f aca="false">IF(AND('Bonding Program'!$S$45=1,M$3='Bonding Program'!$H$45),'Bonding Program'!$AA$45,0)-IF(M$3&lt;='Bonding Program'!$C$8,IF(AND('Bonding Program'!$K$45&lt;&gt;"",M$3='Bonding Program'!$K$45),'Bonding Program'!$J$45,0)-IF(AND('Bonding Program'!$M$45&lt;&gt;"",M$3='Bonding Program'!$M$45),'Bonding Program'!$L$45,0)-IF(AND('Bonding Program'!$P$45&lt;&gt;"",M$3='Bonding Program'!$P$45),'Bonding Program'!$O$45,0)-IF(AND('Bonding Program'!$R$45&lt;&gt;"",M$3='Bonding Program'!$R$45),'Bonding Program'!$Q$45,0),0)</f>
        <v>0</v>
      </c>
      <c r="N186" s="19" t="n">
        <f aca="false">IF(AND('Bonding Program'!$S$45=1,N$3='Bonding Program'!$H$45),'Bonding Program'!$AA$45,0)-IF(N$3&lt;='Bonding Program'!$C$8,IF(AND('Bonding Program'!$K$45&lt;&gt;"",N$3='Bonding Program'!$K$45),'Bonding Program'!$J$45,0)-IF(AND('Bonding Program'!$M$45&lt;&gt;"",N$3='Bonding Program'!$M$45),'Bonding Program'!$L$45,0)-IF(AND('Bonding Program'!$P$45&lt;&gt;"",N$3='Bonding Program'!$P$45),'Bonding Program'!$O$45,0)-IF(AND('Bonding Program'!$R$45&lt;&gt;"",N$3='Bonding Program'!$R$45),'Bonding Program'!$Q$45,0),0)</f>
        <v>0</v>
      </c>
      <c r="O186" s="19" t="n">
        <f aca="false">IF(AND('Bonding Program'!$S$45=1,O$3='Bonding Program'!$H$45),'Bonding Program'!$AA$45,0)-IF(O$3&lt;='Bonding Program'!$C$8,IF(AND('Bonding Program'!$K$45&lt;&gt;"",O$3='Bonding Program'!$K$45),'Bonding Program'!$J$45,0)-IF(AND('Bonding Program'!$M$45&lt;&gt;"",O$3='Bonding Program'!$M$45),'Bonding Program'!$L$45,0)-IF(AND('Bonding Program'!$P$45&lt;&gt;"",O$3='Bonding Program'!$P$45),'Bonding Program'!$O$45,0)-IF(AND('Bonding Program'!$R$45&lt;&gt;"",O$3='Bonding Program'!$R$45),'Bonding Program'!$Q$45,0),0)</f>
        <v>0</v>
      </c>
      <c r="P186" s="19" t="n">
        <f aca="false">IF(AND('Bonding Program'!$S$45=1,P$3='Bonding Program'!$H$45),'Bonding Program'!$AA$45,0)-IF(P$3&lt;='Bonding Program'!$C$8,IF(AND('Bonding Program'!$K$45&lt;&gt;"",P$3='Bonding Program'!$K$45),'Bonding Program'!$J$45,0)-IF(AND('Bonding Program'!$M$45&lt;&gt;"",P$3='Bonding Program'!$M$45),'Bonding Program'!$L$45,0)-IF(AND('Bonding Program'!$P$45&lt;&gt;"",P$3='Bonding Program'!$P$45),'Bonding Program'!$O$45,0)-IF(AND('Bonding Program'!$R$45&lt;&gt;"",P$3='Bonding Program'!$R$45),'Bonding Program'!$Q$45,0),0)</f>
        <v>0</v>
      </c>
      <c r="Q186" s="19" t="n">
        <f aca="false">IF(AND('Bonding Program'!$S$45=1,Q$3='Bonding Program'!$H$45),'Bonding Program'!$AA$45,0)-IF(Q$3&lt;='Bonding Program'!$C$8,IF(AND('Bonding Program'!$K$45&lt;&gt;"",Q$3='Bonding Program'!$K$45),'Bonding Program'!$J$45,0)-IF(AND('Bonding Program'!$M$45&lt;&gt;"",Q$3='Bonding Program'!$M$45),'Bonding Program'!$L$45,0)-IF(AND('Bonding Program'!$P$45&lt;&gt;"",Q$3='Bonding Program'!$P$45),'Bonding Program'!$O$45,0)-IF(AND('Bonding Program'!$R$45&lt;&gt;"",Q$3='Bonding Program'!$R$45),'Bonding Program'!$Q$45,0),0)</f>
        <v>0</v>
      </c>
      <c r="R186" s="19" t="n">
        <f aca="false">IF(AND('Bonding Program'!$S$45=1,R$3='Bonding Program'!$H$45),'Bonding Program'!$AA$45,0)-IF(R$3&lt;='Bonding Program'!$C$8,IF(AND('Bonding Program'!$K$45&lt;&gt;"",R$3='Bonding Program'!$K$45),'Bonding Program'!$J$45,0)-IF(AND('Bonding Program'!$M$45&lt;&gt;"",R$3='Bonding Program'!$M$45),'Bonding Program'!$L$45,0)-IF(AND('Bonding Program'!$P$45&lt;&gt;"",R$3='Bonding Program'!$P$45),'Bonding Program'!$O$45,0)-IF(AND('Bonding Program'!$R$45&lt;&gt;"",R$3='Bonding Program'!$R$45),'Bonding Program'!$Q$45,0),0)</f>
        <v>0</v>
      </c>
      <c r="S186" s="19" t="n">
        <f aca="false">IF(AND('Bonding Program'!$S$45=1,S$3='Bonding Program'!$H$45),'Bonding Program'!$AA$45,0)-IF(S$3&lt;='Bonding Program'!$C$8,IF(AND('Bonding Program'!$K$45&lt;&gt;"",S$3='Bonding Program'!$K$45),'Bonding Program'!$J$45,0)-IF(AND('Bonding Program'!$M$45&lt;&gt;"",S$3='Bonding Program'!$M$45),'Bonding Program'!$L$45,0)-IF(AND('Bonding Program'!$P$45&lt;&gt;"",S$3='Bonding Program'!$P$45),'Bonding Program'!$O$45,0)-IF(AND('Bonding Program'!$R$45&lt;&gt;"",S$3='Bonding Program'!$R$45),'Bonding Program'!$Q$45,0),0)</f>
        <v>0</v>
      </c>
      <c r="T186" s="19" t="n">
        <f aca="false">IF(AND('Bonding Program'!$S$45=1,T$3='Bonding Program'!$H$45),'Bonding Program'!$AA$45,0)-IF(T$3&lt;='Bonding Program'!$C$8,IF(AND('Bonding Program'!$K$45&lt;&gt;"",T$3='Bonding Program'!$K$45),'Bonding Program'!$J$45,0)-IF(AND('Bonding Program'!$M$45&lt;&gt;"",T$3='Bonding Program'!$M$45),'Bonding Program'!$L$45,0)-IF(AND('Bonding Program'!$P$45&lt;&gt;"",T$3='Bonding Program'!$P$45),'Bonding Program'!$O$45,0)-IF(AND('Bonding Program'!$R$45&lt;&gt;"",T$3='Bonding Program'!$R$45),'Bonding Program'!$Q$45,0),0)</f>
        <v>0</v>
      </c>
      <c r="U186" s="19" t="n">
        <f aca="false">IF(AND('Bonding Program'!$S$45=1,U$3='Bonding Program'!$H$45),'Bonding Program'!$AA$45,0)-IF(U$3&lt;='Bonding Program'!$C$8,IF(AND('Bonding Program'!$K$45&lt;&gt;"",U$3='Bonding Program'!$K$45),'Bonding Program'!$J$45,0)-IF(AND('Bonding Program'!$M$45&lt;&gt;"",U$3='Bonding Program'!$M$45),'Bonding Program'!$L$45,0)-IF(AND('Bonding Program'!$P$45&lt;&gt;"",U$3='Bonding Program'!$P$45),'Bonding Program'!$O$45,0)-IF(AND('Bonding Program'!$R$45&lt;&gt;"",U$3='Bonding Program'!$R$45),'Bonding Program'!$Q$45,0),0)</f>
        <v>0</v>
      </c>
      <c r="V186" s="19" t="n">
        <f aca="false">IF(AND('Bonding Program'!$S$45=1,V$3='Bonding Program'!$H$45),'Bonding Program'!$AA$45,0)-IF(V$3&lt;='Bonding Program'!$C$8,IF(AND('Bonding Program'!$K$45&lt;&gt;"",V$3='Bonding Program'!$K$45),'Bonding Program'!$J$45,0)-IF(AND('Bonding Program'!$M$45&lt;&gt;"",V$3='Bonding Program'!$M$45),'Bonding Program'!$L$45,0)-IF(AND('Bonding Program'!$P$45&lt;&gt;"",V$3='Bonding Program'!$P$45),'Bonding Program'!$O$45,0)-IF(AND('Bonding Program'!$R$45&lt;&gt;"",V$3='Bonding Program'!$R$45),'Bonding Program'!$Q$45,0),0)</f>
        <v>0</v>
      </c>
      <c r="W186" s="19" t="n">
        <f aca="false">IF(AND('Bonding Program'!$S$45=1,W$3='Bonding Program'!$H$45),'Bonding Program'!$AA$45,0)-IF(W$3&lt;='Bonding Program'!$C$8,IF(AND('Bonding Program'!$K$45&lt;&gt;"",W$3='Bonding Program'!$K$45),'Bonding Program'!$J$45,0)-IF(AND('Bonding Program'!$M$45&lt;&gt;"",W$3='Bonding Program'!$M$45),'Bonding Program'!$L$45,0)-IF(AND('Bonding Program'!$P$45&lt;&gt;"",W$3='Bonding Program'!$P$45),'Bonding Program'!$O$45,0)-IF(AND('Bonding Program'!$R$45&lt;&gt;"",W$3='Bonding Program'!$R$45),'Bonding Program'!$Q$45,0),0)</f>
        <v>0</v>
      </c>
      <c r="X186" s="19" t="n">
        <f aca="false">IF(AND('Bonding Program'!$S$45=1,X$3='Bonding Program'!$H$45),'Bonding Program'!$AA$45,0)-IF(X$3&lt;='Bonding Program'!$C$8,IF(AND('Bonding Program'!$K$45&lt;&gt;"",X$3='Bonding Program'!$K$45),'Bonding Program'!$J$45,0)-IF(AND('Bonding Program'!$M$45&lt;&gt;"",X$3='Bonding Program'!$M$45),'Bonding Program'!$L$45,0)-IF(AND('Bonding Program'!$P$45&lt;&gt;"",X$3='Bonding Program'!$P$45),'Bonding Program'!$O$45,0)-IF(AND('Bonding Program'!$R$45&lt;&gt;"",X$3='Bonding Program'!$R$45),'Bonding Program'!$Q$45,0),0)</f>
        <v>0</v>
      </c>
      <c r="Y186" s="19" t="n">
        <f aca="false">IF(AND('Bonding Program'!$S$45=1,Y$3='Bonding Program'!$H$45),'Bonding Program'!$AA$45,0)-IF(Y$3&lt;='Bonding Program'!$C$8,IF(AND('Bonding Program'!$K$45&lt;&gt;"",Y$3='Bonding Program'!$K$45),'Bonding Program'!$J$45,0)-IF(AND('Bonding Program'!$M$45&lt;&gt;"",Y$3='Bonding Program'!$M$45),'Bonding Program'!$L$45,0)-IF(AND('Bonding Program'!$P$45&lt;&gt;"",Y$3='Bonding Program'!$P$45),'Bonding Program'!$O$45,0)-IF(AND('Bonding Program'!$R$45&lt;&gt;"",Y$3='Bonding Program'!$R$45),'Bonding Program'!$Q$45,0),0)</f>
        <v>0</v>
      </c>
      <c r="Z186" s="19" t="n">
        <f aca="false">IF(AND('Bonding Program'!$S$45=1,Z$3='Bonding Program'!$H$45),'Bonding Program'!$AA$45,0)-IF(Z$3&lt;='Bonding Program'!$C$8,IF(AND('Bonding Program'!$K$45&lt;&gt;"",Z$3='Bonding Program'!$K$45),'Bonding Program'!$J$45,0)-IF(AND('Bonding Program'!$M$45&lt;&gt;"",Z$3='Bonding Program'!$M$45),'Bonding Program'!$L$45,0)-IF(AND('Bonding Program'!$P$45&lt;&gt;"",Z$3='Bonding Program'!$P$45),'Bonding Program'!$O$45,0)-IF(AND('Bonding Program'!$R$45&lt;&gt;"",Z$3='Bonding Program'!$R$45),'Bonding Program'!$Q$45,0),0)</f>
        <v>0</v>
      </c>
      <c r="AA186" s="19" t="n">
        <f aca="false">IF(AND('Bonding Program'!$S$45=1,AA$3='Bonding Program'!$H$45),'Bonding Program'!$AA$45,0)-IF(AA$3&lt;='Bonding Program'!$C$8,IF(AND('Bonding Program'!$K$45&lt;&gt;"",AA$3='Bonding Program'!$K$45),'Bonding Program'!$J$45,0)-IF(AND('Bonding Program'!$M$45&lt;&gt;"",AA$3='Bonding Program'!$M$45),'Bonding Program'!$L$45,0)-IF(AND('Bonding Program'!$P$45&lt;&gt;"",AA$3='Bonding Program'!$P$45),'Bonding Program'!$O$45,0)-IF(AND('Bonding Program'!$R$45&lt;&gt;"",AA$3='Bonding Program'!$R$45),'Bonding Program'!$Q$45,0),0)</f>
        <v>0</v>
      </c>
      <c r="AB186" s="19" t="n">
        <f aca="false">IF(AND('Bonding Program'!$S$45=1,AB$3='Bonding Program'!$H$45),'Bonding Program'!$AA$45,0)-IF(AB$3&lt;='Bonding Program'!$C$8,IF(AND('Bonding Program'!$K$45&lt;&gt;"",AB$3='Bonding Program'!$K$45),'Bonding Program'!$J$45,0)-IF(AND('Bonding Program'!$M$45&lt;&gt;"",AB$3='Bonding Program'!$M$45),'Bonding Program'!$L$45,0)-IF(AND('Bonding Program'!$P$45&lt;&gt;"",AB$3='Bonding Program'!$P$45),'Bonding Program'!$O$45,0)-IF(AND('Bonding Program'!$R$45&lt;&gt;"",AB$3='Bonding Program'!$R$45),'Bonding Program'!$Q$45,0),0)</f>
        <v>0</v>
      </c>
      <c r="AC186" s="19" t="n">
        <f aca="false">IF(AND('Bonding Program'!$S$45=1,AC$3='Bonding Program'!$H$45),'Bonding Program'!$AA$45,0)-IF(AC$3&lt;='Bonding Program'!$C$8,IF(AND('Bonding Program'!$K$45&lt;&gt;"",AC$3='Bonding Program'!$K$45),'Bonding Program'!$J$45,0)-IF(AND('Bonding Program'!$M$45&lt;&gt;"",AC$3='Bonding Program'!$M$45),'Bonding Program'!$L$45,0)-IF(AND('Bonding Program'!$P$45&lt;&gt;"",AC$3='Bonding Program'!$P$45),'Bonding Program'!$O$45,0)-IF(AND('Bonding Program'!$R$45&lt;&gt;"",AC$3='Bonding Program'!$R$45),'Bonding Program'!$Q$45,0),0)</f>
        <v>0</v>
      </c>
      <c r="AD186" s="19" t="n">
        <f aca="false">IF(AND('Bonding Program'!$S$45=1,AD$3='Bonding Program'!$H$45),'Bonding Program'!$AA$45,0)-IF(AD$3&lt;='Bonding Program'!$C$8,IF(AND('Bonding Program'!$K$45&lt;&gt;"",AD$3='Bonding Program'!$K$45),'Bonding Program'!$J$45,0)-IF(AND('Bonding Program'!$M$45&lt;&gt;"",AD$3='Bonding Program'!$M$45),'Bonding Program'!$L$45,0)-IF(AND('Bonding Program'!$P$45&lt;&gt;"",AD$3='Bonding Program'!$P$45),'Bonding Program'!$O$45,0)-IF(AND('Bonding Program'!$R$45&lt;&gt;"",AD$3='Bonding Program'!$R$45),'Bonding Program'!$Q$45,0),0)</f>
        <v>0</v>
      </c>
      <c r="AE186" s="19" t="n">
        <f aca="false">IF(AND('Bonding Program'!$S$45=1,AE$3='Bonding Program'!$H$45),'Bonding Program'!$AA$45,0)-IF(AE$3&lt;='Bonding Program'!$C$8,IF(AND('Bonding Program'!$K$45&lt;&gt;"",AE$3='Bonding Program'!$K$45),'Bonding Program'!$J$45,0)-IF(AND('Bonding Program'!$M$45&lt;&gt;"",AE$3='Bonding Program'!$M$45),'Bonding Program'!$L$45,0)-IF(AND('Bonding Program'!$P$45&lt;&gt;"",AE$3='Bonding Program'!$P$45),'Bonding Program'!$O$45,0)-IF(AND('Bonding Program'!$R$45&lt;&gt;"",AE$3='Bonding Program'!$R$45),'Bonding Program'!$Q$45,0),0)</f>
        <v>0</v>
      </c>
      <c r="AF186" s="19" t="n">
        <f aca="false">IF(AND('Bonding Program'!$S$45=1,AF$3='Bonding Program'!$H$45),'Bonding Program'!$AA$45,0)-IF(AF$3&lt;='Bonding Program'!$C$8,IF(AND('Bonding Program'!$K$45&lt;&gt;"",AF$3='Bonding Program'!$K$45),'Bonding Program'!$J$45,0)-IF(AND('Bonding Program'!$M$45&lt;&gt;"",AF$3='Bonding Program'!$M$45),'Bonding Program'!$L$45,0)-IF(AND('Bonding Program'!$P$45&lt;&gt;"",AF$3='Bonding Program'!$P$45),'Bonding Program'!$O$45,0)-IF(AND('Bonding Program'!$R$45&lt;&gt;"",AF$3='Bonding Program'!$R$45),'Bonding Program'!$Q$45,0),0)</f>
        <v>0</v>
      </c>
      <c r="AG186" s="19" t="n">
        <f aca="false">IF(AND('Bonding Program'!$S$45=1,AG$3='Bonding Program'!$H$45),'Bonding Program'!$AA$45,0)-IF(AG$3&lt;='Bonding Program'!$C$8,IF(AND('Bonding Program'!$K$45&lt;&gt;"",AG$3='Bonding Program'!$K$45),'Bonding Program'!$J$45,0)-IF(AND('Bonding Program'!$M$45&lt;&gt;"",AG$3='Bonding Program'!$M$45),'Bonding Program'!$L$45,0)-IF(AND('Bonding Program'!$P$45&lt;&gt;"",AG$3='Bonding Program'!$P$45),'Bonding Program'!$O$45,0)-IF(AND('Bonding Program'!$R$45&lt;&gt;"",AG$3='Bonding Program'!$R$45),'Bonding Program'!$Q$45,0),0)</f>
        <v>0</v>
      </c>
      <c r="AH186" s="19" t="n">
        <f aca="false">IF(AND('Bonding Program'!$S$45=1,AH$3='Bonding Program'!$H$45),'Bonding Program'!$AA$45,0)-IF(AH$3&lt;='Bonding Program'!$C$8,IF(AND('Bonding Program'!$K$45&lt;&gt;"",AH$3='Bonding Program'!$K$45),'Bonding Program'!$J$45,0)-IF(AND('Bonding Program'!$M$45&lt;&gt;"",AH$3='Bonding Program'!$M$45),'Bonding Program'!$L$45,0)-IF(AND('Bonding Program'!$P$45&lt;&gt;"",AH$3='Bonding Program'!$P$45),'Bonding Program'!$O$45,0)-IF(AND('Bonding Program'!$R$45&lt;&gt;"",AH$3='Bonding Program'!$R$45),'Bonding Program'!$Q$45,0),0)</f>
        <v>0</v>
      </c>
      <c r="AI186" s="19" t="n">
        <f aca="false">IF(AND('Bonding Program'!$S$45=1,AI$3='Bonding Program'!$H$45),'Bonding Program'!$AA$45,0)-IF(AI$3&lt;='Bonding Program'!$C$8,IF(AND('Bonding Program'!$K$45&lt;&gt;"",AI$3='Bonding Program'!$K$45),'Bonding Program'!$J$45,0)-IF(AND('Bonding Program'!$M$45&lt;&gt;"",AI$3='Bonding Program'!$M$45),'Bonding Program'!$L$45,0)-IF(AND('Bonding Program'!$P$45&lt;&gt;"",AI$3='Bonding Program'!$P$45),'Bonding Program'!$O$45,0)-IF(AND('Bonding Program'!$R$45&lt;&gt;"",AI$3='Bonding Program'!$R$45),'Bonding Program'!$Q$45,0),0)</f>
        <v>0</v>
      </c>
      <c r="AJ186" s="19" t="n">
        <f aca="false">IF(AND('Bonding Program'!$S$45=1,AJ$3='Bonding Program'!$H$45),'Bonding Program'!$AA$45,0)-IF(AJ$3&lt;='Bonding Program'!$C$8,IF(AND('Bonding Program'!$K$45&lt;&gt;"",AJ$3='Bonding Program'!$K$45),'Bonding Program'!$J$45,0)-IF(AND('Bonding Program'!$M$45&lt;&gt;"",AJ$3='Bonding Program'!$M$45),'Bonding Program'!$L$45,0)-IF(AND('Bonding Program'!$P$45&lt;&gt;"",AJ$3='Bonding Program'!$P$45),'Bonding Program'!$O$45,0)-IF(AND('Bonding Program'!$R$45&lt;&gt;"",AJ$3='Bonding Program'!$R$45),'Bonding Program'!$Q$45,0),0)</f>
        <v>0</v>
      </c>
      <c r="AK186" s="19" t="n">
        <f aca="false">IF(AND('Bonding Program'!$S$45=1,AK$3='Bonding Program'!$H$45),'Bonding Program'!$AA$45,0)-IF(AK$3&lt;='Bonding Program'!$C$8,IF(AND('Bonding Program'!$K$45&lt;&gt;"",AK$3='Bonding Program'!$K$45),'Bonding Program'!$J$45,0)-IF(AND('Bonding Program'!$M$45&lt;&gt;"",AK$3='Bonding Program'!$M$45),'Bonding Program'!$L$45,0)-IF(AND('Bonding Program'!$P$45&lt;&gt;"",AK$3='Bonding Program'!$P$45),'Bonding Program'!$O$45,0)-IF(AND('Bonding Program'!$R$45&lt;&gt;"",AK$3='Bonding Program'!$R$45),'Bonding Program'!$Q$45,0),0)</f>
        <v>0</v>
      </c>
      <c r="AL186" s="19" t="n">
        <f aca="false">IF(AND('Bonding Program'!$S$45=1,AL$3='Bonding Program'!$H$45),'Bonding Program'!$AA$45,0)-IF(AL$3&lt;='Bonding Program'!$C$8,IF(AND('Bonding Program'!$K$45&lt;&gt;"",AL$3='Bonding Program'!$K$45),'Bonding Program'!$J$45,0)-IF(AND('Bonding Program'!$M$45&lt;&gt;"",AL$3='Bonding Program'!$M$45),'Bonding Program'!$L$45,0)-IF(AND('Bonding Program'!$P$45&lt;&gt;"",AL$3='Bonding Program'!$P$45),'Bonding Program'!$O$45,0)-IF(AND('Bonding Program'!$R$45&lt;&gt;"",AL$3='Bonding Program'!$R$45),'Bonding Program'!$Q$45,0),0)</f>
        <v>0</v>
      </c>
      <c r="AM186" s="19" t="n">
        <f aca="false">IF(AND('Bonding Program'!$S$45=1,AM$3='Bonding Program'!$H$45),'Bonding Program'!$AA$45,0)-IF(AM$3&lt;='Bonding Program'!$C$8,IF(AND('Bonding Program'!$K$45&lt;&gt;"",AM$3='Bonding Program'!$K$45),'Bonding Program'!$J$45,0)-IF(AND('Bonding Program'!$M$45&lt;&gt;"",AM$3='Bonding Program'!$M$45),'Bonding Program'!$L$45,0)-IF(AND('Bonding Program'!$P$45&lt;&gt;"",AM$3='Bonding Program'!$P$45),'Bonding Program'!$O$45,0)-IF(AND('Bonding Program'!$R$45&lt;&gt;"",AM$3='Bonding Program'!$R$45),'Bonding Program'!$Q$45,0),0)</f>
        <v>0</v>
      </c>
      <c r="AN186" s="19" t="n">
        <f aca="false">IF(AND('Bonding Program'!$S$45=1,AN$3='Bonding Program'!$H$45),'Bonding Program'!$AA$45,0)-IF(AN$3&lt;='Bonding Program'!$C$8,IF(AND('Bonding Program'!$K$45&lt;&gt;"",AN$3='Bonding Program'!$K$45),'Bonding Program'!$J$45,0)-IF(AND('Bonding Program'!$M$45&lt;&gt;"",AN$3='Bonding Program'!$M$45),'Bonding Program'!$L$45,0)-IF(AND('Bonding Program'!$P$45&lt;&gt;"",AN$3='Bonding Program'!$P$45),'Bonding Program'!$O$45,0)-IF(AND('Bonding Program'!$R$45&lt;&gt;"",AN$3='Bonding Program'!$R$45),'Bonding Program'!$Q$45,0),0)</f>
        <v>0</v>
      </c>
      <c r="AO186" s="19" t="n">
        <f aca="false">IF(AND('Bonding Program'!$S$45=1,AO$3='Bonding Program'!$H$45),'Bonding Program'!$AA$45,0)-IF(AO$3&lt;='Bonding Program'!$C$8,IF(AND('Bonding Program'!$K$45&lt;&gt;"",AO$3='Bonding Program'!$K$45),'Bonding Program'!$J$45,0)-IF(AND('Bonding Program'!$M$45&lt;&gt;"",AO$3='Bonding Program'!$M$45),'Bonding Program'!$L$45,0)-IF(AND('Bonding Program'!$P$45&lt;&gt;"",AO$3='Bonding Program'!$P$45),'Bonding Program'!$O$45,0)-IF(AND('Bonding Program'!$R$45&lt;&gt;"",AO$3='Bonding Program'!$R$45),'Bonding Program'!$Q$45,0),0)</f>
        <v>0</v>
      </c>
      <c r="AP186" s="19" t="n">
        <f aca="false">IF(AND('Bonding Program'!$S$45=1,AP$3='Bonding Program'!$H$45),'Bonding Program'!$AA$45,0)-IF(AP$3&lt;='Bonding Program'!$C$8,IF(AND('Bonding Program'!$K$45&lt;&gt;"",AP$3='Bonding Program'!$K$45),'Bonding Program'!$J$45,0)-IF(AND('Bonding Program'!$M$45&lt;&gt;"",AP$3='Bonding Program'!$M$45),'Bonding Program'!$L$45,0)-IF(AND('Bonding Program'!$P$45&lt;&gt;"",AP$3='Bonding Program'!$P$45),'Bonding Program'!$O$45,0)-IF(AND('Bonding Program'!$R$45&lt;&gt;"",AP$3='Bonding Program'!$R$45),'Bonding Program'!$Q$45,0),0)</f>
        <v>0</v>
      </c>
      <c r="AQ186" s="19" t="n">
        <f aca="false">IF(AND('Bonding Program'!$S$45=1,AQ$3='Bonding Program'!$H$45),'Bonding Program'!$AA$45,0)-IF(AQ$3&lt;='Bonding Program'!$C$8,IF(AND('Bonding Program'!$K$45&lt;&gt;"",AQ$3='Bonding Program'!$K$45),'Bonding Program'!$J$45,0)-IF(AND('Bonding Program'!$M$45&lt;&gt;"",AQ$3='Bonding Program'!$M$45),'Bonding Program'!$L$45,0)-IF(AND('Bonding Program'!$P$45&lt;&gt;"",AQ$3='Bonding Program'!$P$45),'Bonding Program'!$O$45,0)-IF(AND('Bonding Program'!$R$45&lt;&gt;"",AQ$3='Bonding Program'!$R$45),'Bonding Program'!$Q$45,0),0)</f>
        <v>0</v>
      </c>
      <c r="AR186" s="19" t="n">
        <f aca="false">IF(AND('Bonding Program'!$S$45=1,AR$3='Bonding Program'!$H$45),'Bonding Program'!$AA$45,0)-IF(AR$3&lt;='Bonding Program'!$C$8,IF(AND('Bonding Program'!$K$45&lt;&gt;"",AR$3='Bonding Program'!$K$45),'Bonding Program'!$J$45,0)-IF(AND('Bonding Program'!$M$45&lt;&gt;"",AR$3='Bonding Program'!$M$45),'Bonding Program'!$L$45,0)-IF(AND('Bonding Program'!$P$45&lt;&gt;"",AR$3='Bonding Program'!$P$45),'Bonding Program'!$O$45,0)-IF(AND('Bonding Program'!$R$45&lt;&gt;"",AR$3='Bonding Program'!$R$45),'Bonding Program'!$Q$45,0),0)</f>
        <v>0</v>
      </c>
      <c r="AS186" s="19" t="n">
        <f aca="false">IF(AND('Bonding Program'!$S$45=1,AS$3='Bonding Program'!$H$45),'Bonding Program'!$AA$45,0)-IF(AS$3&lt;='Bonding Program'!$C$8,IF(AND('Bonding Program'!$K$45&lt;&gt;"",AS$3='Bonding Program'!$K$45),'Bonding Program'!$J$45,0)-IF(AND('Bonding Program'!$M$45&lt;&gt;"",AS$3='Bonding Program'!$M$45),'Bonding Program'!$L$45,0)-IF(AND('Bonding Program'!$P$45&lt;&gt;"",AS$3='Bonding Program'!$P$45),'Bonding Program'!$O$45,0)-IF(AND('Bonding Program'!$R$45&lt;&gt;"",AS$3='Bonding Program'!$R$45),'Bonding Program'!$Q$45,0),0)</f>
        <v>0</v>
      </c>
      <c r="AT186" s="19" t="n">
        <f aca="false">IF(AND('Bonding Program'!$S$45=1,AT$3='Bonding Program'!$H$45),'Bonding Program'!$AA$45,0)-IF(AT$3&lt;='Bonding Program'!$C$8,IF(AND('Bonding Program'!$K$45&lt;&gt;"",AT$3='Bonding Program'!$K$45),'Bonding Program'!$J$45,0)-IF(AND('Bonding Program'!$M$45&lt;&gt;"",AT$3='Bonding Program'!$M$45),'Bonding Program'!$L$45,0)-IF(AND('Bonding Program'!$P$45&lt;&gt;"",AT$3='Bonding Program'!$P$45),'Bonding Program'!$O$45,0)-IF(AND('Bonding Program'!$R$45&lt;&gt;"",AT$3='Bonding Program'!$R$45),'Bonding Program'!$Q$45,0),0)</f>
        <v>0</v>
      </c>
      <c r="AU186" s="19" t="n">
        <f aca="false">IF(AND('Bonding Program'!$S$45=1,AU$3='Bonding Program'!$H$45),'Bonding Program'!$AA$45,0)-IF(AU$3&lt;='Bonding Program'!$C$8,IF(AND('Bonding Program'!$K$45&lt;&gt;"",AU$3='Bonding Program'!$K$45),'Bonding Program'!$J$45,0)-IF(AND('Bonding Program'!$M$45&lt;&gt;"",AU$3='Bonding Program'!$M$45),'Bonding Program'!$L$45,0)-IF(AND('Bonding Program'!$P$45&lt;&gt;"",AU$3='Bonding Program'!$P$45),'Bonding Program'!$O$45,0)-IF(AND('Bonding Program'!$R$45&lt;&gt;"",AU$3='Bonding Program'!$R$45),'Bonding Program'!$Q$45,0),0)</f>
        <v>0</v>
      </c>
      <c r="AV186" s="19" t="n">
        <f aca="false">IF(AND('Bonding Program'!$S$45=1,AV$3='Bonding Program'!$H$45),'Bonding Program'!$AA$45,0)-IF(AV$3&lt;='Bonding Program'!$C$8,IF(AND('Bonding Program'!$K$45&lt;&gt;"",AV$3='Bonding Program'!$K$45),'Bonding Program'!$J$45,0)-IF(AND('Bonding Program'!$M$45&lt;&gt;"",AV$3='Bonding Program'!$M$45),'Bonding Program'!$L$45,0)-IF(AND('Bonding Program'!$P$45&lt;&gt;"",AV$3='Bonding Program'!$P$45),'Bonding Program'!$O$45,0)-IF(AND('Bonding Program'!$R$45&lt;&gt;"",AV$3='Bonding Program'!$R$45),'Bonding Program'!$Q$45,0),0)</f>
        <v>0</v>
      </c>
      <c r="AW186" s="19" t="n">
        <f aca="false">IF(AND('Bonding Program'!$S$45=1,AW$3='Bonding Program'!$H$45),'Bonding Program'!$AA$45,0)-IF(AW$3&lt;='Bonding Program'!$C$8,IF(AND('Bonding Program'!$K$45&lt;&gt;"",AW$3='Bonding Program'!$K$45),'Bonding Program'!$J$45,0)-IF(AND('Bonding Program'!$M$45&lt;&gt;"",AW$3='Bonding Program'!$M$45),'Bonding Program'!$L$45,0)-IF(AND('Bonding Program'!$P$45&lt;&gt;"",AW$3='Bonding Program'!$P$45),'Bonding Program'!$O$45,0)-IF(AND('Bonding Program'!$R$45&lt;&gt;"",AW$3='Bonding Program'!$R$45),'Bonding Program'!$Q$45,0),0)</f>
        <v>0</v>
      </c>
      <c r="AX186" s="19" t="n">
        <f aca="false">IF(AND('Bonding Program'!$S$45=1,AX$3='Bonding Program'!$H$45),'Bonding Program'!$AA$45,0)-IF(AX$3&lt;='Bonding Program'!$C$8,IF(AND('Bonding Program'!$K$45&lt;&gt;"",AX$3='Bonding Program'!$K$45),'Bonding Program'!$J$45,0)-IF(AND('Bonding Program'!$M$45&lt;&gt;"",AX$3='Bonding Program'!$M$45),'Bonding Program'!$L$45,0)-IF(AND('Bonding Program'!$P$45&lt;&gt;"",AX$3='Bonding Program'!$P$45),'Bonding Program'!$O$45,0)-IF(AND('Bonding Program'!$R$45&lt;&gt;"",AX$3='Bonding Program'!$R$45),'Bonding Program'!$Q$45,0),0)</f>
        <v>0</v>
      </c>
      <c r="AY186" s="19" t="n">
        <f aca="false">IF(AND('Bonding Program'!$S$45=1,AY$3='Bonding Program'!$H$45),'Bonding Program'!$AA$45,0)-IF(AY$3&lt;='Bonding Program'!$C$8,IF(AND('Bonding Program'!$K$45&lt;&gt;"",AY$3='Bonding Program'!$K$45),'Bonding Program'!$J$45,0)-IF(AND('Bonding Program'!$M$45&lt;&gt;"",AY$3='Bonding Program'!$M$45),'Bonding Program'!$L$45,0)-IF(AND('Bonding Program'!$P$45&lt;&gt;"",AY$3='Bonding Program'!$P$45),'Bonding Program'!$O$45,0)-IF(AND('Bonding Program'!$R$45&lt;&gt;"",AY$3='Bonding Program'!$R$45),'Bonding Program'!$Q$45,0),0)</f>
        <v>0</v>
      </c>
      <c r="AZ186" s="19" t="n">
        <f aca="false">IF(AND('Bonding Program'!$S$45=1,AZ$3='Bonding Program'!$H$45),'Bonding Program'!$AA$45,0)-IF(AZ$3&lt;='Bonding Program'!$C$8,IF(AND('Bonding Program'!$K$45&lt;&gt;"",AZ$3='Bonding Program'!$K$45),'Bonding Program'!$J$45,0)-IF(AND('Bonding Program'!$M$45&lt;&gt;"",AZ$3='Bonding Program'!$M$45),'Bonding Program'!$L$45,0)-IF(AND('Bonding Program'!$P$45&lt;&gt;"",AZ$3='Bonding Program'!$P$45),'Bonding Program'!$O$45,0)-IF(AND('Bonding Program'!$R$45&lt;&gt;"",AZ$3='Bonding Program'!$R$45),'Bonding Program'!$Q$45,0),0)</f>
        <v>0</v>
      </c>
      <c r="BA186" s="19" t="n">
        <f aca="false">IF(AND('Bonding Program'!$S$45=1,BA$3='Bonding Program'!$H$45),'Bonding Program'!$AA$45,0)-IF(BA$3&lt;='Bonding Program'!$C$8,IF(AND('Bonding Program'!$K$45&lt;&gt;"",BA$3='Bonding Program'!$K$45),'Bonding Program'!$J$45,0)-IF(AND('Bonding Program'!$M$45&lt;&gt;"",BA$3='Bonding Program'!$M$45),'Bonding Program'!$L$45,0)-IF(AND('Bonding Program'!$P$45&lt;&gt;"",BA$3='Bonding Program'!$P$45),'Bonding Program'!$O$45,0)-IF(AND('Bonding Program'!$R$45&lt;&gt;"",BA$3='Bonding Program'!$R$45),'Bonding Program'!$Q$45,0),0)</f>
        <v>0</v>
      </c>
      <c r="BB186" s="19" t="n">
        <f aca="false">IF(AND('Bonding Program'!$S$45=1,BB$3='Bonding Program'!$H$45),'Bonding Program'!$AA$45,0)-IF(BB$3&lt;='Bonding Program'!$C$8,IF(AND('Bonding Program'!$K$45&lt;&gt;"",BB$3='Bonding Program'!$K$45),'Bonding Program'!$J$45,0)-IF(AND('Bonding Program'!$M$45&lt;&gt;"",BB$3='Bonding Program'!$M$45),'Bonding Program'!$L$45,0)-IF(AND('Bonding Program'!$P$45&lt;&gt;"",BB$3='Bonding Program'!$P$45),'Bonding Program'!$O$45,0)-IF(AND('Bonding Program'!$R$45&lt;&gt;"",BB$3='Bonding Program'!$R$45),'Bonding Program'!$Q$45,0),0)</f>
        <v>0</v>
      </c>
      <c r="BC186" s="19" t="n">
        <f aca="false">IF(AND('Bonding Program'!$S$45=1,BC$3='Bonding Program'!$H$45),'Bonding Program'!$AA$45,0)-IF(BC$3&lt;='Bonding Program'!$C$8,IF(AND('Bonding Program'!$K$45&lt;&gt;"",BC$3='Bonding Program'!$K$45),'Bonding Program'!$J$45,0)-IF(AND('Bonding Program'!$M$45&lt;&gt;"",BC$3='Bonding Program'!$M$45),'Bonding Program'!$L$45,0)-IF(AND('Bonding Program'!$P$45&lt;&gt;"",BC$3='Bonding Program'!$P$45),'Bonding Program'!$O$45,0)-IF(AND('Bonding Program'!$R$45&lt;&gt;"",BC$3='Bonding Program'!$R$45),'Bonding Program'!$Q$45,0),0)</f>
        <v>0</v>
      </c>
      <c r="BD186" s="19" t="n">
        <f aca="false">IF(AND('Bonding Program'!$S$45=1,BD$3='Bonding Program'!$H$45),'Bonding Program'!$AA$45,0)-IF(BD$3&lt;='Bonding Program'!$C$8,IF(AND('Bonding Program'!$K$45&lt;&gt;"",BD$3='Bonding Program'!$K$45),'Bonding Program'!$J$45,0)-IF(AND('Bonding Program'!$M$45&lt;&gt;"",BD$3='Bonding Program'!$M$45),'Bonding Program'!$L$45,0)-IF(AND('Bonding Program'!$P$45&lt;&gt;"",BD$3='Bonding Program'!$P$45),'Bonding Program'!$O$45,0)-IF(AND('Bonding Program'!$R$45&lt;&gt;"",BD$3='Bonding Program'!$R$45),'Bonding Program'!$Q$45,0),0)</f>
        <v>0</v>
      </c>
      <c r="BE186" s="19" t="n">
        <f aca="false">IF(AND('Bonding Program'!$S$45=1,BE$3='Bonding Program'!$H$45),'Bonding Program'!$AA$45,0)-IF(BE$3&lt;='Bonding Program'!$C$8,IF(AND('Bonding Program'!$K$45&lt;&gt;"",BE$3='Bonding Program'!$K$45),'Bonding Program'!$J$45,0)-IF(AND('Bonding Program'!$M$45&lt;&gt;"",BE$3='Bonding Program'!$M$45),'Bonding Program'!$L$45,0)-IF(AND('Bonding Program'!$P$45&lt;&gt;"",BE$3='Bonding Program'!$P$45),'Bonding Program'!$O$45,0)-IF(AND('Bonding Program'!$R$45&lt;&gt;"",BE$3='Bonding Program'!$R$45),'Bonding Program'!$Q$45,0),0)</f>
        <v>0</v>
      </c>
      <c r="BF186" s="19" t="n">
        <f aca="false">IF(AND('Bonding Program'!$S$45=1,BF$3='Bonding Program'!$H$45),'Bonding Program'!$AA$45,0)-IF(BF$3&lt;='Bonding Program'!$C$8,IF(AND('Bonding Program'!$K$45&lt;&gt;"",BF$3='Bonding Program'!$K$45),'Bonding Program'!$J$45,0)-IF(AND('Bonding Program'!$M$45&lt;&gt;"",BF$3='Bonding Program'!$M$45),'Bonding Program'!$L$45,0)-IF(AND('Bonding Program'!$P$45&lt;&gt;"",BF$3='Bonding Program'!$P$45),'Bonding Program'!$O$45,0)-IF(AND('Bonding Program'!$R$45&lt;&gt;"",BF$3='Bonding Program'!$R$45),'Bonding Program'!$Q$45,0),0)</f>
        <v>0</v>
      </c>
      <c r="BG186" s="19" t="n">
        <f aca="false">IF(AND('Bonding Program'!$S$45=1,BG$3='Bonding Program'!$H$45),'Bonding Program'!$AA$45,0)-IF(BG$3&lt;='Bonding Program'!$C$8,IF(AND('Bonding Program'!$K$45&lt;&gt;"",BG$3='Bonding Program'!$K$45),'Bonding Program'!$J$45,0)-IF(AND('Bonding Program'!$M$45&lt;&gt;"",BG$3='Bonding Program'!$M$45),'Bonding Program'!$L$45,0)-IF(AND('Bonding Program'!$P$45&lt;&gt;"",BG$3='Bonding Program'!$P$45),'Bonding Program'!$O$45,0)-IF(AND('Bonding Program'!$R$45&lt;&gt;"",BG$3='Bonding Program'!$R$45),'Bonding Program'!$Q$45,0),0)</f>
        <v>0</v>
      </c>
      <c r="BH186" s="19" t="n">
        <f aca="false">IF(AND('Bonding Program'!$S$45=1,BH$3='Bonding Program'!$H$45),'Bonding Program'!$AA$45,0)-IF(BH$3&lt;='Bonding Program'!$C$8,IF(AND('Bonding Program'!$K$45&lt;&gt;"",BH$3='Bonding Program'!$K$45),'Bonding Program'!$J$45,0)-IF(AND('Bonding Program'!$M$45&lt;&gt;"",BH$3='Bonding Program'!$M$45),'Bonding Program'!$L$45,0)-IF(AND('Bonding Program'!$P$45&lt;&gt;"",BH$3='Bonding Program'!$P$45),'Bonding Program'!$O$45,0)-IF(AND('Bonding Program'!$R$45&lt;&gt;"",BH$3='Bonding Program'!$R$45),'Bonding Program'!$Q$45,0),0)</f>
        <v>0</v>
      </c>
      <c r="BI186" s="19" t="n">
        <f aca="false">IF(AND('Bonding Program'!$S$45=1,BI$3='Bonding Program'!$H$45),'Bonding Program'!$AA$45,0)-IF(BI$3&lt;='Bonding Program'!$C$8,IF(AND('Bonding Program'!$K$45&lt;&gt;"",BI$3='Bonding Program'!$K$45),'Bonding Program'!$J$45,0)-IF(AND('Bonding Program'!$M$45&lt;&gt;"",BI$3='Bonding Program'!$M$45),'Bonding Program'!$L$45,0)-IF(AND('Bonding Program'!$P$45&lt;&gt;"",BI$3='Bonding Program'!$P$45),'Bonding Program'!$O$45,0)-IF(AND('Bonding Program'!$R$45&lt;&gt;"",BI$3='Bonding Program'!$R$45),'Bonding Program'!$Q$45,0),0)</f>
        <v>0</v>
      </c>
      <c r="BJ186" s="19" t="n">
        <f aca="false">IF(AND('Bonding Program'!$S$45=1,BJ$3='Bonding Program'!$H$45),'Bonding Program'!$AA$45,0)-IF(BJ$3&lt;='Bonding Program'!$C$8,IF(AND('Bonding Program'!$K$45&lt;&gt;"",BJ$3='Bonding Program'!$K$45),'Bonding Program'!$J$45,0)-IF(AND('Bonding Program'!$M$45&lt;&gt;"",BJ$3='Bonding Program'!$M$45),'Bonding Program'!$L$45,0)-IF(AND('Bonding Program'!$P$45&lt;&gt;"",BJ$3='Bonding Program'!$P$45),'Bonding Program'!$O$45,0)-IF(AND('Bonding Program'!$R$45&lt;&gt;"",BJ$3='Bonding Program'!$R$45),'Bonding Program'!$Q$45,0),0)</f>
        <v>0</v>
      </c>
      <c r="BK186" s="19" t="n">
        <f aca="false">IF(AND('Bonding Program'!$S$45=1,BK$3='Bonding Program'!$H$45),'Bonding Program'!$AA$45,0)-IF(BK$3&lt;='Bonding Program'!$C$8,IF(AND('Bonding Program'!$K$45&lt;&gt;"",BK$3='Bonding Program'!$K$45),'Bonding Program'!$J$45,0)-IF(AND('Bonding Program'!$M$45&lt;&gt;"",BK$3='Bonding Program'!$M$45),'Bonding Program'!$L$45,0)-IF(AND('Bonding Program'!$P$45&lt;&gt;"",BK$3='Bonding Program'!$P$45),'Bonding Program'!$O$45,0)-IF(AND('Bonding Program'!$R$45&lt;&gt;"",BK$3='Bonding Program'!$R$45),'Bonding Program'!$Q$45,0),0)</f>
        <v>0</v>
      </c>
      <c r="BL186" s="19" t="n">
        <f aca="false">IF(AND('Bonding Program'!$S$45=1,BL$3='Bonding Program'!$H$45),'Bonding Program'!$AA$45,0)-IF(BL$3&lt;='Bonding Program'!$C$8,IF(AND('Bonding Program'!$K$45&lt;&gt;"",BL$3='Bonding Program'!$K$45),'Bonding Program'!$J$45,0)-IF(AND('Bonding Program'!$M$45&lt;&gt;"",BL$3='Bonding Program'!$M$45),'Bonding Program'!$L$45,0)-IF(AND('Bonding Program'!$P$45&lt;&gt;"",BL$3='Bonding Program'!$P$45),'Bonding Program'!$O$45,0)-IF(AND('Bonding Program'!$R$45&lt;&gt;"",BL$3='Bonding Program'!$R$45),'Bonding Program'!$Q$45,0),0)</f>
        <v>0</v>
      </c>
      <c r="BM186" s="19" t="n">
        <f aca="false">IF(AND('Bonding Program'!$S$45=1,BM$3='Bonding Program'!$H$45),'Bonding Program'!$AA$45,0)-IF(BM$3&lt;='Bonding Program'!$C$8,IF(AND('Bonding Program'!$K$45&lt;&gt;"",BM$3='Bonding Program'!$K$45),'Bonding Program'!$J$45,0)-IF(AND('Bonding Program'!$M$45&lt;&gt;"",BM$3='Bonding Program'!$M$45),'Bonding Program'!$L$45,0)-IF(AND('Bonding Program'!$P$45&lt;&gt;"",BM$3='Bonding Program'!$P$45),'Bonding Program'!$O$45,0)-IF(AND('Bonding Program'!$R$45&lt;&gt;"",BM$3='Bonding Program'!$R$45),'Bonding Program'!$Q$45,0),0)</f>
        <v>0</v>
      </c>
      <c r="BN186" s="19" t="n">
        <f aca="false">IF(AND('Bonding Program'!$S$45=1,BN$3='Bonding Program'!$H$45),'Bonding Program'!$AA$45,0)-IF(BN$3&lt;='Bonding Program'!$C$8,IF(AND('Bonding Program'!$K$45&lt;&gt;"",BN$3='Bonding Program'!$K$45),'Bonding Program'!$J$45,0)-IF(AND('Bonding Program'!$M$45&lt;&gt;"",BN$3='Bonding Program'!$M$45),'Bonding Program'!$L$45,0)-IF(AND('Bonding Program'!$P$45&lt;&gt;"",BN$3='Bonding Program'!$P$45),'Bonding Program'!$O$45,0)-IF(AND('Bonding Program'!$R$45&lt;&gt;"",BN$3='Bonding Program'!$R$45),'Bonding Program'!$Q$45,0),0)</f>
        <v>0</v>
      </c>
      <c r="BO186" s="19" t="n">
        <f aca="false">IF(AND('Bonding Program'!$S$45=1,BO$3='Bonding Program'!$H$45),'Bonding Program'!$AA$45,0)-IF(BO$3&lt;='Bonding Program'!$C$8,IF(AND('Bonding Program'!$K$45&lt;&gt;"",BO$3='Bonding Program'!$K$45),'Bonding Program'!$J$45,0)-IF(AND('Bonding Program'!$M$45&lt;&gt;"",BO$3='Bonding Program'!$M$45),'Bonding Program'!$L$45,0)-IF(AND('Bonding Program'!$P$45&lt;&gt;"",BO$3='Bonding Program'!$P$45),'Bonding Program'!$O$45,0)-IF(AND('Bonding Program'!$R$45&lt;&gt;"",BO$3='Bonding Program'!$R$45),'Bonding Program'!$Q$45,0),0)</f>
        <v>0</v>
      </c>
      <c r="BP186" s="19" t="n">
        <f aca="false">IF(AND('Bonding Program'!$S$45=1,BP$3='Bonding Program'!$H$45),'Bonding Program'!$AA$45,0)-IF(BP$3&lt;='Bonding Program'!$C$8,IF(AND('Bonding Program'!$K$45&lt;&gt;"",BP$3='Bonding Program'!$K$45),'Bonding Program'!$J$45,0)-IF(AND('Bonding Program'!$M$45&lt;&gt;"",BP$3='Bonding Program'!$M$45),'Bonding Program'!$L$45,0)-IF(AND('Bonding Program'!$P$45&lt;&gt;"",BP$3='Bonding Program'!$P$45),'Bonding Program'!$O$45,0)-IF(AND('Bonding Program'!$R$45&lt;&gt;"",BP$3='Bonding Program'!$R$45),'Bonding Program'!$Q$45,0),0)</f>
        <v>0</v>
      </c>
      <c r="BQ186" s="19" t="n">
        <f aca="false">IF(AND('Bonding Program'!$S$45=1,BQ$3='Bonding Program'!$H$45),'Bonding Program'!$AA$45,0)-IF(BQ$3&lt;='Bonding Program'!$C$8,IF(AND('Bonding Program'!$K$45&lt;&gt;"",BQ$3='Bonding Program'!$K$45),'Bonding Program'!$J$45,0)-IF(AND('Bonding Program'!$M$45&lt;&gt;"",BQ$3='Bonding Program'!$M$45),'Bonding Program'!$L$45,0)-IF(AND('Bonding Program'!$P$45&lt;&gt;"",BQ$3='Bonding Program'!$P$45),'Bonding Program'!$O$45,0)-IF(AND('Bonding Program'!$R$45&lt;&gt;"",BQ$3='Bonding Program'!$R$45),'Bonding Program'!$Q$45,0),0)</f>
        <v>0</v>
      </c>
      <c r="BR186" s="19" t="n">
        <f aca="false">IF(AND('Bonding Program'!$S$45=1,BR$3='Bonding Program'!$H$45),'Bonding Program'!$AA$45,0)-IF(BR$3&lt;='Bonding Program'!$C$8,IF(AND('Bonding Program'!$K$45&lt;&gt;"",BR$3='Bonding Program'!$K$45),'Bonding Program'!$J$45,0)-IF(AND('Bonding Program'!$M$45&lt;&gt;"",BR$3='Bonding Program'!$M$45),'Bonding Program'!$L$45,0)-IF(AND('Bonding Program'!$P$45&lt;&gt;"",BR$3='Bonding Program'!$P$45),'Bonding Program'!$O$45,0)-IF(AND('Bonding Program'!$R$45&lt;&gt;"",BR$3='Bonding Program'!$R$45),'Bonding Program'!$Q$45,0),0)</f>
        <v>0</v>
      </c>
      <c r="BS186" s="19" t="n">
        <f aca="false">IF(AND('Bonding Program'!$S$45=1,BS$3='Bonding Program'!$H$45),'Bonding Program'!$AA$45,0)-IF(BS$3&lt;='Bonding Program'!$C$8,IF(AND('Bonding Program'!$K$45&lt;&gt;"",BS$3='Bonding Program'!$K$45),'Bonding Program'!$J$45,0)-IF(AND('Bonding Program'!$M$45&lt;&gt;"",BS$3='Bonding Program'!$M$45),'Bonding Program'!$L$45,0)-IF(AND('Bonding Program'!$P$45&lt;&gt;"",BS$3='Bonding Program'!$P$45),'Bonding Program'!$O$45,0)-IF(AND('Bonding Program'!$R$45&lt;&gt;"",BS$3='Bonding Program'!$R$45),'Bonding Program'!$Q$45,0),0)</f>
        <v>0</v>
      </c>
      <c r="BT186" s="19" t="n">
        <f aca="false">IF(AND('Bonding Program'!$S$45=1,BT$3='Bonding Program'!$H$45),'Bonding Program'!$AA$45,0)-IF(BT$3&lt;='Bonding Program'!$C$8,IF(AND('Bonding Program'!$K$45&lt;&gt;"",BT$3='Bonding Program'!$K$45),'Bonding Program'!$J$45,0)-IF(AND('Bonding Program'!$M$45&lt;&gt;"",BT$3='Bonding Program'!$M$45),'Bonding Program'!$L$45,0)-IF(AND('Bonding Program'!$P$45&lt;&gt;"",BT$3='Bonding Program'!$P$45),'Bonding Program'!$O$45,0)-IF(AND('Bonding Program'!$R$45&lt;&gt;"",BT$3='Bonding Program'!$R$45),'Bonding Program'!$Q$45,0),0)</f>
        <v>0</v>
      </c>
      <c r="BU186" s="19" t="n">
        <f aca="false">IF(AND('Bonding Program'!$S$45=1,BU$3='Bonding Program'!$H$45),'Bonding Program'!$AA$45,0)-IF(BU$3&lt;='Bonding Program'!$C$8,IF(AND('Bonding Program'!$K$45&lt;&gt;"",BU$3='Bonding Program'!$K$45),'Bonding Program'!$J$45,0)-IF(AND('Bonding Program'!$M$45&lt;&gt;"",BU$3='Bonding Program'!$M$45),'Bonding Program'!$L$45,0)-IF(AND('Bonding Program'!$P$45&lt;&gt;"",BU$3='Bonding Program'!$P$45),'Bonding Program'!$O$45,0)-IF(AND('Bonding Program'!$R$45&lt;&gt;"",BU$3='Bonding Program'!$R$45),'Bonding Program'!$Q$45,0),0)</f>
        <v>0</v>
      </c>
      <c r="BV186" s="19" t="n">
        <f aca="false">IF(AND('Bonding Program'!$S$45=1,BV$3='Bonding Program'!$H$45),'Bonding Program'!$AA$45,0)-IF(BV$3&lt;='Bonding Program'!$C$8,IF(AND('Bonding Program'!$K$45&lt;&gt;"",BV$3='Bonding Program'!$K$45),'Bonding Program'!$J$45,0)-IF(AND('Bonding Program'!$M$45&lt;&gt;"",BV$3='Bonding Program'!$M$45),'Bonding Program'!$L$45,0)-IF(AND('Bonding Program'!$P$45&lt;&gt;"",BV$3='Bonding Program'!$P$45),'Bonding Program'!$O$45,0)-IF(AND('Bonding Program'!$R$45&lt;&gt;"",BV$3='Bonding Program'!$R$45),'Bonding Program'!$Q$45,0),0)</f>
        <v>0</v>
      </c>
      <c r="BW186" s="19" t="n">
        <f aca="false">IF(AND('Bonding Program'!$S$45=1,BW$3='Bonding Program'!$H$45),'Bonding Program'!$AA$45,0)-IF(BW$3&lt;='Bonding Program'!$C$8,IF(AND('Bonding Program'!$K$45&lt;&gt;"",BW$3='Bonding Program'!$K$45),'Bonding Program'!$J$45,0)-IF(AND('Bonding Program'!$M$45&lt;&gt;"",BW$3='Bonding Program'!$M$45),'Bonding Program'!$L$45,0)-IF(AND('Bonding Program'!$P$45&lt;&gt;"",BW$3='Bonding Program'!$P$45),'Bonding Program'!$O$45,0)-IF(AND('Bonding Program'!$R$45&lt;&gt;"",BW$3='Bonding Program'!$R$45),'Bonding Program'!$Q$45,0),0)</f>
        <v>0</v>
      </c>
      <c r="BX186" s="19" t="n">
        <f aca="false">IF(AND('Bonding Program'!$S$45=1,BX$3='Bonding Program'!$H$45),'Bonding Program'!$AA$45,0)-IF(BX$3&lt;='Bonding Program'!$C$8,IF(AND('Bonding Program'!$K$45&lt;&gt;"",BX$3='Bonding Program'!$K$45),'Bonding Program'!$J$45,0)-IF(AND('Bonding Program'!$M$45&lt;&gt;"",BX$3='Bonding Program'!$M$45),'Bonding Program'!$L$45,0)-IF(AND('Bonding Program'!$P$45&lt;&gt;"",BX$3='Bonding Program'!$P$45),'Bonding Program'!$O$45,0)-IF(AND('Bonding Program'!$R$45&lt;&gt;"",BX$3='Bonding Program'!$R$45),'Bonding Program'!$Q$45,0),0)</f>
        <v>0</v>
      </c>
      <c r="BY186" s="19" t="n">
        <f aca="false">IF(AND('Bonding Program'!$S$45=1,BY$3='Bonding Program'!$H$45),'Bonding Program'!$AA$45,0)-IF(BY$3&lt;='Bonding Program'!$C$8,IF(AND('Bonding Program'!$K$45&lt;&gt;"",BY$3='Bonding Program'!$K$45),'Bonding Program'!$J$45,0)-IF(AND('Bonding Program'!$M$45&lt;&gt;"",BY$3='Bonding Program'!$M$45),'Bonding Program'!$L$45,0)-IF(AND('Bonding Program'!$P$45&lt;&gt;"",BY$3='Bonding Program'!$P$45),'Bonding Program'!$O$45,0)-IF(AND('Bonding Program'!$R$45&lt;&gt;"",BY$3='Bonding Program'!$R$45),'Bonding Program'!$Q$45,0),0)</f>
        <v>0</v>
      </c>
      <c r="BZ186" s="19" t="n">
        <f aca="false">IF(AND('Bonding Program'!$S$45=1,BZ$3='Bonding Program'!$H$45),'Bonding Program'!$AA$45,0)-IF(BZ$3&lt;='Bonding Program'!$C$8,IF(AND('Bonding Program'!$K$45&lt;&gt;"",BZ$3='Bonding Program'!$K$45),'Bonding Program'!$J$45,0)-IF(AND('Bonding Program'!$M$45&lt;&gt;"",BZ$3='Bonding Program'!$M$45),'Bonding Program'!$L$45,0)-IF(AND('Bonding Program'!$P$45&lt;&gt;"",BZ$3='Bonding Program'!$P$45),'Bonding Program'!$O$45,0)-IF(AND('Bonding Program'!$R$45&lt;&gt;"",BZ$3='Bonding Program'!$R$45),'Bonding Program'!$Q$45,0),0)</f>
        <v>0</v>
      </c>
      <c r="CA186" s="19" t="n">
        <f aca="false">IF(AND('Bonding Program'!$S$45=1,CA$3='Bonding Program'!$H$45),'Bonding Program'!$AA$45,0)-IF(CA$3&lt;='Bonding Program'!$C$8,IF(AND('Bonding Program'!$K$45&lt;&gt;"",CA$3='Bonding Program'!$K$45),'Bonding Program'!$J$45,0)-IF(AND('Bonding Program'!$M$45&lt;&gt;"",CA$3='Bonding Program'!$M$45),'Bonding Program'!$L$45,0)-IF(AND('Bonding Program'!$P$45&lt;&gt;"",CA$3='Bonding Program'!$P$45),'Bonding Program'!$O$45,0)-IF(AND('Bonding Program'!$R$45&lt;&gt;"",CA$3='Bonding Program'!$R$45),'Bonding Program'!$Q$45,0),0)</f>
        <v>0</v>
      </c>
      <c r="CB186" s="19" t="n">
        <f aca="false">IF(AND('Bonding Program'!$S$45=1,CB$3='Bonding Program'!$H$45),'Bonding Program'!$AA$45,0)-IF(CB$3&lt;='Bonding Program'!$C$8,IF(AND('Bonding Program'!$K$45&lt;&gt;"",CB$3='Bonding Program'!$K$45),'Bonding Program'!$J$45,0)-IF(AND('Bonding Program'!$M$45&lt;&gt;"",CB$3='Bonding Program'!$M$45),'Bonding Program'!$L$45,0)-IF(AND('Bonding Program'!$P$45&lt;&gt;"",CB$3='Bonding Program'!$P$45),'Bonding Program'!$O$45,0)-IF(AND('Bonding Program'!$R$45&lt;&gt;"",CB$3='Bonding Program'!$R$45),'Bonding Program'!$Q$45,0),0)</f>
        <v>0</v>
      </c>
      <c r="CC186" s="19" t="n">
        <f aca="false">IF(AND('Bonding Program'!$S$45=1,CC$3='Bonding Program'!$H$45),'Bonding Program'!$AA$45,0)-IF(CC$3&lt;='Bonding Program'!$C$8,IF(AND('Bonding Program'!$K$45&lt;&gt;"",CC$3='Bonding Program'!$K$45),'Bonding Program'!$J$45,0)-IF(AND('Bonding Program'!$M$45&lt;&gt;"",CC$3='Bonding Program'!$M$45),'Bonding Program'!$L$45,0)-IF(AND('Bonding Program'!$P$45&lt;&gt;"",CC$3='Bonding Program'!$P$45),'Bonding Program'!$O$45,0)-IF(AND('Bonding Program'!$R$45&lt;&gt;"",CC$3='Bonding Program'!$R$45),'Bonding Program'!$Q$45,0),0)</f>
        <v>0</v>
      </c>
      <c r="CD186" s="19" t="n">
        <f aca="false">IF(AND('Bonding Program'!$S$45=1,CD$3='Bonding Program'!$H$45),'Bonding Program'!$AA$45,0)-IF(CD$3&lt;='Bonding Program'!$C$8,IF(AND('Bonding Program'!$K$45&lt;&gt;"",CD$3='Bonding Program'!$K$45),'Bonding Program'!$J$45,0)-IF(AND('Bonding Program'!$M$45&lt;&gt;"",CD$3='Bonding Program'!$M$45),'Bonding Program'!$L$45,0)-IF(AND('Bonding Program'!$P$45&lt;&gt;"",CD$3='Bonding Program'!$P$45),'Bonding Program'!$O$45,0)-IF(AND('Bonding Program'!$R$45&lt;&gt;"",CD$3='Bonding Program'!$R$45),'Bonding Program'!$Q$45,0),0)</f>
        <v>0</v>
      </c>
      <c r="CE186" s="19" t="n">
        <f aca="false">IF(AND('Bonding Program'!$S$45=1,CE$3='Bonding Program'!$H$45),'Bonding Program'!$AA$45,0)-IF(CE$3&lt;='Bonding Program'!$C$8,IF(AND('Bonding Program'!$K$45&lt;&gt;"",CE$3='Bonding Program'!$K$45),'Bonding Program'!$J$45,0)-IF(AND('Bonding Program'!$M$45&lt;&gt;"",CE$3='Bonding Program'!$M$45),'Bonding Program'!$L$45,0)-IF(AND('Bonding Program'!$P$45&lt;&gt;"",CE$3='Bonding Program'!$P$45),'Bonding Program'!$O$45,0)-IF(AND('Bonding Program'!$R$45&lt;&gt;"",CE$3='Bonding Program'!$R$45),'Bonding Program'!$Q$45,0),0)</f>
        <v>0</v>
      </c>
      <c r="CF186" s="19" t="n">
        <f aca="false">IF(AND('Bonding Program'!$S$45=1,CF$3='Bonding Program'!$H$45),'Bonding Program'!$AA$45,0)-IF(CF$3&lt;='Bonding Program'!$C$8,IF(AND('Bonding Program'!$K$45&lt;&gt;"",CF$3='Bonding Program'!$K$45),'Bonding Program'!$J$45,0)-IF(AND('Bonding Program'!$M$45&lt;&gt;"",CF$3='Bonding Program'!$M$45),'Bonding Program'!$L$45,0)-IF(AND('Bonding Program'!$P$45&lt;&gt;"",CF$3='Bonding Program'!$P$45),'Bonding Program'!$O$45,0)-IF(AND('Bonding Program'!$R$45&lt;&gt;"",CF$3='Bonding Program'!$R$45),'Bonding Program'!$Q$45,0),0)</f>
        <v>0</v>
      </c>
      <c r="CG186" s="19" t="n">
        <f aca="false">IF(AND('Bonding Program'!$S$45=1,CG$3='Bonding Program'!$H$45),'Bonding Program'!$AA$45,0)-IF(CG$3&lt;='Bonding Program'!$C$8,IF(AND('Bonding Program'!$K$45&lt;&gt;"",CG$3='Bonding Program'!$K$45),'Bonding Program'!$J$45,0)-IF(AND('Bonding Program'!$M$45&lt;&gt;"",CG$3='Bonding Program'!$M$45),'Bonding Program'!$L$45,0)-IF(AND('Bonding Program'!$P$45&lt;&gt;"",CG$3='Bonding Program'!$P$45),'Bonding Program'!$O$45,0)-IF(AND('Bonding Program'!$R$45&lt;&gt;"",CG$3='Bonding Program'!$R$45),'Bonding Program'!$Q$45,0),0)</f>
        <v>0</v>
      </c>
      <c r="CH186" s="19" t="n">
        <f aca="false">IF(AND('Bonding Program'!$S$45=1,CH$3='Bonding Program'!$H$45),'Bonding Program'!$AA$45,0)-IF(CH$3&lt;='Bonding Program'!$C$8,IF(AND('Bonding Program'!$K$45&lt;&gt;"",CH$3='Bonding Program'!$K$45),'Bonding Program'!$J$45,0)-IF(AND('Bonding Program'!$M$45&lt;&gt;"",CH$3='Bonding Program'!$M$45),'Bonding Program'!$L$45,0)-IF(AND('Bonding Program'!$P$45&lt;&gt;"",CH$3='Bonding Program'!$P$45),'Bonding Program'!$O$45,0)-IF(AND('Bonding Program'!$R$45&lt;&gt;"",CH$3='Bonding Program'!$R$45),'Bonding Program'!$Q$45,0),0)</f>
        <v>0</v>
      </c>
      <c r="CI186" s="19" t="n">
        <f aca="false">IF(AND('Bonding Program'!$S$45=1,CI$3='Bonding Program'!$H$45),'Bonding Program'!$AA$45,0)-IF(CI$3&lt;='Bonding Program'!$C$8,IF(AND('Bonding Program'!$K$45&lt;&gt;"",CI$3='Bonding Program'!$K$45),'Bonding Program'!$J$45,0)-IF(AND('Bonding Program'!$M$45&lt;&gt;"",CI$3='Bonding Program'!$M$45),'Bonding Program'!$L$45,0)-IF(AND('Bonding Program'!$P$45&lt;&gt;"",CI$3='Bonding Program'!$P$45),'Bonding Program'!$O$45,0)-IF(AND('Bonding Program'!$R$45&lt;&gt;"",CI$3='Bonding Program'!$R$45),'Bonding Program'!$Q$45,0),0)</f>
        <v>0</v>
      </c>
      <c r="CJ186" s="19" t="n">
        <f aca="false">IF(AND('Bonding Program'!$S$45=1,CJ$3='Bonding Program'!$H$45),'Bonding Program'!$AA$45,0)-IF(CJ$3&lt;='Bonding Program'!$C$8,IF(AND('Bonding Program'!$K$45&lt;&gt;"",CJ$3='Bonding Program'!$K$45),'Bonding Program'!$J$45,0)-IF(AND('Bonding Program'!$M$45&lt;&gt;"",CJ$3='Bonding Program'!$M$45),'Bonding Program'!$L$45,0)-IF(AND('Bonding Program'!$P$45&lt;&gt;"",CJ$3='Bonding Program'!$P$45),'Bonding Program'!$O$45,0)-IF(AND('Bonding Program'!$R$45&lt;&gt;"",CJ$3='Bonding Program'!$R$45),'Bonding Program'!$Q$45,0),0)</f>
        <v>0</v>
      </c>
      <c r="CK186" s="19" t="n">
        <f aca="false">IF(AND('Bonding Program'!$S$45=1,CK$3='Bonding Program'!$H$45),'Bonding Program'!$AA$45,0)-IF(CK$3&lt;='Bonding Program'!$C$8,IF(AND('Bonding Program'!$K$45&lt;&gt;"",CK$3='Bonding Program'!$K$45),'Bonding Program'!$J$45,0)-IF(AND('Bonding Program'!$M$45&lt;&gt;"",CK$3='Bonding Program'!$M$45),'Bonding Program'!$L$45,0)-IF(AND('Bonding Program'!$P$45&lt;&gt;"",CK$3='Bonding Program'!$P$45),'Bonding Program'!$O$45,0)-IF(AND('Bonding Program'!$R$45&lt;&gt;"",CK$3='Bonding Program'!$R$45),'Bonding Program'!$Q$45,0),0)</f>
        <v>0</v>
      </c>
      <c r="CL186" s="19" t="n">
        <f aca="false">IF(AND('Bonding Program'!$S$45=1,CL$3='Bonding Program'!$H$45),'Bonding Program'!$AA$45,0)-IF(CL$3&lt;='Bonding Program'!$C$8,IF(AND('Bonding Program'!$K$45&lt;&gt;"",CL$3='Bonding Program'!$K$45),'Bonding Program'!$J$45,0)-IF(AND('Bonding Program'!$M$45&lt;&gt;"",CL$3='Bonding Program'!$M$45),'Bonding Program'!$L$45,0)-IF(AND('Bonding Program'!$P$45&lt;&gt;"",CL$3='Bonding Program'!$P$45),'Bonding Program'!$O$45,0)-IF(AND('Bonding Program'!$R$45&lt;&gt;"",CL$3='Bonding Program'!$R$45),'Bonding Program'!$Q$45,0),0)</f>
        <v>0</v>
      </c>
      <c r="CM186" s="19" t="n">
        <f aca="false">IF(AND('Bonding Program'!$S$45=1,CM$3='Bonding Program'!$H$45),'Bonding Program'!$AA$45,0)-IF(CM$3&lt;='Bonding Program'!$C$8,IF(AND('Bonding Program'!$K$45&lt;&gt;"",CM$3='Bonding Program'!$K$45),'Bonding Program'!$J$45,0)-IF(AND('Bonding Program'!$M$45&lt;&gt;"",CM$3='Bonding Program'!$M$45),'Bonding Program'!$L$45,0)-IF(AND('Bonding Program'!$P$45&lt;&gt;"",CM$3='Bonding Program'!$P$45),'Bonding Program'!$O$45,0)-IF(AND('Bonding Program'!$R$45&lt;&gt;"",CM$3='Bonding Program'!$R$45),'Bonding Program'!$Q$45,0),0)</f>
        <v>0</v>
      </c>
      <c r="CN186" s="19" t="n">
        <f aca="false">IF(AND('Bonding Program'!$S$45=1,CN$3='Bonding Program'!$H$45),'Bonding Program'!$AA$45,0)-IF(CN$3&lt;='Bonding Program'!$C$8,IF(AND('Bonding Program'!$K$45&lt;&gt;"",CN$3='Bonding Program'!$K$45),'Bonding Program'!$J$45,0)-IF(AND('Bonding Program'!$M$45&lt;&gt;"",CN$3='Bonding Program'!$M$45),'Bonding Program'!$L$45,0)-IF(AND('Bonding Program'!$P$45&lt;&gt;"",CN$3='Bonding Program'!$P$45),'Bonding Program'!$O$45,0)-IF(AND('Bonding Program'!$R$45&lt;&gt;"",CN$3='Bonding Program'!$R$45),'Bonding Program'!$Q$45,0),0)</f>
        <v>0</v>
      </c>
      <c r="CO186" s="19" t="n">
        <f aca="false">IF(AND('Bonding Program'!$S$45=1,CO$3='Bonding Program'!$H$45),'Bonding Program'!$AA$45,0)-IF(CO$3&lt;='Bonding Program'!$C$8,IF(AND('Bonding Program'!$K$45&lt;&gt;"",CO$3='Bonding Program'!$K$45),'Bonding Program'!$J$45,0)-IF(AND('Bonding Program'!$M$45&lt;&gt;"",CO$3='Bonding Program'!$M$45),'Bonding Program'!$L$45,0)-IF(AND('Bonding Program'!$P$45&lt;&gt;"",CO$3='Bonding Program'!$P$45),'Bonding Program'!$O$45,0)-IF(AND('Bonding Program'!$R$45&lt;&gt;"",CO$3='Bonding Program'!$R$45),'Bonding Program'!$Q$45,0),0)</f>
        <v>0</v>
      </c>
      <c r="CP186" s="19" t="n">
        <f aca="false">IF(AND('Bonding Program'!$S$45=1,CP$3='Bonding Program'!$H$45),'Bonding Program'!$AA$45,0)-IF(CP$3&lt;='Bonding Program'!$C$8,IF(AND('Bonding Program'!$K$45&lt;&gt;"",CP$3='Bonding Program'!$K$45),'Bonding Program'!$J$45,0)-IF(AND('Bonding Program'!$M$45&lt;&gt;"",CP$3='Bonding Program'!$M$45),'Bonding Program'!$L$45,0)-IF(AND('Bonding Program'!$P$45&lt;&gt;"",CP$3='Bonding Program'!$P$45),'Bonding Program'!$O$45,0)-IF(AND('Bonding Program'!$R$45&lt;&gt;"",CP$3='Bonding Program'!$R$45),'Bonding Program'!$Q$45,0),0)</f>
        <v>0</v>
      </c>
      <c r="CQ186" s="19" t="n">
        <f aca="false">IF(AND('Bonding Program'!$S$45=1,CQ$3='Bonding Program'!$H$45),'Bonding Program'!$AA$45,0)-IF(CQ$3&lt;='Bonding Program'!$C$8,IF(AND('Bonding Program'!$K$45&lt;&gt;"",CQ$3='Bonding Program'!$K$45),'Bonding Program'!$J$45,0)-IF(AND('Bonding Program'!$M$45&lt;&gt;"",CQ$3='Bonding Program'!$M$45),'Bonding Program'!$L$45,0)-IF(AND('Bonding Program'!$P$45&lt;&gt;"",CQ$3='Bonding Program'!$P$45),'Bonding Program'!$O$45,0)-IF(AND('Bonding Program'!$R$45&lt;&gt;"",CQ$3='Bonding Program'!$R$45),'Bonding Program'!$Q$45,0),0)</f>
        <v>0</v>
      </c>
      <c r="CR186" s="19" t="n">
        <f aca="false">IF(AND('Bonding Program'!$S$45=1,CR$3='Bonding Program'!$H$45),'Bonding Program'!$AA$45,0)-IF(CR$3&lt;='Bonding Program'!$C$8,IF(AND('Bonding Program'!$K$45&lt;&gt;"",CR$3='Bonding Program'!$K$45),'Bonding Program'!$J$45,0)-IF(AND('Bonding Program'!$M$45&lt;&gt;"",CR$3='Bonding Program'!$M$45),'Bonding Program'!$L$45,0)-IF(AND('Bonding Program'!$P$45&lt;&gt;"",CR$3='Bonding Program'!$P$45),'Bonding Program'!$O$45,0)-IF(AND('Bonding Program'!$R$45&lt;&gt;"",CR$3='Bonding Program'!$R$45),'Bonding Program'!$Q$45,0),0)</f>
        <v>0</v>
      </c>
      <c r="CS186" s="19" t="n">
        <f aca="false">IF(AND('Bonding Program'!$S$45=1,CS$3='Bonding Program'!$H$45),'Bonding Program'!$AA$45,0)-IF(CS$3&lt;='Bonding Program'!$C$8,IF(AND('Bonding Program'!$K$45&lt;&gt;"",CS$3='Bonding Program'!$K$45),'Bonding Program'!$J$45,0)-IF(AND('Bonding Program'!$M$45&lt;&gt;"",CS$3='Bonding Program'!$M$45),'Bonding Program'!$L$45,0)-IF(AND('Bonding Program'!$P$45&lt;&gt;"",CS$3='Bonding Program'!$P$45),'Bonding Program'!$O$45,0)-IF(AND('Bonding Program'!$R$45&lt;&gt;"",CS$3='Bonding Program'!$R$45),'Bonding Program'!$Q$45,0),0)</f>
        <v>0</v>
      </c>
      <c r="CT186" s="19" t="n">
        <f aca="false">IF(AND('Bonding Program'!$S$45=1,CT$3='Bonding Program'!$H$45),'Bonding Program'!$AA$45,0)-IF(CT$3&lt;='Bonding Program'!$C$8,IF(AND('Bonding Program'!$K$45&lt;&gt;"",CT$3='Bonding Program'!$K$45),'Bonding Program'!$J$45,0)-IF(AND('Bonding Program'!$M$45&lt;&gt;"",CT$3='Bonding Program'!$M$45),'Bonding Program'!$L$45,0)-IF(AND('Bonding Program'!$P$45&lt;&gt;"",CT$3='Bonding Program'!$P$45),'Bonding Program'!$O$45,0)-IF(AND('Bonding Program'!$R$45&lt;&gt;"",CT$3='Bonding Program'!$R$45),'Bonding Program'!$Q$45,0),0)</f>
        <v>0</v>
      </c>
      <c r="CU186" s="19" t="n">
        <f aca="false">IF(AND('Bonding Program'!$S$45=1,CU$3='Bonding Program'!$H$45),'Bonding Program'!$AA$45,0)-IF(CU$3&lt;='Bonding Program'!$C$8,IF(AND('Bonding Program'!$K$45&lt;&gt;"",CU$3='Bonding Program'!$K$45),'Bonding Program'!$J$45,0)-IF(AND('Bonding Program'!$M$45&lt;&gt;"",CU$3='Bonding Program'!$M$45),'Bonding Program'!$L$45,0)-IF(AND('Bonding Program'!$P$45&lt;&gt;"",CU$3='Bonding Program'!$P$45),'Bonding Program'!$O$45,0)-IF(AND('Bonding Program'!$R$45&lt;&gt;"",CU$3='Bonding Program'!$R$45),'Bonding Program'!$Q$45,0),0)</f>
        <v>0</v>
      </c>
      <c r="CV186" s="19" t="n">
        <f aca="false">IF(AND('Bonding Program'!$S$45=1,CV$3='Bonding Program'!$H$45),'Bonding Program'!$AA$45,0)-IF(CV$3&lt;='Bonding Program'!$C$8,IF(AND('Bonding Program'!$K$45&lt;&gt;"",CV$3='Bonding Program'!$K$45),'Bonding Program'!$J$45,0)-IF(AND('Bonding Program'!$M$45&lt;&gt;"",CV$3='Bonding Program'!$M$45),'Bonding Program'!$L$45,0)-IF(AND('Bonding Program'!$P$45&lt;&gt;"",CV$3='Bonding Program'!$P$45),'Bonding Program'!$O$45,0)-IF(AND('Bonding Program'!$R$45&lt;&gt;"",CV$3='Bonding Program'!$R$45),'Bonding Program'!$Q$45,0),0)</f>
        <v>0</v>
      </c>
      <c r="CW186" s="19" t="n">
        <f aca="false">IF(AND('Bonding Program'!$S$45=1,CW$3='Bonding Program'!$H$45),'Bonding Program'!$AA$45,0)-IF(CW$3&lt;='Bonding Program'!$C$8,IF(AND('Bonding Program'!$K$45&lt;&gt;"",CW$3='Bonding Program'!$K$45),'Bonding Program'!$J$45,0)-IF(AND('Bonding Program'!$M$45&lt;&gt;"",CW$3='Bonding Program'!$M$45),'Bonding Program'!$L$45,0)-IF(AND('Bonding Program'!$P$45&lt;&gt;"",CW$3='Bonding Program'!$P$45),'Bonding Program'!$O$45,0)-IF(AND('Bonding Program'!$R$45&lt;&gt;"",CW$3='Bonding Program'!$R$45),'Bonding Program'!$Q$45,0),0)</f>
        <v>0</v>
      </c>
      <c r="CX186" s="19" t="n">
        <f aca="false">IF(AND('Bonding Program'!$S$45=1,CX$3='Bonding Program'!$H$45),'Bonding Program'!$AA$45,0)-IF(CX$3&lt;='Bonding Program'!$C$8,IF(AND('Bonding Program'!$K$45&lt;&gt;"",CX$3='Bonding Program'!$K$45),'Bonding Program'!$J$45,0)-IF(AND('Bonding Program'!$M$45&lt;&gt;"",CX$3='Bonding Program'!$M$45),'Bonding Program'!$L$45,0)-IF(AND('Bonding Program'!$P$45&lt;&gt;"",CX$3='Bonding Program'!$P$45),'Bonding Program'!$O$45,0)-IF(AND('Bonding Program'!$R$45&lt;&gt;"",CX$3='Bonding Program'!$R$45),'Bonding Program'!$Q$45,0),0)</f>
        <v>0</v>
      </c>
      <c r="CY186" s="19" t="n">
        <f aca="false">IF(AND('Bonding Program'!$S$45=1,CY$3='Bonding Program'!$H$45),'Bonding Program'!$AA$45,0)-IF(CY$3&lt;='Bonding Program'!$C$8,IF(AND('Bonding Program'!$K$45&lt;&gt;"",CY$3='Bonding Program'!$K$45),'Bonding Program'!$J$45,0)-IF(AND('Bonding Program'!$M$45&lt;&gt;"",CY$3='Bonding Program'!$M$45),'Bonding Program'!$L$45,0)-IF(AND('Bonding Program'!$P$45&lt;&gt;"",CY$3='Bonding Program'!$P$45),'Bonding Program'!$O$45,0)-IF(AND('Bonding Program'!$R$45&lt;&gt;"",CY$3='Bonding Program'!$R$45),'Bonding Program'!$Q$45,0),0)</f>
        <v>0</v>
      </c>
      <c r="CZ186" s="19" t="n">
        <f aca="false">IF(AND('Bonding Program'!$S$45=1,CZ$3='Bonding Program'!$H$45),'Bonding Program'!$AA$45,0)-IF(CZ$3&lt;='Bonding Program'!$C$8,IF(AND('Bonding Program'!$K$45&lt;&gt;"",CZ$3='Bonding Program'!$K$45),'Bonding Program'!$J$45,0)-IF(AND('Bonding Program'!$M$45&lt;&gt;"",CZ$3='Bonding Program'!$M$45),'Bonding Program'!$L$45,0)-IF(AND('Bonding Program'!$P$45&lt;&gt;"",CZ$3='Bonding Program'!$P$45),'Bonding Program'!$O$45,0)-IF(AND('Bonding Program'!$R$45&lt;&gt;"",CZ$3='Bonding Program'!$R$45),'Bonding Program'!$Q$45,0),0)</f>
        <v>0</v>
      </c>
      <c r="DA186" s="19" t="n">
        <f aca="false">IF(AND('Bonding Program'!$S$45=1,DA$3='Bonding Program'!$H$45),'Bonding Program'!$AA$45,0)-IF(DA$3&lt;='Bonding Program'!$C$8,IF(AND('Bonding Program'!$K$45&lt;&gt;"",DA$3='Bonding Program'!$K$45),'Bonding Program'!$J$45,0)-IF(AND('Bonding Program'!$M$45&lt;&gt;"",DA$3='Bonding Program'!$M$45),'Bonding Program'!$L$45,0)-IF(AND('Bonding Program'!$P$45&lt;&gt;"",DA$3='Bonding Program'!$P$45),'Bonding Program'!$O$45,0)-IF(AND('Bonding Program'!$R$45&lt;&gt;"",DA$3='Bonding Program'!$R$45),'Bonding Program'!$Q$45,0),0)</f>
        <v>0</v>
      </c>
      <c r="DB186" s="19" t="n">
        <f aca="false">IF(AND('Bonding Program'!$S$45=1,DB$3='Bonding Program'!$H$45),'Bonding Program'!$AA$45,0)-IF(DB$3&lt;='Bonding Program'!$C$8,IF(AND('Bonding Program'!$K$45&lt;&gt;"",DB$3='Bonding Program'!$K$45),'Bonding Program'!$J$45,0)-IF(AND('Bonding Program'!$M$45&lt;&gt;"",DB$3='Bonding Program'!$M$45),'Bonding Program'!$L$45,0)-IF(AND('Bonding Program'!$P$45&lt;&gt;"",DB$3='Bonding Program'!$P$45),'Bonding Program'!$O$45,0)-IF(AND('Bonding Program'!$R$45&lt;&gt;"",DB$3='Bonding Program'!$R$45),'Bonding Program'!$Q$45,0),0)</f>
        <v>0</v>
      </c>
      <c r="DC186" s="19" t="n">
        <f aca="false">IF(AND('Bonding Program'!$S$45=1,DC$3='Bonding Program'!$H$45),'Bonding Program'!$AA$45,0)-IF(DC$3&lt;='Bonding Program'!$C$8,IF(AND('Bonding Program'!$K$45&lt;&gt;"",DC$3='Bonding Program'!$K$45),'Bonding Program'!$J$45,0)-IF(AND('Bonding Program'!$M$45&lt;&gt;"",DC$3='Bonding Program'!$M$45),'Bonding Program'!$L$45,0)-IF(AND('Bonding Program'!$P$45&lt;&gt;"",DC$3='Bonding Program'!$P$45),'Bonding Program'!$O$45,0)-IF(AND('Bonding Program'!$R$45&lt;&gt;"",DC$3='Bonding Program'!$R$45),'Bonding Program'!$Q$45,0),0)</f>
        <v>0</v>
      </c>
      <c r="DD186" s="19" t="n">
        <f aca="false">IF(AND('Bonding Program'!$S$45=1,DD$3='Bonding Program'!$H$45),'Bonding Program'!$AA$45,0)-IF(DD$3&lt;='Bonding Program'!$C$8,IF(AND('Bonding Program'!$K$45&lt;&gt;"",DD$3='Bonding Program'!$K$45),'Bonding Program'!$J$45,0)-IF(AND('Bonding Program'!$M$45&lt;&gt;"",DD$3='Bonding Program'!$M$45),'Bonding Program'!$L$45,0)-IF(AND('Bonding Program'!$P$45&lt;&gt;"",DD$3='Bonding Program'!$P$45),'Bonding Program'!$O$45,0)-IF(AND('Bonding Program'!$R$45&lt;&gt;"",DD$3='Bonding Program'!$R$45),'Bonding Program'!$Q$45,0),0)</f>
        <v>0</v>
      </c>
      <c r="DE186" s="19" t="n">
        <f aca="false">IF(AND('Bonding Program'!$S$45=1,DE$3='Bonding Program'!$H$45),'Bonding Program'!$AA$45,0)-IF(DE$3&lt;='Bonding Program'!$C$8,IF(AND('Bonding Program'!$K$45&lt;&gt;"",DE$3='Bonding Program'!$K$45),'Bonding Program'!$J$45,0)-IF(AND('Bonding Program'!$M$45&lt;&gt;"",DE$3='Bonding Program'!$M$45),'Bonding Program'!$L$45,0)-IF(AND('Bonding Program'!$P$45&lt;&gt;"",DE$3='Bonding Program'!$P$45),'Bonding Program'!$O$45,0)-IF(AND('Bonding Program'!$R$45&lt;&gt;"",DE$3='Bonding Program'!$R$45),'Bonding Program'!$Q$45,0),0)</f>
        <v>0</v>
      </c>
    </row>
    <row r="187" customFormat="false" ht="15" hidden="false" customHeight="true" outlineLevel="1" collapsed="false">
      <c r="A187" s="28" t="s">
        <v>42</v>
      </c>
      <c r="B187" s="19" t="n">
        <f aca="false">IF(AND('Bonding Program'!$S$46=1,B$3='Bonding Program'!$H$46),'Bonding Program'!$AA$46,0)-IF(B$3&lt;='Bonding Program'!$C$8,IF(AND('Bonding Program'!$K$46&lt;&gt;"",B$3='Bonding Program'!$K$46),'Bonding Program'!$J$46,0)-IF(AND('Bonding Program'!$M$46&lt;&gt;"",B$3='Bonding Program'!$M$46),'Bonding Program'!$L$46,0)-IF(AND('Bonding Program'!$P$46&lt;&gt;"",B$3='Bonding Program'!$P$46),'Bonding Program'!$O$46,0)-IF(AND('Bonding Program'!$R$46&lt;&gt;"",B$3='Bonding Program'!$R$46),'Bonding Program'!$Q$46,0),0)</f>
        <v>0</v>
      </c>
      <c r="C187" s="19" t="n">
        <f aca="false">IF(AND('Bonding Program'!$S$46=1,C$3='Bonding Program'!$H$46),'Bonding Program'!$AA$46,0)-IF(C$3&lt;='Bonding Program'!$C$8,IF(AND('Bonding Program'!$K$46&lt;&gt;"",C$3='Bonding Program'!$K$46),'Bonding Program'!$J$46,0)-IF(AND('Bonding Program'!$M$46&lt;&gt;"",C$3='Bonding Program'!$M$46),'Bonding Program'!$L$46,0)-IF(AND('Bonding Program'!$P$46&lt;&gt;"",C$3='Bonding Program'!$P$46),'Bonding Program'!$O$46,0)-IF(AND('Bonding Program'!$R$46&lt;&gt;"",C$3='Bonding Program'!$R$46),'Bonding Program'!$Q$46,0),0)</f>
        <v>0</v>
      </c>
      <c r="D187" s="19" t="n">
        <f aca="false">IF(AND('Bonding Program'!$S$46=1,D$3='Bonding Program'!$H$46),'Bonding Program'!$AA$46,0)-IF(D$3&lt;='Bonding Program'!$C$8,IF(AND('Bonding Program'!$K$46&lt;&gt;"",D$3='Bonding Program'!$K$46),'Bonding Program'!$J$46,0)-IF(AND('Bonding Program'!$M$46&lt;&gt;"",D$3='Bonding Program'!$M$46),'Bonding Program'!$L$46,0)-IF(AND('Bonding Program'!$P$46&lt;&gt;"",D$3='Bonding Program'!$P$46),'Bonding Program'!$O$46,0)-IF(AND('Bonding Program'!$R$46&lt;&gt;"",D$3='Bonding Program'!$R$46),'Bonding Program'!$Q$46,0),0)</f>
        <v>0</v>
      </c>
      <c r="E187" s="19" t="n">
        <f aca="false">IF(AND('Bonding Program'!$S$46=1,E$3='Bonding Program'!$H$46),'Bonding Program'!$AA$46,0)-IF(E$3&lt;='Bonding Program'!$C$8,IF(AND('Bonding Program'!$K$46&lt;&gt;"",E$3='Bonding Program'!$K$46),'Bonding Program'!$J$46,0)-IF(AND('Bonding Program'!$M$46&lt;&gt;"",E$3='Bonding Program'!$M$46),'Bonding Program'!$L$46,0)-IF(AND('Bonding Program'!$P$46&lt;&gt;"",E$3='Bonding Program'!$P$46),'Bonding Program'!$O$46,0)-IF(AND('Bonding Program'!$R$46&lt;&gt;"",E$3='Bonding Program'!$R$46),'Bonding Program'!$Q$46,0),0)</f>
        <v>0</v>
      </c>
      <c r="F187" s="19" t="n">
        <f aca="false">IF(AND('Bonding Program'!$S$46=1,F$3='Bonding Program'!$H$46),'Bonding Program'!$AA$46,0)-IF(F$3&lt;='Bonding Program'!$C$8,IF(AND('Bonding Program'!$K$46&lt;&gt;"",F$3='Bonding Program'!$K$46),'Bonding Program'!$J$46,0)-IF(AND('Bonding Program'!$M$46&lt;&gt;"",F$3='Bonding Program'!$M$46),'Bonding Program'!$L$46,0)-IF(AND('Bonding Program'!$P$46&lt;&gt;"",F$3='Bonding Program'!$P$46),'Bonding Program'!$O$46,0)-IF(AND('Bonding Program'!$R$46&lt;&gt;"",F$3='Bonding Program'!$R$46),'Bonding Program'!$Q$46,0),0)</f>
        <v>0</v>
      </c>
      <c r="G187" s="19" t="n">
        <f aca="false">IF(AND('Bonding Program'!$S$46=1,G$3='Bonding Program'!$H$46),'Bonding Program'!$AA$46,0)-IF(G$3&lt;='Bonding Program'!$C$8,IF(AND('Bonding Program'!$K$46&lt;&gt;"",G$3='Bonding Program'!$K$46),'Bonding Program'!$J$46,0)-IF(AND('Bonding Program'!$M$46&lt;&gt;"",G$3='Bonding Program'!$M$46),'Bonding Program'!$L$46,0)-IF(AND('Bonding Program'!$P$46&lt;&gt;"",G$3='Bonding Program'!$P$46),'Bonding Program'!$O$46,0)-IF(AND('Bonding Program'!$R$46&lt;&gt;"",G$3='Bonding Program'!$R$46),'Bonding Program'!$Q$46,0),0)</f>
        <v>0</v>
      </c>
      <c r="H187" s="19" t="n">
        <f aca="false">IF(AND('Bonding Program'!$S$46=1,H$3='Bonding Program'!$H$46),'Bonding Program'!$AA$46,0)-IF(H$3&lt;='Bonding Program'!$C$8,IF(AND('Bonding Program'!$K$46&lt;&gt;"",H$3='Bonding Program'!$K$46),'Bonding Program'!$J$46,0)-IF(AND('Bonding Program'!$M$46&lt;&gt;"",H$3='Bonding Program'!$M$46),'Bonding Program'!$L$46,0)-IF(AND('Bonding Program'!$P$46&lt;&gt;"",H$3='Bonding Program'!$P$46),'Bonding Program'!$O$46,0)-IF(AND('Bonding Program'!$R$46&lt;&gt;"",H$3='Bonding Program'!$R$46),'Bonding Program'!$Q$46,0),0)</f>
        <v>0</v>
      </c>
      <c r="I187" s="19" t="n">
        <f aca="false">IF(AND('Bonding Program'!$S$46=1,I$3='Bonding Program'!$H$46),'Bonding Program'!$AA$46,0)-IF(I$3&lt;='Bonding Program'!$C$8,IF(AND('Bonding Program'!$K$46&lt;&gt;"",I$3='Bonding Program'!$K$46),'Bonding Program'!$J$46,0)-IF(AND('Bonding Program'!$M$46&lt;&gt;"",I$3='Bonding Program'!$M$46),'Bonding Program'!$L$46,0)-IF(AND('Bonding Program'!$P$46&lt;&gt;"",I$3='Bonding Program'!$P$46),'Bonding Program'!$O$46,0)-IF(AND('Bonding Program'!$R$46&lt;&gt;"",I$3='Bonding Program'!$R$46),'Bonding Program'!$Q$46,0),0)</f>
        <v>0</v>
      </c>
      <c r="J187" s="19" t="n">
        <f aca="false">IF(AND('Bonding Program'!$S$46=1,J$3='Bonding Program'!$H$46),'Bonding Program'!$AA$46,0)-IF(J$3&lt;='Bonding Program'!$C$8,IF(AND('Bonding Program'!$K$46&lt;&gt;"",J$3='Bonding Program'!$K$46),'Bonding Program'!$J$46,0)-IF(AND('Bonding Program'!$M$46&lt;&gt;"",J$3='Bonding Program'!$M$46),'Bonding Program'!$L$46,0)-IF(AND('Bonding Program'!$P$46&lt;&gt;"",J$3='Bonding Program'!$P$46),'Bonding Program'!$O$46,0)-IF(AND('Bonding Program'!$R$46&lt;&gt;"",J$3='Bonding Program'!$R$46),'Bonding Program'!$Q$46,0),0)</f>
        <v>0</v>
      </c>
      <c r="K187" s="19" t="n">
        <f aca="false">IF(AND('Bonding Program'!$S$46=1,K$3='Bonding Program'!$H$46),'Bonding Program'!$AA$46,0)-IF(K$3&lt;='Bonding Program'!$C$8,IF(AND('Bonding Program'!$K$46&lt;&gt;"",K$3='Bonding Program'!$K$46),'Bonding Program'!$J$46,0)-IF(AND('Bonding Program'!$M$46&lt;&gt;"",K$3='Bonding Program'!$M$46),'Bonding Program'!$L$46,0)-IF(AND('Bonding Program'!$P$46&lt;&gt;"",K$3='Bonding Program'!$P$46),'Bonding Program'!$O$46,0)-IF(AND('Bonding Program'!$R$46&lt;&gt;"",K$3='Bonding Program'!$R$46),'Bonding Program'!$Q$46,0),0)</f>
        <v>0</v>
      </c>
      <c r="L187" s="19" t="n">
        <f aca="false">IF(AND('Bonding Program'!$S$46=1,L$3='Bonding Program'!$H$46),'Bonding Program'!$AA$46,0)-IF(L$3&lt;='Bonding Program'!$C$8,IF(AND('Bonding Program'!$K$46&lt;&gt;"",L$3='Bonding Program'!$K$46),'Bonding Program'!$J$46,0)-IF(AND('Bonding Program'!$M$46&lt;&gt;"",L$3='Bonding Program'!$M$46),'Bonding Program'!$L$46,0)-IF(AND('Bonding Program'!$P$46&lt;&gt;"",L$3='Bonding Program'!$P$46),'Bonding Program'!$O$46,0)-IF(AND('Bonding Program'!$R$46&lt;&gt;"",L$3='Bonding Program'!$R$46),'Bonding Program'!$Q$46,0),0)</f>
        <v>0</v>
      </c>
      <c r="M187" s="19" t="n">
        <f aca="false">IF(AND('Bonding Program'!$S$46=1,M$3='Bonding Program'!$H$46),'Bonding Program'!$AA$46,0)-IF(M$3&lt;='Bonding Program'!$C$8,IF(AND('Bonding Program'!$K$46&lt;&gt;"",M$3='Bonding Program'!$K$46),'Bonding Program'!$J$46,0)-IF(AND('Bonding Program'!$M$46&lt;&gt;"",M$3='Bonding Program'!$M$46),'Bonding Program'!$L$46,0)-IF(AND('Bonding Program'!$P$46&lt;&gt;"",M$3='Bonding Program'!$P$46),'Bonding Program'!$O$46,0)-IF(AND('Bonding Program'!$R$46&lt;&gt;"",M$3='Bonding Program'!$R$46),'Bonding Program'!$Q$46,0),0)</f>
        <v>0</v>
      </c>
      <c r="N187" s="19" t="n">
        <f aca="false">IF(AND('Bonding Program'!$S$46=1,N$3='Bonding Program'!$H$46),'Bonding Program'!$AA$46,0)-IF(N$3&lt;='Bonding Program'!$C$8,IF(AND('Bonding Program'!$K$46&lt;&gt;"",N$3='Bonding Program'!$K$46),'Bonding Program'!$J$46,0)-IF(AND('Bonding Program'!$M$46&lt;&gt;"",N$3='Bonding Program'!$M$46),'Bonding Program'!$L$46,0)-IF(AND('Bonding Program'!$P$46&lt;&gt;"",N$3='Bonding Program'!$P$46),'Bonding Program'!$O$46,0)-IF(AND('Bonding Program'!$R$46&lt;&gt;"",N$3='Bonding Program'!$R$46),'Bonding Program'!$Q$46,0),0)</f>
        <v>0</v>
      </c>
      <c r="O187" s="19" t="n">
        <f aca="false">IF(AND('Bonding Program'!$S$46=1,O$3='Bonding Program'!$H$46),'Bonding Program'!$AA$46,0)-IF(O$3&lt;='Bonding Program'!$C$8,IF(AND('Bonding Program'!$K$46&lt;&gt;"",O$3='Bonding Program'!$K$46),'Bonding Program'!$J$46,0)-IF(AND('Bonding Program'!$M$46&lt;&gt;"",O$3='Bonding Program'!$M$46),'Bonding Program'!$L$46,0)-IF(AND('Bonding Program'!$P$46&lt;&gt;"",O$3='Bonding Program'!$P$46),'Bonding Program'!$O$46,0)-IF(AND('Bonding Program'!$R$46&lt;&gt;"",O$3='Bonding Program'!$R$46),'Bonding Program'!$Q$46,0),0)</f>
        <v>0</v>
      </c>
      <c r="P187" s="19" t="n">
        <f aca="false">IF(AND('Bonding Program'!$S$46=1,P$3='Bonding Program'!$H$46),'Bonding Program'!$AA$46,0)-IF(P$3&lt;='Bonding Program'!$C$8,IF(AND('Bonding Program'!$K$46&lt;&gt;"",P$3='Bonding Program'!$K$46),'Bonding Program'!$J$46,0)-IF(AND('Bonding Program'!$M$46&lt;&gt;"",P$3='Bonding Program'!$M$46),'Bonding Program'!$L$46,0)-IF(AND('Bonding Program'!$P$46&lt;&gt;"",P$3='Bonding Program'!$P$46),'Bonding Program'!$O$46,0)-IF(AND('Bonding Program'!$R$46&lt;&gt;"",P$3='Bonding Program'!$R$46),'Bonding Program'!$Q$46,0),0)</f>
        <v>0</v>
      </c>
      <c r="Q187" s="19" t="n">
        <f aca="false">IF(AND('Bonding Program'!$S$46=1,Q$3='Bonding Program'!$H$46),'Bonding Program'!$AA$46,0)-IF(Q$3&lt;='Bonding Program'!$C$8,IF(AND('Bonding Program'!$K$46&lt;&gt;"",Q$3='Bonding Program'!$K$46),'Bonding Program'!$J$46,0)-IF(AND('Bonding Program'!$M$46&lt;&gt;"",Q$3='Bonding Program'!$M$46),'Bonding Program'!$L$46,0)-IF(AND('Bonding Program'!$P$46&lt;&gt;"",Q$3='Bonding Program'!$P$46),'Bonding Program'!$O$46,0)-IF(AND('Bonding Program'!$R$46&lt;&gt;"",Q$3='Bonding Program'!$R$46),'Bonding Program'!$Q$46,0),0)</f>
        <v>0</v>
      </c>
      <c r="R187" s="19" t="n">
        <f aca="false">IF(AND('Bonding Program'!$S$46=1,R$3='Bonding Program'!$H$46),'Bonding Program'!$AA$46,0)-IF(R$3&lt;='Bonding Program'!$C$8,IF(AND('Bonding Program'!$K$46&lt;&gt;"",R$3='Bonding Program'!$K$46),'Bonding Program'!$J$46,0)-IF(AND('Bonding Program'!$M$46&lt;&gt;"",R$3='Bonding Program'!$M$46),'Bonding Program'!$L$46,0)-IF(AND('Bonding Program'!$P$46&lt;&gt;"",R$3='Bonding Program'!$P$46),'Bonding Program'!$O$46,0)-IF(AND('Bonding Program'!$R$46&lt;&gt;"",R$3='Bonding Program'!$R$46),'Bonding Program'!$Q$46,0),0)</f>
        <v>0</v>
      </c>
      <c r="S187" s="19" t="n">
        <f aca="false">IF(AND('Bonding Program'!$S$46=1,S$3='Bonding Program'!$H$46),'Bonding Program'!$AA$46,0)-IF(S$3&lt;='Bonding Program'!$C$8,IF(AND('Bonding Program'!$K$46&lt;&gt;"",S$3='Bonding Program'!$K$46),'Bonding Program'!$J$46,0)-IF(AND('Bonding Program'!$M$46&lt;&gt;"",S$3='Bonding Program'!$M$46),'Bonding Program'!$L$46,0)-IF(AND('Bonding Program'!$P$46&lt;&gt;"",S$3='Bonding Program'!$P$46),'Bonding Program'!$O$46,0)-IF(AND('Bonding Program'!$R$46&lt;&gt;"",S$3='Bonding Program'!$R$46),'Bonding Program'!$Q$46,0),0)</f>
        <v>0</v>
      </c>
      <c r="T187" s="19" t="n">
        <f aca="false">IF(AND('Bonding Program'!$S$46=1,T$3='Bonding Program'!$H$46),'Bonding Program'!$AA$46,0)-IF(T$3&lt;='Bonding Program'!$C$8,IF(AND('Bonding Program'!$K$46&lt;&gt;"",T$3='Bonding Program'!$K$46),'Bonding Program'!$J$46,0)-IF(AND('Bonding Program'!$M$46&lt;&gt;"",T$3='Bonding Program'!$M$46),'Bonding Program'!$L$46,0)-IF(AND('Bonding Program'!$P$46&lt;&gt;"",T$3='Bonding Program'!$P$46),'Bonding Program'!$O$46,0)-IF(AND('Bonding Program'!$R$46&lt;&gt;"",T$3='Bonding Program'!$R$46),'Bonding Program'!$Q$46,0),0)</f>
        <v>0</v>
      </c>
      <c r="U187" s="19" t="n">
        <f aca="false">IF(AND('Bonding Program'!$S$46=1,U$3='Bonding Program'!$H$46),'Bonding Program'!$AA$46,0)-IF(U$3&lt;='Bonding Program'!$C$8,IF(AND('Bonding Program'!$K$46&lt;&gt;"",U$3='Bonding Program'!$K$46),'Bonding Program'!$J$46,0)-IF(AND('Bonding Program'!$M$46&lt;&gt;"",U$3='Bonding Program'!$M$46),'Bonding Program'!$L$46,0)-IF(AND('Bonding Program'!$P$46&lt;&gt;"",U$3='Bonding Program'!$P$46),'Bonding Program'!$O$46,0)-IF(AND('Bonding Program'!$R$46&lt;&gt;"",U$3='Bonding Program'!$R$46),'Bonding Program'!$Q$46,0),0)</f>
        <v>0</v>
      </c>
      <c r="V187" s="19" t="n">
        <f aca="false">IF(AND('Bonding Program'!$S$46=1,V$3='Bonding Program'!$H$46),'Bonding Program'!$AA$46,0)-IF(V$3&lt;='Bonding Program'!$C$8,IF(AND('Bonding Program'!$K$46&lt;&gt;"",V$3='Bonding Program'!$K$46),'Bonding Program'!$J$46,0)-IF(AND('Bonding Program'!$M$46&lt;&gt;"",V$3='Bonding Program'!$M$46),'Bonding Program'!$L$46,0)-IF(AND('Bonding Program'!$P$46&lt;&gt;"",V$3='Bonding Program'!$P$46),'Bonding Program'!$O$46,0)-IF(AND('Bonding Program'!$R$46&lt;&gt;"",V$3='Bonding Program'!$R$46),'Bonding Program'!$Q$46,0),0)</f>
        <v>0</v>
      </c>
      <c r="W187" s="19" t="n">
        <f aca="false">IF(AND('Bonding Program'!$S$46=1,W$3='Bonding Program'!$H$46),'Bonding Program'!$AA$46,0)-IF(W$3&lt;='Bonding Program'!$C$8,IF(AND('Bonding Program'!$K$46&lt;&gt;"",W$3='Bonding Program'!$K$46),'Bonding Program'!$J$46,0)-IF(AND('Bonding Program'!$M$46&lt;&gt;"",W$3='Bonding Program'!$M$46),'Bonding Program'!$L$46,0)-IF(AND('Bonding Program'!$P$46&lt;&gt;"",W$3='Bonding Program'!$P$46),'Bonding Program'!$O$46,0)-IF(AND('Bonding Program'!$R$46&lt;&gt;"",W$3='Bonding Program'!$R$46),'Bonding Program'!$Q$46,0),0)</f>
        <v>0</v>
      </c>
      <c r="X187" s="19" t="n">
        <f aca="false">IF(AND('Bonding Program'!$S$46=1,X$3='Bonding Program'!$H$46),'Bonding Program'!$AA$46,0)-IF(X$3&lt;='Bonding Program'!$C$8,IF(AND('Bonding Program'!$K$46&lt;&gt;"",X$3='Bonding Program'!$K$46),'Bonding Program'!$J$46,0)-IF(AND('Bonding Program'!$M$46&lt;&gt;"",X$3='Bonding Program'!$M$46),'Bonding Program'!$L$46,0)-IF(AND('Bonding Program'!$P$46&lt;&gt;"",X$3='Bonding Program'!$P$46),'Bonding Program'!$O$46,0)-IF(AND('Bonding Program'!$R$46&lt;&gt;"",X$3='Bonding Program'!$R$46),'Bonding Program'!$Q$46,0),0)</f>
        <v>0</v>
      </c>
      <c r="Y187" s="19" t="n">
        <f aca="false">IF(AND('Bonding Program'!$S$46=1,Y$3='Bonding Program'!$H$46),'Bonding Program'!$AA$46,0)-IF(Y$3&lt;='Bonding Program'!$C$8,IF(AND('Bonding Program'!$K$46&lt;&gt;"",Y$3='Bonding Program'!$K$46),'Bonding Program'!$J$46,0)-IF(AND('Bonding Program'!$M$46&lt;&gt;"",Y$3='Bonding Program'!$M$46),'Bonding Program'!$L$46,0)-IF(AND('Bonding Program'!$P$46&lt;&gt;"",Y$3='Bonding Program'!$P$46),'Bonding Program'!$O$46,0)-IF(AND('Bonding Program'!$R$46&lt;&gt;"",Y$3='Bonding Program'!$R$46),'Bonding Program'!$Q$46,0),0)</f>
        <v>0</v>
      </c>
      <c r="Z187" s="19" t="n">
        <f aca="false">IF(AND('Bonding Program'!$S$46=1,Z$3='Bonding Program'!$H$46),'Bonding Program'!$AA$46,0)-IF(Z$3&lt;='Bonding Program'!$C$8,IF(AND('Bonding Program'!$K$46&lt;&gt;"",Z$3='Bonding Program'!$K$46),'Bonding Program'!$J$46,0)-IF(AND('Bonding Program'!$M$46&lt;&gt;"",Z$3='Bonding Program'!$M$46),'Bonding Program'!$L$46,0)-IF(AND('Bonding Program'!$P$46&lt;&gt;"",Z$3='Bonding Program'!$P$46),'Bonding Program'!$O$46,0)-IF(AND('Bonding Program'!$R$46&lt;&gt;"",Z$3='Bonding Program'!$R$46),'Bonding Program'!$Q$46,0),0)</f>
        <v>0</v>
      </c>
      <c r="AA187" s="19" t="n">
        <f aca="false">IF(AND('Bonding Program'!$S$46=1,AA$3='Bonding Program'!$H$46),'Bonding Program'!$AA$46,0)-IF(AA$3&lt;='Bonding Program'!$C$8,IF(AND('Bonding Program'!$K$46&lt;&gt;"",AA$3='Bonding Program'!$K$46),'Bonding Program'!$J$46,0)-IF(AND('Bonding Program'!$M$46&lt;&gt;"",AA$3='Bonding Program'!$M$46),'Bonding Program'!$L$46,0)-IF(AND('Bonding Program'!$P$46&lt;&gt;"",AA$3='Bonding Program'!$P$46),'Bonding Program'!$O$46,0)-IF(AND('Bonding Program'!$R$46&lt;&gt;"",AA$3='Bonding Program'!$R$46),'Bonding Program'!$Q$46,0),0)</f>
        <v>0</v>
      </c>
      <c r="AB187" s="19" t="n">
        <f aca="false">IF(AND('Bonding Program'!$S$46=1,AB$3='Bonding Program'!$H$46),'Bonding Program'!$AA$46,0)-IF(AB$3&lt;='Bonding Program'!$C$8,IF(AND('Bonding Program'!$K$46&lt;&gt;"",AB$3='Bonding Program'!$K$46),'Bonding Program'!$J$46,0)-IF(AND('Bonding Program'!$M$46&lt;&gt;"",AB$3='Bonding Program'!$M$46),'Bonding Program'!$L$46,0)-IF(AND('Bonding Program'!$P$46&lt;&gt;"",AB$3='Bonding Program'!$P$46),'Bonding Program'!$O$46,0)-IF(AND('Bonding Program'!$R$46&lt;&gt;"",AB$3='Bonding Program'!$R$46),'Bonding Program'!$Q$46,0),0)</f>
        <v>0</v>
      </c>
      <c r="AC187" s="19" t="n">
        <f aca="false">IF(AND('Bonding Program'!$S$46=1,AC$3='Bonding Program'!$H$46),'Bonding Program'!$AA$46,0)-IF(AC$3&lt;='Bonding Program'!$C$8,IF(AND('Bonding Program'!$K$46&lt;&gt;"",AC$3='Bonding Program'!$K$46),'Bonding Program'!$J$46,0)-IF(AND('Bonding Program'!$M$46&lt;&gt;"",AC$3='Bonding Program'!$M$46),'Bonding Program'!$L$46,0)-IF(AND('Bonding Program'!$P$46&lt;&gt;"",AC$3='Bonding Program'!$P$46),'Bonding Program'!$O$46,0)-IF(AND('Bonding Program'!$R$46&lt;&gt;"",AC$3='Bonding Program'!$R$46),'Bonding Program'!$Q$46,0),0)</f>
        <v>0</v>
      </c>
      <c r="AD187" s="19" t="n">
        <f aca="false">IF(AND('Bonding Program'!$S$46=1,AD$3='Bonding Program'!$H$46),'Bonding Program'!$AA$46,0)-IF(AD$3&lt;='Bonding Program'!$C$8,IF(AND('Bonding Program'!$K$46&lt;&gt;"",AD$3='Bonding Program'!$K$46),'Bonding Program'!$J$46,0)-IF(AND('Bonding Program'!$M$46&lt;&gt;"",AD$3='Bonding Program'!$M$46),'Bonding Program'!$L$46,0)-IF(AND('Bonding Program'!$P$46&lt;&gt;"",AD$3='Bonding Program'!$P$46),'Bonding Program'!$O$46,0)-IF(AND('Bonding Program'!$R$46&lt;&gt;"",AD$3='Bonding Program'!$R$46),'Bonding Program'!$Q$46,0),0)</f>
        <v>0</v>
      </c>
      <c r="AE187" s="19" t="n">
        <f aca="false">IF(AND('Bonding Program'!$S$46=1,AE$3='Bonding Program'!$H$46),'Bonding Program'!$AA$46,0)-IF(AE$3&lt;='Bonding Program'!$C$8,IF(AND('Bonding Program'!$K$46&lt;&gt;"",AE$3='Bonding Program'!$K$46),'Bonding Program'!$J$46,0)-IF(AND('Bonding Program'!$M$46&lt;&gt;"",AE$3='Bonding Program'!$M$46),'Bonding Program'!$L$46,0)-IF(AND('Bonding Program'!$P$46&lt;&gt;"",AE$3='Bonding Program'!$P$46),'Bonding Program'!$O$46,0)-IF(AND('Bonding Program'!$R$46&lt;&gt;"",AE$3='Bonding Program'!$R$46),'Bonding Program'!$Q$46,0),0)</f>
        <v>0</v>
      </c>
      <c r="AF187" s="19" t="n">
        <f aca="false">IF(AND('Bonding Program'!$S$46=1,AF$3='Bonding Program'!$H$46),'Bonding Program'!$AA$46,0)-IF(AF$3&lt;='Bonding Program'!$C$8,IF(AND('Bonding Program'!$K$46&lt;&gt;"",AF$3='Bonding Program'!$K$46),'Bonding Program'!$J$46,0)-IF(AND('Bonding Program'!$M$46&lt;&gt;"",AF$3='Bonding Program'!$M$46),'Bonding Program'!$L$46,0)-IF(AND('Bonding Program'!$P$46&lt;&gt;"",AF$3='Bonding Program'!$P$46),'Bonding Program'!$O$46,0)-IF(AND('Bonding Program'!$R$46&lt;&gt;"",AF$3='Bonding Program'!$R$46),'Bonding Program'!$Q$46,0),0)</f>
        <v>0</v>
      </c>
      <c r="AG187" s="19" t="n">
        <f aca="false">IF(AND('Bonding Program'!$S$46=1,AG$3='Bonding Program'!$H$46),'Bonding Program'!$AA$46,0)-IF(AG$3&lt;='Bonding Program'!$C$8,IF(AND('Bonding Program'!$K$46&lt;&gt;"",AG$3='Bonding Program'!$K$46),'Bonding Program'!$J$46,0)-IF(AND('Bonding Program'!$M$46&lt;&gt;"",AG$3='Bonding Program'!$M$46),'Bonding Program'!$L$46,0)-IF(AND('Bonding Program'!$P$46&lt;&gt;"",AG$3='Bonding Program'!$P$46),'Bonding Program'!$O$46,0)-IF(AND('Bonding Program'!$R$46&lt;&gt;"",AG$3='Bonding Program'!$R$46),'Bonding Program'!$Q$46,0),0)</f>
        <v>0</v>
      </c>
      <c r="AH187" s="19" t="n">
        <f aca="false">IF(AND('Bonding Program'!$S$46=1,AH$3='Bonding Program'!$H$46),'Bonding Program'!$AA$46,0)-IF(AH$3&lt;='Bonding Program'!$C$8,IF(AND('Bonding Program'!$K$46&lt;&gt;"",AH$3='Bonding Program'!$K$46),'Bonding Program'!$J$46,0)-IF(AND('Bonding Program'!$M$46&lt;&gt;"",AH$3='Bonding Program'!$M$46),'Bonding Program'!$L$46,0)-IF(AND('Bonding Program'!$P$46&lt;&gt;"",AH$3='Bonding Program'!$P$46),'Bonding Program'!$O$46,0)-IF(AND('Bonding Program'!$R$46&lt;&gt;"",AH$3='Bonding Program'!$R$46),'Bonding Program'!$Q$46,0),0)</f>
        <v>0</v>
      </c>
      <c r="AI187" s="19" t="n">
        <f aca="false">IF(AND('Bonding Program'!$S$46=1,AI$3='Bonding Program'!$H$46),'Bonding Program'!$AA$46,0)-IF(AI$3&lt;='Bonding Program'!$C$8,IF(AND('Bonding Program'!$K$46&lt;&gt;"",AI$3='Bonding Program'!$K$46),'Bonding Program'!$J$46,0)-IF(AND('Bonding Program'!$M$46&lt;&gt;"",AI$3='Bonding Program'!$M$46),'Bonding Program'!$L$46,0)-IF(AND('Bonding Program'!$P$46&lt;&gt;"",AI$3='Bonding Program'!$P$46),'Bonding Program'!$O$46,0)-IF(AND('Bonding Program'!$R$46&lt;&gt;"",AI$3='Bonding Program'!$R$46),'Bonding Program'!$Q$46,0),0)</f>
        <v>0</v>
      </c>
      <c r="AJ187" s="19" t="n">
        <f aca="false">IF(AND('Bonding Program'!$S$46=1,AJ$3='Bonding Program'!$H$46),'Bonding Program'!$AA$46,0)-IF(AJ$3&lt;='Bonding Program'!$C$8,IF(AND('Bonding Program'!$K$46&lt;&gt;"",AJ$3='Bonding Program'!$K$46),'Bonding Program'!$J$46,0)-IF(AND('Bonding Program'!$M$46&lt;&gt;"",AJ$3='Bonding Program'!$M$46),'Bonding Program'!$L$46,0)-IF(AND('Bonding Program'!$P$46&lt;&gt;"",AJ$3='Bonding Program'!$P$46),'Bonding Program'!$O$46,0)-IF(AND('Bonding Program'!$R$46&lt;&gt;"",AJ$3='Bonding Program'!$R$46),'Bonding Program'!$Q$46,0),0)</f>
        <v>0</v>
      </c>
      <c r="AK187" s="19" t="n">
        <f aca="false">IF(AND('Bonding Program'!$S$46=1,AK$3='Bonding Program'!$H$46),'Bonding Program'!$AA$46,0)-IF(AK$3&lt;='Bonding Program'!$C$8,IF(AND('Bonding Program'!$K$46&lt;&gt;"",AK$3='Bonding Program'!$K$46),'Bonding Program'!$J$46,0)-IF(AND('Bonding Program'!$M$46&lt;&gt;"",AK$3='Bonding Program'!$M$46),'Bonding Program'!$L$46,0)-IF(AND('Bonding Program'!$P$46&lt;&gt;"",AK$3='Bonding Program'!$P$46),'Bonding Program'!$O$46,0)-IF(AND('Bonding Program'!$R$46&lt;&gt;"",AK$3='Bonding Program'!$R$46),'Bonding Program'!$Q$46,0),0)</f>
        <v>0</v>
      </c>
      <c r="AL187" s="19" t="n">
        <f aca="false">IF(AND('Bonding Program'!$S$46=1,AL$3='Bonding Program'!$H$46),'Bonding Program'!$AA$46,0)-IF(AL$3&lt;='Bonding Program'!$C$8,IF(AND('Bonding Program'!$K$46&lt;&gt;"",AL$3='Bonding Program'!$K$46),'Bonding Program'!$J$46,0)-IF(AND('Bonding Program'!$M$46&lt;&gt;"",AL$3='Bonding Program'!$M$46),'Bonding Program'!$L$46,0)-IF(AND('Bonding Program'!$P$46&lt;&gt;"",AL$3='Bonding Program'!$P$46),'Bonding Program'!$O$46,0)-IF(AND('Bonding Program'!$R$46&lt;&gt;"",AL$3='Bonding Program'!$R$46),'Bonding Program'!$Q$46,0),0)</f>
        <v>0</v>
      </c>
      <c r="AM187" s="19" t="n">
        <f aca="false">IF(AND('Bonding Program'!$S$46=1,AM$3='Bonding Program'!$H$46),'Bonding Program'!$AA$46,0)-IF(AM$3&lt;='Bonding Program'!$C$8,IF(AND('Bonding Program'!$K$46&lt;&gt;"",AM$3='Bonding Program'!$K$46),'Bonding Program'!$J$46,0)-IF(AND('Bonding Program'!$M$46&lt;&gt;"",AM$3='Bonding Program'!$M$46),'Bonding Program'!$L$46,0)-IF(AND('Bonding Program'!$P$46&lt;&gt;"",AM$3='Bonding Program'!$P$46),'Bonding Program'!$O$46,0)-IF(AND('Bonding Program'!$R$46&lt;&gt;"",AM$3='Bonding Program'!$R$46),'Bonding Program'!$Q$46,0),0)</f>
        <v>0</v>
      </c>
      <c r="AN187" s="19" t="n">
        <f aca="false">IF(AND('Bonding Program'!$S$46=1,AN$3='Bonding Program'!$H$46),'Bonding Program'!$AA$46,0)-IF(AN$3&lt;='Bonding Program'!$C$8,IF(AND('Bonding Program'!$K$46&lt;&gt;"",AN$3='Bonding Program'!$K$46),'Bonding Program'!$J$46,0)-IF(AND('Bonding Program'!$M$46&lt;&gt;"",AN$3='Bonding Program'!$M$46),'Bonding Program'!$L$46,0)-IF(AND('Bonding Program'!$P$46&lt;&gt;"",AN$3='Bonding Program'!$P$46),'Bonding Program'!$O$46,0)-IF(AND('Bonding Program'!$R$46&lt;&gt;"",AN$3='Bonding Program'!$R$46),'Bonding Program'!$Q$46,0),0)</f>
        <v>0</v>
      </c>
      <c r="AO187" s="19" t="n">
        <f aca="false">IF(AND('Bonding Program'!$S$46=1,AO$3='Bonding Program'!$H$46),'Bonding Program'!$AA$46,0)-IF(AO$3&lt;='Bonding Program'!$C$8,IF(AND('Bonding Program'!$K$46&lt;&gt;"",AO$3='Bonding Program'!$K$46),'Bonding Program'!$J$46,0)-IF(AND('Bonding Program'!$M$46&lt;&gt;"",AO$3='Bonding Program'!$M$46),'Bonding Program'!$L$46,0)-IF(AND('Bonding Program'!$P$46&lt;&gt;"",AO$3='Bonding Program'!$P$46),'Bonding Program'!$O$46,0)-IF(AND('Bonding Program'!$R$46&lt;&gt;"",AO$3='Bonding Program'!$R$46),'Bonding Program'!$Q$46,0),0)</f>
        <v>0</v>
      </c>
      <c r="AP187" s="19" t="n">
        <f aca="false">IF(AND('Bonding Program'!$S$46=1,AP$3='Bonding Program'!$H$46),'Bonding Program'!$AA$46,0)-IF(AP$3&lt;='Bonding Program'!$C$8,IF(AND('Bonding Program'!$K$46&lt;&gt;"",AP$3='Bonding Program'!$K$46),'Bonding Program'!$J$46,0)-IF(AND('Bonding Program'!$M$46&lt;&gt;"",AP$3='Bonding Program'!$M$46),'Bonding Program'!$L$46,0)-IF(AND('Bonding Program'!$P$46&lt;&gt;"",AP$3='Bonding Program'!$P$46),'Bonding Program'!$O$46,0)-IF(AND('Bonding Program'!$R$46&lt;&gt;"",AP$3='Bonding Program'!$R$46),'Bonding Program'!$Q$46,0),0)</f>
        <v>0</v>
      </c>
      <c r="AQ187" s="19" t="n">
        <f aca="false">IF(AND('Bonding Program'!$S$46=1,AQ$3='Bonding Program'!$H$46),'Bonding Program'!$AA$46,0)-IF(AQ$3&lt;='Bonding Program'!$C$8,IF(AND('Bonding Program'!$K$46&lt;&gt;"",AQ$3='Bonding Program'!$K$46),'Bonding Program'!$J$46,0)-IF(AND('Bonding Program'!$M$46&lt;&gt;"",AQ$3='Bonding Program'!$M$46),'Bonding Program'!$L$46,0)-IF(AND('Bonding Program'!$P$46&lt;&gt;"",AQ$3='Bonding Program'!$P$46),'Bonding Program'!$O$46,0)-IF(AND('Bonding Program'!$R$46&lt;&gt;"",AQ$3='Bonding Program'!$R$46),'Bonding Program'!$Q$46,0),0)</f>
        <v>0</v>
      </c>
      <c r="AR187" s="19" t="n">
        <f aca="false">IF(AND('Bonding Program'!$S$46=1,AR$3='Bonding Program'!$H$46),'Bonding Program'!$AA$46,0)-IF(AR$3&lt;='Bonding Program'!$C$8,IF(AND('Bonding Program'!$K$46&lt;&gt;"",AR$3='Bonding Program'!$K$46),'Bonding Program'!$J$46,0)-IF(AND('Bonding Program'!$M$46&lt;&gt;"",AR$3='Bonding Program'!$M$46),'Bonding Program'!$L$46,0)-IF(AND('Bonding Program'!$P$46&lt;&gt;"",AR$3='Bonding Program'!$P$46),'Bonding Program'!$O$46,0)-IF(AND('Bonding Program'!$R$46&lt;&gt;"",AR$3='Bonding Program'!$R$46),'Bonding Program'!$Q$46,0),0)</f>
        <v>0</v>
      </c>
      <c r="AS187" s="19" t="n">
        <f aca="false">IF(AND('Bonding Program'!$S$46=1,AS$3='Bonding Program'!$H$46),'Bonding Program'!$AA$46,0)-IF(AS$3&lt;='Bonding Program'!$C$8,IF(AND('Bonding Program'!$K$46&lt;&gt;"",AS$3='Bonding Program'!$K$46),'Bonding Program'!$J$46,0)-IF(AND('Bonding Program'!$M$46&lt;&gt;"",AS$3='Bonding Program'!$M$46),'Bonding Program'!$L$46,0)-IF(AND('Bonding Program'!$P$46&lt;&gt;"",AS$3='Bonding Program'!$P$46),'Bonding Program'!$O$46,0)-IF(AND('Bonding Program'!$R$46&lt;&gt;"",AS$3='Bonding Program'!$R$46),'Bonding Program'!$Q$46,0),0)</f>
        <v>0</v>
      </c>
      <c r="AT187" s="19" t="n">
        <f aca="false">IF(AND('Bonding Program'!$S$46=1,AT$3='Bonding Program'!$H$46),'Bonding Program'!$AA$46,0)-IF(AT$3&lt;='Bonding Program'!$C$8,IF(AND('Bonding Program'!$K$46&lt;&gt;"",AT$3='Bonding Program'!$K$46),'Bonding Program'!$J$46,0)-IF(AND('Bonding Program'!$M$46&lt;&gt;"",AT$3='Bonding Program'!$M$46),'Bonding Program'!$L$46,0)-IF(AND('Bonding Program'!$P$46&lt;&gt;"",AT$3='Bonding Program'!$P$46),'Bonding Program'!$O$46,0)-IF(AND('Bonding Program'!$R$46&lt;&gt;"",AT$3='Bonding Program'!$R$46),'Bonding Program'!$Q$46,0),0)</f>
        <v>0</v>
      </c>
      <c r="AU187" s="19" t="n">
        <f aca="false">IF(AND('Bonding Program'!$S$46=1,AU$3='Bonding Program'!$H$46),'Bonding Program'!$AA$46,0)-IF(AU$3&lt;='Bonding Program'!$C$8,IF(AND('Bonding Program'!$K$46&lt;&gt;"",AU$3='Bonding Program'!$K$46),'Bonding Program'!$J$46,0)-IF(AND('Bonding Program'!$M$46&lt;&gt;"",AU$3='Bonding Program'!$M$46),'Bonding Program'!$L$46,0)-IF(AND('Bonding Program'!$P$46&lt;&gt;"",AU$3='Bonding Program'!$P$46),'Bonding Program'!$O$46,0)-IF(AND('Bonding Program'!$R$46&lt;&gt;"",AU$3='Bonding Program'!$R$46),'Bonding Program'!$Q$46,0),0)</f>
        <v>0</v>
      </c>
      <c r="AV187" s="19" t="n">
        <f aca="false">IF(AND('Bonding Program'!$S$46=1,AV$3='Bonding Program'!$H$46),'Bonding Program'!$AA$46,0)-IF(AV$3&lt;='Bonding Program'!$C$8,IF(AND('Bonding Program'!$K$46&lt;&gt;"",AV$3='Bonding Program'!$K$46),'Bonding Program'!$J$46,0)-IF(AND('Bonding Program'!$M$46&lt;&gt;"",AV$3='Bonding Program'!$M$46),'Bonding Program'!$L$46,0)-IF(AND('Bonding Program'!$P$46&lt;&gt;"",AV$3='Bonding Program'!$P$46),'Bonding Program'!$O$46,0)-IF(AND('Bonding Program'!$R$46&lt;&gt;"",AV$3='Bonding Program'!$R$46),'Bonding Program'!$Q$46,0),0)</f>
        <v>0</v>
      </c>
      <c r="AW187" s="19" t="n">
        <f aca="false">IF(AND('Bonding Program'!$S$46=1,AW$3='Bonding Program'!$H$46),'Bonding Program'!$AA$46,0)-IF(AW$3&lt;='Bonding Program'!$C$8,IF(AND('Bonding Program'!$K$46&lt;&gt;"",AW$3='Bonding Program'!$K$46),'Bonding Program'!$J$46,0)-IF(AND('Bonding Program'!$M$46&lt;&gt;"",AW$3='Bonding Program'!$M$46),'Bonding Program'!$L$46,0)-IF(AND('Bonding Program'!$P$46&lt;&gt;"",AW$3='Bonding Program'!$P$46),'Bonding Program'!$O$46,0)-IF(AND('Bonding Program'!$R$46&lt;&gt;"",AW$3='Bonding Program'!$R$46),'Bonding Program'!$Q$46,0),0)</f>
        <v>0</v>
      </c>
      <c r="AX187" s="19" t="n">
        <f aca="false">IF(AND('Bonding Program'!$S$46=1,AX$3='Bonding Program'!$H$46),'Bonding Program'!$AA$46,0)-IF(AX$3&lt;='Bonding Program'!$C$8,IF(AND('Bonding Program'!$K$46&lt;&gt;"",AX$3='Bonding Program'!$K$46),'Bonding Program'!$J$46,0)-IF(AND('Bonding Program'!$M$46&lt;&gt;"",AX$3='Bonding Program'!$M$46),'Bonding Program'!$L$46,0)-IF(AND('Bonding Program'!$P$46&lt;&gt;"",AX$3='Bonding Program'!$P$46),'Bonding Program'!$O$46,0)-IF(AND('Bonding Program'!$R$46&lt;&gt;"",AX$3='Bonding Program'!$R$46),'Bonding Program'!$Q$46,0),0)</f>
        <v>0</v>
      </c>
      <c r="AY187" s="19" t="n">
        <f aca="false">IF(AND('Bonding Program'!$S$46=1,AY$3='Bonding Program'!$H$46),'Bonding Program'!$AA$46,0)-IF(AY$3&lt;='Bonding Program'!$C$8,IF(AND('Bonding Program'!$K$46&lt;&gt;"",AY$3='Bonding Program'!$K$46),'Bonding Program'!$J$46,0)-IF(AND('Bonding Program'!$M$46&lt;&gt;"",AY$3='Bonding Program'!$M$46),'Bonding Program'!$L$46,0)-IF(AND('Bonding Program'!$P$46&lt;&gt;"",AY$3='Bonding Program'!$P$46),'Bonding Program'!$O$46,0)-IF(AND('Bonding Program'!$R$46&lt;&gt;"",AY$3='Bonding Program'!$R$46),'Bonding Program'!$Q$46,0),0)</f>
        <v>0</v>
      </c>
      <c r="AZ187" s="19" t="n">
        <f aca="false">IF(AND('Bonding Program'!$S$46=1,AZ$3='Bonding Program'!$H$46),'Bonding Program'!$AA$46,0)-IF(AZ$3&lt;='Bonding Program'!$C$8,IF(AND('Bonding Program'!$K$46&lt;&gt;"",AZ$3='Bonding Program'!$K$46),'Bonding Program'!$J$46,0)-IF(AND('Bonding Program'!$M$46&lt;&gt;"",AZ$3='Bonding Program'!$M$46),'Bonding Program'!$L$46,0)-IF(AND('Bonding Program'!$P$46&lt;&gt;"",AZ$3='Bonding Program'!$P$46),'Bonding Program'!$O$46,0)-IF(AND('Bonding Program'!$R$46&lt;&gt;"",AZ$3='Bonding Program'!$R$46),'Bonding Program'!$Q$46,0),0)</f>
        <v>0</v>
      </c>
      <c r="BA187" s="19" t="n">
        <f aca="false">IF(AND('Bonding Program'!$S$46=1,BA$3='Bonding Program'!$H$46),'Bonding Program'!$AA$46,0)-IF(BA$3&lt;='Bonding Program'!$C$8,IF(AND('Bonding Program'!$K$46&lt;&gt;"",BA$3='Bonding Program'!$K$46),'Bonding Program'!$J$46,0)-IF(AND('Bonding Program'!$M$46&lt;&gt;"",BA$3='Bonding Program'!$M$46),'Bonding Program'!$L$46,0)-IF(AND('Bonding Program'!$P$46&lt;&gt;"",BA$3='Bonding Program'!$P$46),'Bonding Program'!$O$46,0)-IF(AND('Bonding Program'!$R$46&lt;&gt;"",BA$3='Bonding Program'!$R$46),'Bonding Program'!$Q$46,0),0)</f>
        <v>0</v>
      </c>
      <c r="BB187" s="19" t="n">
        <f aca="false">IF(AND('Bonding Program'!$S$46=1,BB$3='Bonding Program'!$H$46),'Bonding Program'!$AA$46,0)-IF(BB$3&lt;='Bonding Program'!$C$8,IF(AND('Bonding Program'!$K$46&lt;&gt;"",BB$3='Bonding Program'!$K$46),'Bonding Program'!$J$46,0)-IF(AND('Bonding Program'!$M$46&lt;&gt;"",BB$3='Bonding Program'!$M$46),'Bonding Program'!$L$46,0)-IF(AND('Bonding Program'!$P$46&lt;&gt;"",BB$3='Bonding Program'!$P$46),'Bonding Program'!$O$46,0)-IF(AND('Bonding Program'!$R$46&lt;&gt;"",BB$3='Bonding Program'!$R$46),'Bonding Program'!$Q$46,0),0)</f>
        <v>0</v>
      </c>
      <c r="BC187" s="19" t="n">
        <f aca="false">IF(AND('Bonding Program'!$S$46=1,BC$3='Bonding Program'!$H$46),'Bonding Program'!$AA$46,0)-IF(BC$3&lt;='Bonding Program'!$C$8,IF(AND('Bonding Program'!$K$46&lt;&gt;"",BC$3='Bonding Program'!$K$46),'Bonding Program'!$J$46,0)-IF(AND('Bonding Program'!$M$46&lt;&gt;"",BC$3='Bonding Program'!$M$46),'Bonding Program'!$L$46,0)-IF(AND('Bonding Program'!$P$46&lt;&gt;"",BC$3='Bonding Program'!$P$46),'Bonding Program'!$O$46,0)-IF(AND('Bonding Program'!$R$46&lt;&gt;"",BC$3='Bonding Program'!$R$46),'Bonding Program'!$Q$46,0),0)</f>
        <v>0</v>
      </c>
      <c r="BD187" s="19" t="n">
        <f aca="false">IF(AND('Bonding Program'!$S$46=1,BD$3='Bonding Program'!$H$46),'Bonding Program'!$AA$46,0)-IF(BD$3&lt;='Bonding Program'!$C$8,IF(AND('Bonding Program'!$K$46&lt;&gt;"",BD$3='Bonding Program'!$K$46),'Bonding Program'!$J$46,0)-IF(AND('Bonding Program'!$M$46&lt;&gt;"",BD$3='Bonding Program'!$M$46),'Bonding Program'!$L$46,0)-IF(AND('Bonding Program'!$P$46&lt;&gt;"",BD$3='Bonding Program'!$P$46),'Bonding Program'!$O$46,0)-IF(AND('Bonding Program'!$R$46&lt;&gt;"",BD$3='Bonding Program'!$R$46),'Bonding Program'!$Q$46,0),0)</f>
        <v>0</v>
      </c>
      <c r="BE187" s="19" t="n">
        <f aca="false">IF(AND('Bonding Program'!$S$46=1,BE$3='Bonding Program'!$H$46),'Bonding Program'!$AA$46,0)-IF(BE$3&lt;='Bonding Program'!$C$8,IF(AND('Bonding Program'!$K$46&lt;&gt;"",BE$3='Bonding Program'!$K$46),'Bonding Program'!$J$46,0)-IF(AND('Bonding Program'!$M$46&lt;&gt;"",BE$3='Bonding Program'!$M$46),'Bonding Program'!$L$46,0)-IF(AND('Bonding Program'!$P$46&lt;&gt;"",BE$3='Bonding Program'!$P$46),'Bonding Program'!$O$46,0)-IF(AND('Bonding Program'!$R$46&lt;&gt;"",BE$3='Bonding Program'!$R$46),'Bonding Program'!$Q$46,0),0)</f>
        <v>0</v>
      </c>
      <c r="BF187" s="19" t="n">
        <f aca="false">IF(AND('Bonding Program'!$S$46=1,BF$3='Bonding Program'!$H$46),'Bonding Program'!$AA$46,0)-IF(BF$3&lt;='Bonding Program'!$C$8,IF(AND('Bonding Program'!$K$46&lt;&gt;"",BF$3='Bonding Program'!$K$46),'Bonding Program'!$J$46,0)-IF(AND('Bonding Program'!$M$46&lt;&gt;"",BF$3='Bonding Program'!$M$46),'Bonding Program'!$L$46,0)-IF(AND('Bonding Program'!$P$46&lt;&gt;"",BF$3='Bonding Program'!$P$46),'Bonding Program'!$O$46,0)-IF(AND('Bonding Program'!$R$46&lt;&gt;"",BF$3='Bonding Program'!$R$46),'Bonding Program'!$Q$46,0),0)</f>
        <v>0</v>
      </c>
      <c r="BG187" s="19" t="n">
        <f aca="false">IF(AND('Bonding Program'!$S$46=1,BG$3='Bonding Program'!$H$46),'Bonding Program'!$AA$46,0)-IF(BG$3&lt;='Bonding Program'!$C$8,IF(AND('Bonding Program'!$K$46&lt;&gt;"",BG$3='Bonding Program'!$K$46),'Bonding Program'!$J$46,0)-IF(AND('Bonding Program'!$M$46&lt;&gt;"",BG$3='Bonding Program'!$M$46),'Bonding Program'!$L$46,0)-IF(AND('Bonding Program'!$P$46&lt;&gt;"",BG$3='Bonding Program'!$P$46),'Bonding Program'!$O$46,0)-IF(AND('Bonding Program'!$R$46&lt;&gt;"",BG$3='Bonding Program'!$R$46),'Bonding Program'!$Q$46,0),0)</f>
        <v>0</v>
      </c>
      <c r="BH187" s="19" t="n">
        <f aca="false">IF(AND('Bonding Program'!$S$46=1,BH$3='Bonding Program'!$H$46),'Bonding Program'!$AA$46,0)-IF(BH$3&lt;='Bonding Program'!$C$8,IF(AND('Bonding Program'!$K$46&lt;&gt;"",BH$3='Bonding Program'!$K$46),'Bonding Program'!$J$46,0)-IF(AND('Bonding Program'!$M$46&lt;&gt;"",BH$3='Bonding Program'!$M$46),'Bonding Program'!$L$46,0)-IF(AND('Bonding Program'!$P$46&lt;&gt;"",BH$3='Bonding Program'!$P$46),'Bonding Program'!$O$46,0)-IF(AND('Bonding Program'!$R$46&lt;&gt;"",BH$3='Bonding Program'!$R$46),'Bonding Program'!$Q$46,0),0)</f>
        <v>0</v>
      </c>
      <c r="BI187" s="19" t="n">
        <f aca="false">IF(AND('Bonding Program'!$S$46=1,BI$3='Bonding Program'!$H$46),'Bonding Program'!$AA$46,0)-IF(BI$3&lt;='Bonding Program'!$C$8,IF(AND('Bonding Program'!$K$46&lt;&gt;"",BI$3='Bonding Program'!$K$46),'Bonding Program'!$J$46,0)-IF(AND('Bonding Program'!$M$46&lt;&gt;"",BI$3='Bonding Program'!$M$46),'Bonding Program'!$L$46,0)-IF(AND('Bonding Program'!$P$46&lt;&gt;"",BI$3='Bonding Program'!$P$46),'Bonding Program'!$O$46,0)-IF(AND('Bonding Program'!$R$46&lt;&gt;"",BI$3='Bonding Program'!$R$46),'Bonding Program'!$Q$46,0),0)</f>
        <v>0</v>
      </c>
      <c r="BJ187" s="19" t="n">
        <f aca="false">IF(AND('Bonding Program'!$S$46=1,BJ$3='Bonding Program'!$H$46),'Bonding Program'!$AA$46,0)-IF(BJ$3&lt;='Bonding Program'!$C$8,IF(AND('Bonding Program'!$K$46&lt;&gt;"",BJ$3='Bonding Program'!$K$46),'Bonding Program'!$J$46,0)-IF(AND('Bonding Program'!$M$46&lt;&gt;"",BJ$3='Bonding Program'!$M$46),'Bonding Program'!$L$46,0)-IF(AND('Bonding Program'!$P$46&lt;&gt;"",BJ$3='Bonding Program'!$P$46),'Bonding Program'!$O$46,0)-IF(AND('Bonding Program'!$R$46&lt;&gt;"",BJ$3='Bonding Program'!$R$46),'Bonding Program'!$Q$46,0),0)</f>
        <v>0</v>
      </c>
      <c r="BK187" s="19" t="n">
        <f aca="false">IF(AND('Bonding Program'!$S$46=1,BK$3='Bonding Program'!$H$46),'Bonding Program'!$AA$46,0)-IF(BK$3&lt;='Bonding Program'!$C$8,IF(AND('Bonding Program'!$K$46&lt;&gt;"",BK$3='Bonding Program'!$K$46),'Bonding Program'!$J$46,0)-IF(AND('Bonding Program'!$M$46&lt;&gt;"",BK$3='Bonding Program'!$M$46),'Bonding Program'!$L$46,0)-IF(AND('Bonding Program'!$P$46&lt;&gt;"",BK$3='Bonding Program'!$P$46),'Bonding Program'!$O$46,0)-IF(AND('Bonding Program'!$R$46&lt;&gt;"",BK$3='Bonding Program'!$R$46),'Bonding Program'!$Q$46,0),0)</f>
        <v>0</v>
      </c>
      <c r="BL187" s="19" t="n">
        <f aca="false">IF(AND('Bonding Program'!$S$46=1,BL$3='Bonding Program'!$H$46),'Bonding Program'!$AA$46,0)-IF(BL$3&lt;='Bonding Program'!$C$8,IF(AND('Bonding Program'!$K$46&lt;&gt;"",BL$3='Bonding Program'!$K$46),'Bonding Program'!$J$46,0)-IF(AND('Bonding Program'!$M$46&lt;&gt;"",BL$3='Bonding Program'!$M$46),'Bonding Program'!$L$46,0)-IF(AND('Bonding Program'!$P$46&lt;&gt;"",BL$3='Bonding Program'!$P$46),'Bonding Program'!$O$46,0)-IF(AND('Bonding Program'!$R$46&lt;&gt;"",BL$3='Bonding Program'!$R$46),'Bonding Program'!$Q$46,0),0)</f>
        <v>0</v>
      </c>
      <c r="BM187" s="19" t="n">
        <f aca="false">IF(AND('Bonding Program'!$S$46=1,BM$3='Bonding Program'!$H$46),'Bonding Program'!$AA$46,0)-IF(BM$3&lt;='Bonding Program'!$C$8,IF(AND('Bonding Program'!$K$46&lt;&gt;"",BM$3='Bonding Program'!$K$46),'Bonding Program'!$J$46,0)-IF(AND('Bonding Program'!$M$46&lt;&gt;"",BM$3='Bonding Program'!$M$46),'Bonding Program'!$L$46,0)-IF(AND('Bonding Program'!$P$46&lt;&gt;"",BM$3='Bonding Program'!$P$46),'Bonding Program'!$O$46,0)-IF(AND('Bonding Program'!$R$46&lt;&gt;"",BM$3='Bonding Program'!$R$46),'Bonding Program'!$Q$46,0),0)</f>
        <v>0</v>
      </c>
      <c r="BN187" s="19" t="n">
        <f aca="false">IF(AND('Bonding Program'!$S$46=1,BN$3='Bonding Program'!$H$46),'Bonding Program'!$AA$46,0)-IF(BN$3&lt;='Bonding Program'!$C$8,IF(AND('Bonding Program'!$K$46&lt;&gt;"",BN$3='Bonding Program'!$K$46),'Bonding Program'!$J$46,0)-IF(AND('Bonding Program'!$M$46&lt;&gt;"",BN$3='Bonding Program'!$M$46),'Bonding Program'!$L$46,0)-IF(AND('Bonding Program'!$P$46&lt;&gt;"",BN$3='Bonding Program'!$P$46),'Bonding Program'!$O$46,0)-IF(AND('Bonding Program'!$R$46&lt;&gt;"",BN$3='Bonding Program'!$R$46),'Bonding Program'!$Q$46,0),0)</f>
        <v>0</v>
      </c>
      <c r="BO187" s="19" t="n">
        <f aca="false">IF(AND('Bonding Program'!$S$46=1,BO$3='Bonding Program'!$H$46),'Bonding Program'!$AA$46,0)-IF(BO$3&lt;='Bonding Program'!$C$8,IF(AND('Bonding Program'!$K$46&lt;&gt;"",BO$3='Bonding Program'!$K$46),'Bonding Program'!$J$46,0)-IF(AND('Bonding Program'!$M$46&lt;&gt;"",BO$3='Bonding Program'!$M$46),'Bonding Program'!$L$46,0)-IF(AND('Bonding Program'!$P$46&lt;&gt;"",BO$3='Bonding Program'!$P$46),'Bonding Program'!$O$46,0)-IF(AND('Bonding Program'!$R$46&lt;&gt;"",BO$3='Bonding Program'!$R$46),'Bonding Program'!$Q$46,0),0)</f>
        <v>0</v>
      </c>
      <c r="BP187" s="19" t="n">
        <f aca="false">IF(AND('Bonding Program'!$S$46=1,BP$3='Bonding Program'!$H$46),'Bonding Program'!$AA$46,0)-IF(BP$3&lt;='Bonding Program'!$C$8,IF(AND('Bonding Program'!$K$46&lt;&gt;"",BP$3='Bonding Program'!$K$46),'Bonding Program'!$J$46,0)-IF(AND('Bonding Program'!$M$46&lt;&gt;"",BP$3='Bonding Program'!$M$46),'Bonding Program'!$L$46,0)-IF(AND('Bonding Program'!$P$46&lt;&gt;"",BP$3='Bonding Program'!$P$46),'Bonding Program'!$O$46,0)-IF(AND('Bonding Program'!$R$46&lt;&gt;"",BP$3='Bonding Program'!$R$46),'Bonding Program'!$Q$46,0),0)</f>
        <v>0</v>
      </c>
      <c r="BQ187" s="19" t="n">
        <f aca="false">IF(AND('Bonding Program'!$S$46=1,BQ$3='Bonding Program'!$H$46),'Bonding Program'!$AA$46,0)-IF(BQ$3&lt;='Bonding Program'!$C$8,IF(AND('Bonding Program'!$K$46&lt;&gt;"",BQ$3='Bonding Program'!$K$46),'Bonding Program'!$J$46,0)-IF(AND('Bonding Program'!$M$46&lt;&gt;"",BQ$3='Bonding Program'!$M$46),'Bonding Program'!$L$46,0)-IF(AND('Bonding Program'!$P$46&lt;&gt;"",BQ$3='Bonding Program'!$P$46),'Bonding Program'!$O$46,0)-IF(AND('Bonding Program'!$R$46&lt;&gt;"",BQ$3='Bonding Program'!$R$46),'Bonding Program'!$Q$46,0),0)</f>
        <v>0</v>
      </c>
      <c r="BR187" s="19" t="n">
        <f aca="false">IF(AND('Bonding Program'!$S$46=1,BR$3='Bonding Program'!$H$46),'Bonding Program'!$AA$46,0)-IF(BR$3&lt;='Bonding Program'!$C$8,IF(AND('Bonding Program'!$K$46&lt;&gt;"",BR$3='Bonding Program'!$K$46),'Bonding Program'!$J$46,0)-IF(AND('Bonding Program'!$M$46&lt;&gt;"",BR$3='Bonding Program'!$M$46),'Bonding Program'!$L$46,0)-IF(AND('Bonding Program'!$P$46&lt;&gt;"",BR$3='Bonding Program'!$P$46),'Bonding Program'!$O$46,0)-IF(AND('Bonding Program'!$R$46&lt;&gt;"",BR$3='Bonding Program'!$R$46),'Bonding Program'!$Q$46,0),0)</f>
        <v>0</v>
      </c>
      <c r="BS187" s="19" t="n">
        <f aca="false">IF(AND('Bonding Program'!$S$46=1,BS$3='Bonding Program'!$H$46),'Bonding Program'!$AA$46,0)-IF(BS$3&lt;='Bonding Program'!$C$8,IF(AND('Bonding Program'!$K$46&lt;&gt;"",BS$3='Bonding Program'!$K$46),'Bonding Program'!$J$46,0)-IF(AND('Bonding Program'!$M$46&lt;&gt;"",BS$3='Bonding Program'!$M$46),'Bonding Program'!$L$46,0)-IF(AND('Bonding Program'!$P$46&lt;&gt;"",BS$3='Bonding Program'!$P$46),'Bonding Program'!$O$46,0)-IF(AND('Bonding Program'!$R$46&lt;&gt;"",BS$3='Bonding Program'!$R$46),'Bonding Program'!$Q$46,0),0)</f>
        <v>0</v>
      </c>
      <c r="BT187" s="19" t="n">
        <f aca="false">IF(AND('Bonding Program'!$S$46=1,BT$3='Bonding Program'!$H$46),'Bonding Program'!$AA$46,0)-IF(BT$3&lt;='Bonding Program'!$C$8,IF(AND('Bonding Program'!$K$46&lt;&gt;"",BT$3='Bonding Program'!$K$46),'Bonding Program'!$J$46,0)-IF(AND('Bonding Program'!$M$46&lt;&gt;"",BT$3='Bonding Program'!$M$46),'Bonding Program'!$L$46,0)-IF(AND('Bonding Program'!$P$46&lt;&gt;"",BT$3='Bonding Program'!$P$46),'Bonding Program'!$O$46,0)-IF(AND('Bonding Program'!$R$46&lt;&gt;"",BT$3='Bonding Program'!$R$46),'Bonding Program'!$Q$46,0),0)</f>
        <v>0</v>
      </c>
      <c r="BU187" s="19" t="n">
        <f aca="false">IF(AND('Bonding Program'!$S$46=1,BU$3='Bonding Program'!$H$46),'Bonding Program'!$AA$46,0)-IF(BU$3&lt;='Bonding Program'!$C$8,IF(AND('Bonding Program'!$K$46&lt;&gt;"",BU$3='Bonding Program'!$K$46),'Bonding Program'!$J$46,0)-IF(AND('Bonding Program'!$M$46&lt;&gt;"",BU$3='Bonding Program'!$M$46),'Bonding Program'!$L$46,0)-IF(AND('Bonding Program'!$P$46&lt;&gt;"",BU$3='Bonding Program'!$P$46),'Bonding Program'!$O$46,0)-IF(AND('Bonding Program'!$R$46&lt;&gt;"",BU$3='Bonding Program'!$R$46),'Bonding Program'!$Q$46,0),0)</f>
        <v>0</v>
      </c>
      <c r="BV187" s="19" t="n">
        <f aca="false">IF(AND('Bonding Program'!$S$46=1,BV$3='Bonding Program'!$H$46),'Bonding Program'!$AA$46,0)-IF(BV$3&lt;='Bonding Program'!$C$8,IF(AND('Bonding Program'!$K$46&lt;&gt;"",BV$3='Bonding Program'!$K$46),'Bonding Program'!$J$46,0)-IF(AND('Bonding Program'!$M$46&lt;&gt;"",BV$3='Bonding Program'!$M$46),'Bonding Program'!$L$46,0)-IF(AND('Bonding Program'!$P$46&lt;&gt;"",BV$3='Bonding Program'!$P$46),'Bonding Program'!$O$46,0)-IF(AND('Bonding Program'!$R$46&lt;&gt;"",BV$3='Bonding Program'!$R$46),'Bonding Program'!$Q$46,0),0)</f>
        <v>0</v>
      </c>
      <c r="BW187" s="19" t="n">
        <f aca="false">IF(AND('Bonding Program'!$S$46=1,BW$3='Bonding Program'!$H$46),'Bonding Program'!$AA$46,0)-IF(BW$3&lt;='Bonding Program'!$C$8,IF(AND('Bonding Program'!$K$46&lt;&gt;"",BW$3='Bonding Program'!$K$46),'Bonding Program'!$J$46,0)-IF(AND('Bonding Program'!$M$46&lt;&gt;"",BW$3='Bonding Program'!$M$46),'Bonding Program'!$L$46,0)-IF(AND('Bonding Program'!$P$46&lt;&gt;"",BW$3='Bonding Program'!$P$46),'Bonding Program'!$O$46,0)-IF(AND('Bonding Program'!$R$46&lt;&gt;"",BW$3='Bonding Program'!$R$46),'Bonding Program'!$Q$46,0),0)</f>
        <v>0</v>
      </c>
      <c r="BX187" s="19" t="n">
        <f aca="false">IF(AND('Bonding Program'!$S$46=1,BX$3='Bonding Program'!$H$46),'Bonding Program'!$AA$46,0)-IF(BX$3&lt;='Bonding Program'!$C$8,IF(AND('Bonding Program'!$K$46&lt;&gt;"",BX$3='Bonding Program'!$K$46),'Bonding Program'!$J$46,0)-IF(AND('Bonding Program'!$M$46&lt;&gt;"",BX$3='Bonding Program'!$M$46),'Bonding Program'!$L$46,0)-IF(AND('Bonding Program'!$P$46&lt;&gt;"",BX$3='Bonding Program'!$P$46),'Bonding Program'!$O$46,0)-IF(AND('Bonding Program'!$R$46&lt;&gt;"",BX$3='Bonding Program'!$R$46),'Bonding Program'!$Q$46,0),0)</f>
        <v>0</v>
      </c>
      <c r="BY187" s="19" t="n">
        <f aca="false">IF(AND('Bonding Program'!$S$46=1,BY$3='Bonding Program'!$H$46),'Bonding Program'!$AA$46,0)-IF(BY$3&lt;='Bonding Program'!$C$8,IF(AND('Bonding Program'!$K$46&lt;&gt;"",BY$3='Bonding Program'!$K$46),'Bonding Program'!$J$46,0)-IF(AND('Bonding Program'!$M$46&lt;&gt;"",BY$3='Bonding Program'!$M$46),'Bonding Program'!$L$46,0)-IF(AND('Bonding Program'!$P$46&lt;&gt;"",BY$3='Bonding Program'!$P$46),'Bonding Program'!$O$46,0)-IF(AND('Bonding Program'!$R$46&lt;&gt;"",BY$3='Bonding Program'!$R$46),'Bonding Program'!$Q$46,0),0)</f>
        <v>0</v>
      </c>
      <c r="BZ187" s="19" t="n">
        <f aca="false">IF(AND('Bonding Program'!$S$46=1,BZ$3='Bonding Program'!$H$46),'Bonding Program'!$AA$46,0)-IF(BZ$3&lt;='Bonding Program'!$C$8,IF(AND('Bonding Program'!$K$46&lt;&gt;"",BZ$3='Bonding Program'!$K$46),'Bonding Program'!$J$46,0)-IF(AND('Bonding Program'!$M$46&lt;&gt;"",BZ$3='Bonding Program'!$M$46),'Bonding Program'!$L$46,0)-IF(AND('Bonding Program'!$P$46&lt;&gt;"",BZ$3='Bonding Program'!$P$46),'Bonding Program'!$O$46,0)-IF(AND('Bonding Program'!$R$46&lt;&gt;"",BZ$3='Bonding Program'!$R$46),'Bonding Program'!$Q$46,0),0)</f>
        <v>0</v>
      </c>
      <c r="CA187" s="19" t="n">
        <f aca="false">IF(AND('Bonding Program'!$S$46=1,CA$3='Bonding Program'!$H$46),'Bonding Program'!$AA$46,0)-IF(CA$3&lt;='Bonding Program'!$C$8,IF(AND('Bonding Program'!$K$46&lt;&gt;"",CA$3='Bonding Program'!$K$46),'Bonding Program'!$J$46,0)-IF(AND('Bonding Program'!$M$46&lt;&gt;"",CA$3='Bonding Program'!$M$46),'Bonding Program'!$L$46,0)-IF(AND('Bonding Program'!$P$46&lt;&gt;"",CA$3='Bonding Program'!$P$46),'Bonding Program'!$O$46,0)-IF(AND('Bonding Program'!$R$46&lt;&gt;"",CA$3='Bonding Program'!$R$46),'Bonding Program'!$Q$46,0),0)</f>
        <v>0</v>
      </c>
      <c r="CB187" s="19" t="n">
        <f aca="false">IF(AND('Bonding Program'!$S$46=1,CB$3='Bonding Program'!$H$46),'Bonding Program'!$AA$46,0)-IF(CB$3&lt;='Bonding Program'!$C$8,IF(AND('Bonding Program'!$K$46&lt;&gt;"",CB$3='Bonding Program'!$K$46),'Bonding Program'!$J$46,0)-IF(AND('Bonding Program'!$M$46&lt;&gt;"",CB$3='Bonding Program'!$M$46),'Bonding Program'!$L$46,0)-IF(AND('Bonding Program'!$P$46&lt;&gt;"",CB$3='Bonding Program'!$P$46),'Bonding Program'!$O$46,0)-IF(AND('Bonding Program'!$R$46&lt;&gt;"",CB$3='Bonding Program'!$R$46),'Bonding Program'!$Q$46,0),0)</f>
        <v>0</v>
      </c>
      <c r="CC187" s="19" t="n">
        <f aca="false">IF(AND('Bonding Program'!$S$46=1,CC$3='Bonding Program'!$H$46),'Bonding Program'!$AA$46,0)-IF(CC$3&lt;='Bonding Program'!$C$8,IF(AND('Bonding Program'!$K$46&lt;&gt;"",CC$3='Bonding Program'!$K$46),'Bonding Program'!$J$46,0)-IF(AND('Bonding Program'!$M$46&lt;&gt;"",CC$3='Bonding Program'!$M$46),'Bonding Program'!$L$46,0)-IF(AND('Bonding Program'!$P$46&lt;&gt;"",CC$3='Bonding Program'!$P$46),'Bonding Program'!$O$46,0)-IF(AND('Bonding Program'!$R$46&lt;&gt;"",CC$3='Bonding Program'!$R$46),'Bonding Program'!$Q$46,0),0)</f>
        <v>0</v>
      </c>
      <c r="CD187" s="19" t="n">
        <f aca="false">IF(AND('Bonding Program'!$S$46=1,CD$3='Bonding Program'!$H$46),'Bonding Program'!$AA$46,0)-IF(CD$3&lt;='Bonding Program'!$C$8,IF(AND('Bonding Program'!$K$46&lt;&gt;"",CD$3='Bonding Program'!$K$46),'Bonding Program'!$J$46,0)-IF(AND('Bonding Program'!$M$46&lt;&gt;"",CD$3='Bonding Program'!$M$46),'Bonding Program'!$L$46,0)-IF(AND('Bonding Program'!$P$46&lt;&gt;"",CD$3='Bonding Program'!$P$46),'Bonding Program'!$O$46,0)-IF(AND('Bonding Program'!$R$46&lt;&gt;"",CD$3='Bonding Program'!$R$46),'Bonding Program'!$Q$46,0),0)</f>
        <v>0</v>
      </c>
      <c r="CE187" s="19" t="n">
        <f aca="false">IF(AND('Bonding Program'!$S$46=1,CE$3='Bonding Program'!$H$46),'Bonding Program'!$AA$46,0)-IF(CE$3&lt;='Bonding Program'!$C$8,IF(AND('Bonding Program'!$K$46&lt;&gt;"",CE$3='Bonding Program'!$K$46),'Bonding Program'!$J$46,0)-IF(AND('Bonding Program'!$M$46&lt;&gt;"",CE$3='Bonding Program'!$M$46),'Bonding Program'!$L$46,0)-IF(AND('Bonding Program'!$P$46&lt;&gt;"",CE$3='Bonding Program'!$P$46),'Bonding Program'!$O$46,0)-IF(AND('Bonding Program'!$R$46&lt;&gt;"",CE$3='Bonding Program'!$R$46),'Bonding Program'!$Q$46,0),0)</f>
        <v>0</v>
      </c>
      <c r="CF187" s="19" t="n">
        <f aca="false">IF(AND('Bonding Program'!$S$46=1,CF$3='Bonding Program'!$H$46),'Bonding Program'!$AA$46,0)-IF(CF$3&lt;='Bonding Program'!$C$8,IF(AND('Bonding Program'!$K$46&lt;&gt;"",CF$3='Bonding Program'!$K$46),'Bonding Program'!$J$46,0)-IF(AND('Bonding Program'!$M$46&lt;&gt;"",CF$3='Bonding Program'!$M$46),'Bonding Program'!$L$46,0)-IF(AND('Bonding Program'!$P$46&lt;&gt;"",CF$3='Bonding Program'!$P$46),'Bonding Program'!$O$46,0)-IF(AND('Bonding Program'!$R$46&lt;&gt;"",CF$3='Bonding Program'!$R$46),'Bonding Program'!$Q$46,0),0)</f>
        <v>0</v>
      </c>
      <c r="CG187" s="19" t="n">
        <f aca="false">IF(AND('Bonding Program'!$S$46=1,CG$3='Bonding Program'!$H$46),'Bonding Program'!$AA$46,0)-IF(CG$3&lt;='Bonding Program'!$C$8,IF(AND('Bonding Program'!$K$46&lt;&gt;"",CG$3='Bonding Program'!$K$46),'Bonding Program'!$J$46,0)-IF(AND('Bonding Program'!$M$46&lt;&gt;"",CG$3='Bonding Program'!$M$46),'Bonding Program'!$L$46,0)-IF(AND('Bonding Program'!$P$46&lt;&gt;"",CG$3='Bonding Program'!$P$46),'Bonding Program'!$O$46,0)-IF(AND('Bonding Program'!$R$46&lt;&gt;"",CG$3='Bonding Program'!$R$46),'Bonding Program'!$Q$46,0),0)</f>
        <v>0</v>
      </c>
      <c r="CH187" s="19" t="n">
        <f aca="false">IF(AND('Bonding Program'!$S$46=1,CH$3='Bonding Program'!$H$46),'Bonding Program'!$AA$46,0)-IF(CH$3&lt;='Bonding Program'!$C$8,IF(AND('Bonding Program'!$K$46&lt;&gt;"",CH$3='Bonding Program'!$K$46),'Bonding Program'!$J$46,0)-IF(AND('Bonding Program'!$M$46&lt;&gt;"",CH$3='Bonding Program'!$M$46),'Bonding Program'!$L$46,0)-IF(AND('Bonding Program'!$P$46&lt;&gt;"",CH$3='Bonding Program'!$P$46),'Bonding Program'!$O$46,0)-IF(AND('Bonding Program'!$R$46&lt;&gt;"",CH$3='Bonding Program'!$R$46),'Bonding Program'!$Q$46,0),0)</f>
        <v>0</v>
      </c>
      <c r="CI187" s="19" t="n">
        <f aca="false">IF(AND('Bonding Program'!$S$46=1,CI$3='Bonding Program'!$H$46),'Bonding Program'!$AA$46,0)-IF(CI$3&lt;='Bonding Program'!$C$8,IF(AND('Bonding Program'!$K$46&lt;&gt;"",CI$3='Bonding Program'!$K$46),'Bonding Program'!$J$46,0)-IF(AND('Bonding Program'!$M$46&lt;&gt;"",CI$3='Bonding Program'!$M$46),'Bonding Program'!$L$46,0)-IF(AND('Bonding Program'!$P$46&lt;&gt;"",CI$3='Bonding Program'!$P$46),'Bonding Program'!$O$46,0)-IF(AND('Bonding Program'!$R$46&lt;&gt;"",CI$3='Bonding Program'!$R$46),'Bonding Program'!$Q$46,0),0)</f>
        <v>0</v>
      </c>
      <c r="CJ187" s="19" t="n">
        <f aca="false">IF(AND('Bonding Program'!$S$46=1,CJ$3='Bonding Program'!$H$46),'Bonding Program'!$AA$46,0)-IF(CJ$3&lt;='Bonding Program'!$C$8,IF(AND('Bonding Program'!$K$46&lt;&gt;"",CJ$3='Bonding Program'!$K$46),'Bonding Program'!$J$46,0)-IF(AND('Bonding Program'!$M$46&lt;&gt;"",CJ$3='Bonding Program'!$M$46),'Bonding Program'!$L$46,0)-IF(AND('Bonding Program'!$P$46&lt;&gt;"",CJ$3='Bonding Program'!$P$46),'Bonding Program'!$O$46,0)-IF(AND('Bonding Program'!$R$46&lt;&gt;"",CJ$3='Bonding Program'!$R$46),'Bonding Program'!$Q$46,0),0)</f>
        <v>0</v>
      </c>
      <c r="CK187" s="19" t="n">
        <f aca="false">IF(AND('Bonding Program'!$S$46=1,CK$3='Bonding Program'!$H$46),'Bonding Program'!$AA$46,0)-IF(CK$3&lt;='Bonding Program'!$C$8,IF(AND('Bonding Program'!$K$46&lt;&gt;"",CK$3='Bonding Program'!$K$46),'Bonding Program'!$J$46,0)-IF(AND('Bonding Program'!$M$46&lt;&gt;"",CK$3='Bonding Program'!$M$46),'Bonding Program'!$L$46,0)-IF(AND('Bonding Program'!$P$46&lt;&gt;"",CK$3='Bonding Program'!$P$46),'Bonding Program'!$O$46,0)-IF(AND('Bonding Program'!$R$46&lt;&gt;"",CK$3='Bonding Program'!$R$46),'Bonding Program'!$Q$46,0),0)</f>
        <v>0</v>
      </c>
      <c r="CL187" s="19" t="n">
        <f aca="false">IF(AND('Bonding Program'!$S$46=1,CL$3='Bonding Program'!$H$46),'Bonding Program'!$AA$46,0)-IF(CL$3&lt;='Bonding Program'!$C$8,IF(AND('Bonding Program'!$K$46&lt;&gt;"",CL$3='Bonding Program'!$K$46),'Bonding Program'!$J$46,0)-IF(AND('Bonding Program'!$M$46&lt;&gt;"",CL$3='Bonding Program'!$M$46),'Bonding Program'!$L$46,0)-IF(AND('Bonding Program'!$P$46&lt;&gt;"",CL$3='Bonding Program'!$P$46),'Bonding Program'!$O$46,0)-IF(AND('Bonding Program'!$R$46&lt;&gt;"",CL$3='Bonding Program'!$R$46),'Bonding Program'!$Q$46,0),0)</f>
        <v>0</v>
      </c>
      <c r="CM187" s="19" t="n">
        <f aca="false">IF(AND('Bonding Program'!$S$46=1,CM$3='Bonding Program'!$H$46),'Bonding Program'!$AA$46,0)-IF(CM$3&lt;='Bonding Program'!$C$8,IF(AND('Bonding Program'!$K$46&lt;&gt;"",CM$3='Bonding Program'!$K$46),'Bonding Program'!$J$46,0)-IF(AND('Bonding Program'!$M$46&lt;&gt;"",CM$3='Bonding Program'!$M$46),'Bonding Program'!$L$46,0)-IF(AND('Bonding Program'!$P$46&lt;&gt;"",CM$3='Bonding Program'!$P$46),'Bonding Program'!$O$46,0)-IF(AND('Bonding Program'!$R$46&lt;&gt;"",CM$3='Bonding Program'!$R$46),'Bonding Program'!$Q$46,0),0)</f>
        <v>0</v>
      </c>
      <c r="CN187" s="19" t="n">
        <f aca="false">IF(AND('Bonding Program'!$S$46=1,CN$3='Bonding Program'!$H$46),'Bonding Program'!$AA$46,0)-IF(CN$3&lt;='Bonding Program'!$C$8,IF(AND('Bonding Program'!$K$46&lt;&gt;"",CN$3='Bonding Program'!$K$46),'Bonding Program'!$J$46,0)-IF(AND('Bonding Program'!$M$46&lt;&gt;"",CN$3='Bonding Program'!$M$46),'Bonding Program'!$L$46,0)-IF(AND('Bonding Program'!$P$46&lt;&gt;"",CN$3='Bonding Program'!$P$46),'Bonding Program'!$O$46,0)-IF(AND('Bonding Program'!$R$46&lt;&gt;"",CN$3='Bonding Program'!$R$46),'Bonding Program'!$Q$46,0),0)</f>
        <v>0</v>
      </c>
      <c r="CO187" s="19" t="n">
        <f aca="false">IF(AND('Bonding Program'!$S$46=1,CO$3='Bonding Program'!$H$46),'Bonding Program'!$AA$46,0)-IF(CO$3&lt;='Bonding Program'!$C$8,IF(AND('Bonding Program'!$K$46&lt;&gt;"",CO$3='Bonding Program'!$K$46),'Bonding Program'!$J$46,0)-IF(AND('Bonding Program'!$M$46&lt;&gt;"",CO$3='Bonding Program'!$M$46),'Bonding Program'!$L$46,0)-IF(AND('Bonding Program'!$P$46&lt;&gt;"",CO$3='Bonding Program'!$P$46),'Bonding Program'!$O$46,0)-IF(AND('Bonding Program'!$R$46&lt;&gt;"",CO$3='Bonding Program'!$R$46),'Bonding Program'!$Q$46,0),0)</f>
        <v>0</v>
      </c>
      <c r="CP187" s="19" t="n">
        <f aca="false">IF(AND('Bonding Program'!$S$46=1,CP$3='Bonding Program'!$H$46),'Bonding Program'!$AA$46,0)-IF(CP$3&lt;='Bonding Program'!$C$8,IF(AND('Bonding Program'!$K$46&lt;&gt;"",CP$3='Bonding Program'!$K$46),'Bonding Program'!$J$46,0)-IF(AND('Bonding Program'!$M$46&lt;&gt;"",CP$3='Bonding Program'!$M$46),'Bonding Program'!$L$46,0)-IF(AND('Bonding Program'!$P$46&lt;&gt;"",CP$3='Bonding Program'!$P$46),'Bonding Program'!$O$46,0)-IF(AND('Bonding Program'!$R$46&lt;&gt;"",CP$3='Bonding Program'!$R$46),'Bonding Program'!$Q$46,0),0)</f>
        <v>0</v>
      </c>
      <c r="CQ187" s="19" t="n">
        <f aca="false">IF(AND('Bonding Program'!$S$46=1,CQ$3='Bonding Program'!$H$46),'Bonding Program'!$AA$46,0)-IF(CQ$3&lt;='Bonding Program'!$C$8,IF(AND('Bonding Program'!$K$46&lt;&gt;"",CQ$3='Bonding Program'!$K$46),'Bonding Program'!$J$46,0)-IF(AND('Bonding Program'!$M$46&lt;&gt;"",CQ$3='Bonding Program'!$M$46),'Bonding Program'!$L$46,0)-IF(AND('Bonding Program'!$P$46&lt;&gt;"",CQ$3='Bonding Program'!$P$46),'Bonding Program'!$O$46,0)-IF(AND('Bonding Program'!$R$46&lt;&gt;"",CQ$3='Bonding Program'!$R$46),'Bonding Program'!$Q$46,0),0)</f>
        <v>0</v>
      </c>
      <c r="CR187" s="19" t="n">
        <f aca="false">IF(AND('Bonding Program'!$S$46=1,CR$3='Bonding Program'!$H$46),'Bonding Program'!$AA$46,0)-IF(CR$3&lt;='Bonding Program'!$C$8,IF(AND('Bonding Program'!$K$46&lt;&gt;"",CR$3='Bonding Program'!$K$46),'Bonding Program'!$J$46,0)-IF(AND('Bonding Program'!$M$46&lt;&gt;"",CR$3='Bonding Program'!$M$46),'Bonding Program'!$L$46,0)-IF(AND('Bonding Program'!$P$46&lt;&gt;"",CR$3='Bonding Program'!$P$46),'Bonding Program'!$O$46,0)-IF(AND('Bonding Program'!$R$46&lt;&gt;"",CR$3='Bonding Program'!$R$46),'Bonding Program'!$Q$46,0),0)</f>
        <v>0</v>
      </c>
      <c r="CS187" s="19" t="n">
        <f aca="false">IF(AND('Bonding Program'!$S$46=1,CS$3='Bonding Program'!$H$46),'Bonding Program'!$AA$46,0)-IF(CS$3&lt;='Bonding Program'!$C$8,IF(AND('Bonding Program'!$K$46&lt;&gt;"",CS$3='Bonding Program'!$K$46),'Bonding Program'!$J$46,0)-IF(AND('Bonding Program'!$M$46&lt;&gt;"",CS$3='Bonding Program'!$M$46),'Bonding Program'!$L$46,0)-IF(AND('Bonding Program'!$P$46&lt;&gt;"",CS$3='Bonding Program'!$P$46),'Bonding Program'!$O$46,0)-IF(AND('Bonding Program'!$R$46&lt;&gt;"",CS$3='Bonding Program'!$R$46),'Bonding Program'!$Q$46,0),0)</f>
        <v>0</v>
      </c>
      <c r="CT187" s="19" t="n">
        <f aca="false">IF(AND('Bonding Program'!$S$46=1,CT$3='Bonding Program'!$H$46),'Bonding Program'!$AA$46,0)-IF(CT$3&lt;='Bonding Program'!$C$8,IF(AND('Bonding Program'!$K$46&lt;&gt;"",CT$3='Bonding Program'!$K$46),'Bonding Program'!$J$46,0)-IF(AND('Bonding Program'!$M$46&lt;&gt;"",CT$3='Bonding Program'!$M$46),'Bonding Program'!$L$46,0)-IF(AND('Bonding Program'!$P$46&lt;&gt;"",CT$3='Bonding Program'!$P$46),'Bonding Program'!$O$46,0)-IF(AND('Bonding Program'!$R$46&lt;&gt;"",CT$3='Bonding Program'!$R$46),'Bonding Program'!$Q$46,0),0)</f>
        <v>0</v>
      </c>
      <c r="CU187" s="19" t="n">
        <f aca="false">IF(AND('Bonding Program'!$S$46=1,CU$3='Bonding Program'!$H$46),'Bonding Program'!$AA$46,0)-IF(CU$3&lt;='Bonding Program'!$C$8,IF(AND('Bonding Program'!$K$46&lt;&gt;"",CU$3='Bonding Program'!$K$46),'Bonding Program'!$J$46,0)-IF(AND('Bonding Program'!$M$46&lt;&gt;"",CU$3='Bonding Program'!$M$46),'Bonding Program'!$L$46,0)-IF(AND('Bonding Program'!$P$46&lt;&gt;"",CU$3='Bonding Program'!$P$46),'Bonding Program'!$O$46,0)-IF(AND('Bonding Program'!$R$46&lt;&gt;"",CU$3='Bonding Program'!$R$46),'Bonding Program'!$Q$46,0),0)</f>
        <v>0</v>
      </c>
      <c r="CV187" s="19" t="n">
        <f aca="false">IF(AND('Bonding Program'!$S$46=1,CV$3='Bonding Program'!$H$46),'Bonding Program'!$AA$46,0)-IF(CV$3&lt;='Bonding Program'!$C$8,IF(AND('Bonding Program'!$K$46&lt;&gt;"",CV$3='Bonding Program'!$K$46),'Bonding Program'!$J$46,0)-IF(AND('Bonding Program'!$M$46&lt;&gt;"",CV$3='Bonding Program'!$M$46),'Bonding Program'!$L$46,0)-IF(AND('Bonding Program'!$P$46&lt;&gt;"",CV$3='Bonding Program'!$P$46),'Bonding Program'!$O$46,0)-IF(AND('Bonding Program'!$R$46&lt;&gt;"",CV$3='Bonding Program'!$R$46),'Bonding Program'!$Q$46,0),0)</f>
        <v>0</v>
      </c>
      <c r="CW187" s="19" t="n">
        <f aca="false">IF(AND('Bonding Program'!$S$46=1,CW$3='Bonding Program'!$H$46),'Bonding Program'!$AA$46,0)-IF(CW$3&lt;='Bonding Program'!$C$8,IF(AND('Bonding Program'!$K$46&lt;&gt;"",CW$3='Bonding Program'!$K$46),'Bonding Program'!$J$46,0)-IF(AND('Bonding Program'!$M$46&lt;&gt;"",CW$3='Bonding Program'!$M$46),'Bonding Program'!$L$46,0)-IF(AND('Bonding Program'!$P$46&lt;&gt;"",CW$3='Bonding Program'!$P$46),'Bonding Program'!$O$46,0)-IF(AND('Bonding Program'!$R$46&lt;&gt;"",CW$3='Bonding Program'!$R$46),'Bonding Program'!$Q$46,0),0)</f>
        <v>0</v>
      </c>
      <c r="CX187" s="19" t="n">
        <f aca="false">IF(AND('Bonding Program'!$S$46=1,CX$3='Bonding Program'!$H$46),'Bonding Program'!$AA$46,0)-IF(CX$3&lt;='Bonding Program'!$C$8,IF(AND('Bonding Program'!$K$46&lt;&gt;"",CX$3='Bonding Program'!$K$46),'Bonding Program'!$J$46,0)-IF(AND('Bonding Program'!$M$46&lt;&gt;"",CX$3='Bonding Program'!$M$46),'Bonding Program'!$L$46,0)-IF(AND('Bonding Program'!$P$46&lt;&gt;"",CX$3='Bonding Program'!$P$46),'Bonding Program'!$O$46,0)-IF(AND('Bonding Program'!$R$46&lt;&gt;"",CX$3='Bonding Program'!$R$46),'Bonding Program'!$Q$46,0),0)</f>
        <v>0</v>
      </c>
      <c r="CY187" s="19" t="n">
        <f aca="false">IF(AND('Bonding Program'!$S$46=1,CY$3='Bonding Program'!$H$46),'Bonding Program'!$AA$46,0)-IF(CY$3&lt;='Bonding Program'!$C$8,IF(AND('Bonding Program'!$K$46&lt;&gt;"",CY$3='Bonding Program'!$K$46),'Bonding Program'!$J$46,0)-IF(AND('Bonding Program'!$M$46&lt;&gt;"",CY$3='Bonding Program'!$M$46),'Bonding Program'!$L$46,0)-IF(AND('Bonding Program'!$P$46&lt;&gt;"",CY$3='Bonding Program'!$P$46),'Bonding Program'!$O$46,0)-IF(AND('Bonding Program'!$R$46&lt;&gt;"",CY$3='Bonding Program'!$R$46),'Bonding Program'!$Q$46,0),0)</f>
        <v>0</v>
      </c>
      <c r="CZ187" s="19" t="n">
        <f aca="false">IF(AND('Bonding Program'!$S$46=1,CZ$3='Bonding Program'!$H$46),'Bonding Program'!$AA$46,0)-IF(CZ$3&lt;='Bonding Program'!$C$8,IF(AND('Bonding Program'!$K$46&lt;&gt;"",CZ$3='Bonding Program'!$K$46),'Bonding Program'!$J$46,0)-IF(AND('Bonding Program'!$M$46&lt;&gt;"",CZ$3='Bonding Program'!$M$46),'Bonding Program'!$L$46,0)-IF(AND('Bonding Program'!$P$46&lt;&gt;"",CZ$3='Bonding Program'!$P$46),'Bonding Program'!$O$46,0)-IF(AND('Bonding Program'!$R$46&lt;&gt;"",CZ$3='Bonding Program'!$R$46),'Bonding Program'!$Q$46,0),0)</f>
        <v>0</v>
      </c>
      <c r="DA187" s="19" t="n">
        <f aca="false">IF(AND('Bonding Program'!$S$46=1,DA$3='Bonding Program'!$H$46),'Bonding Program'!$AA$46,0)-IF(DA$3&lt;='Bonding Program'!$C$8,IF(AND('Bonding Program'!$K$46&lt;&gt;"",DA$3='Bonding Program'!$K$46),'Bonding Program'!$J$46,0)-IF(AND('Bonding Program'!$M$46&lt;&gt;"",DA$3='Bonding Program'!$M$46),'Bonding Program'!$L$46,0)-IF(AND('Bonding Program'!$P$46&lt;&gt;"",DA$3='Bonding Program'!$P$46),'Bonding Program'!$O$46,0)-IF(AND('Bonding Program'!$R$46&lt;&gt;"",DA$3='Bonding Program'!$R$46),'Bonding Program'!$Q$46,0),0)</f>
        <v>0</v>
      </c>
      <c r="DB187" s="19" t="n">
        <f aca="false">IF(AND('Bonding Program'!$S$46=1,DB$3='Bonding Program'!$H$46),'Bonding Program'!$AA$46,0)-IF(DB$3&lt;='Bonding Program'!$C$8,IF(AND('Bonding Program'!$K$46&lt;&gt;"",DB$3='Bonding Program'!$K$46),'Bonding Program'!$J$46,0)-IF(AND('Bonding Program'!$M$46&lt;&gt;"",DB$3='Bonding Program'!$M$46),'Bonding Program'!$L$46,0)-IF(AND('Bonding Program'!$P$46&lt;&gt;"",DB$3='Bonding Program'!$P$46),'Bonding Program'!$O$46,0)-IF(AND('Bonding Program'!$R$46&lt;&gt;"",DB$3='Bonding Program'!$R$46),'Bonding Program'!$Q$46,0),0)</f>
        <v>0</v>
      </c>
      <c r="DC187" s="19" t="n">
        <f aca="false">IF(AND('Bonding Program'!$S$46=1,DC$3='Bonding Program'!$H$46),'Bonding Program'!$AA$46,0)-IF(DC$3&lt;='Bonding Program'!$C$8,IF(AND('Bonding Program'!$K$46&lt;&gt;"",DC$3='Bonding Program'!$K$46),'Bonding Program'!$J$46,0)-IF(AND('Bonding Program'!$M$46&lt;&gt;"",DC$3='Bonding Program'!$M$46),'Bonding Program'!$L$46,0)-IF(AND('Bonding Program'!$P$46&lt;&gt;"",DC$3='Bonding Program'!$P$46),'Bonding Program'!$O$46,0)-IF(AND('Bonding Program'!$R$46&lt;&gt;"",DC$3='Bonding Program'!$R$46),'Bonding Program'!$Q$46,0),0)</f>
        <v>0</v>
      </c>
      <c r="DD187" s="19" t="n">
        <f aca="false">IF(AND('Bonding Program'!$S$46=1,DD$3='Bonding Program'!$H$46),'Bonding Program'!$AA$46,0)-IF(DD$3&lt;='Bonding Program'!$C$8,IF(AND('Bonding Program'!$K$46&lt;&gt;"",DD$3='Bonding Program'!$K$46),'Bonding Program'!$J$46,0)-IF(AND('Bonding Program'!$M$46&lt;&gt;"",DD$3='Bonding Program'!$M$46),'Bonding Program'!$L$46,0)-IF(AND('Bonding Program'!$P$46&lt;&gt;"",DD$3='Bonding Program'!$P$46),'Bonding Program'!$O$46,0)-IF(AND('Bonding Program'!$R$46&lt;&gt;"",DD$3='Bonding Program'!$R$46),'Bonding Program'!$Q$46,0),0)</f>
        <v>0</v>
      </c>
      <c r="DE187" s="19" t="n">
        <f aca="false">IF(AND('Bonding Program'!$S$46=1,DE$3='Bonding Program'!$H$46),'Bonding Program'!$AA$46,0)-IF(DE$3&lt;='Bonding Program'!$C$8,IF(AND('Bonding Program'!$K$46&lt;&gt;"",DE$3='Bonding Program'!$K$46),'Bonding Program'!$J$46,0)-IF(AND('Bonding Program'!$M$46&lt;&gt;"",DE$3='Bonding Program'!$M$46),'Bonding Program'!$L$46,0)-IF(AND('Bonding Program'!$P$46&lt;&gt;"",DE$3='Bonding Program'!$P$46),'Bonding Program'!$O$46,0)-IF(AND('Bonding Program'!$R$46&lt;&gt;"",DE$3='Bonding Program'!$R$46),'Bonding Program'!$Q$46,0),0)</f>
        <v>0</v>
      </c>
    </row>
    <row r="188" customFormat="false" ht="15" hidden="false" customHeight="true" outlineLevel="1" collapsed="false">
      <c r="A188" s="28" t="s">
        <v>43</v>
      </c>
      <c r="B188" s="19" t="n">
        <f aca="false">IF(AND('Bonding Program'!$S$47=1,B$3='Bonding Program'!$H$47),'Bonding Program'!$AA$47,0)-IF(B$3&lt;='Bonding Program'!$C$8,IF(AND('Bonding Program'!$K$47&lt;&gt;"",B$3='Bonding Program'!$K$47),'Bonding Program'!$J$47,0)-IF(AND('Bonding Program'!$M$47&lt;&gt;"",B$3='Bonding Program'!$M$47),'Bonding Program'!$L$47,0)-IF(AND('Bonding Program'!$P$47&lt;&gt;"",B$3='Bonding Program'!$P$47),'Bonding Program'!$O$47,0)-IF(AND('Bonding Program'!$R$47&lt;&gt;"",B$3='Bonding Program'!$R$47),'Bonding Program'!$Q$47,0),0)</f>
        <v>0</v>
      </c>
      <c r="C188" s="19" t="n">
        <f aca="false">IF(AND('Bonding Program'!$S$47=1,C$3='Bonding Program'!$H$47),'Bonding Program'!$AA$47,0)-IF(C$3&lt;='Bonding Program'!$C$8,IF(AND('Bonding Program'!$K$47&lt;&gt;"",C$3='Bonding Program'!$K$47),'Bonding Program'!$J$47,0)-IF(AND('Bonding Program'!$M$47&lt;&gt;"",C$3='Bonding Program'!$M$47),'Bonding Program'!$L$47,0)-IF(AND('Bonding Program'!$P$47&lt;&gt;"",C$3='Bonding Program'!$P$47),'Bonding Program'!$O$47,0)-IF(AND('Bonding Program'!$R$47&lt;&gt;"",C$3='Bonding Program'!$R$47),'Bonding Program'!$Q$47,0),0)</f>
        <v>0</v>
      </c>
      <c r="D188" s="19" t="n">
        <f aca="false">IF(AND('Bonding Program'!$S$47=1,D$3='Bonding Program'!$H$47),'Bonding Program'!$AA$47,0)-IF(D$3&lt;='Bonding Program'!$C$8,IF(AND('Bonding Program'!$K$47&lt;&gt;"",D$3='Bonding Program'!$K$47),'Bonding Program'!$J$47,0)-IF(AND('Bonding Program'!$M$47&lt;&gt;"",D$3='Bonding Program'!$M$47),'Bonding Program'!$L$47,0)-IF(AND('Bonding Program'!$P$47&lt;&gt;"",D$3='Bonding Program'!$P$47),'Bonding Program'!$O$47,0)-IF(AND('Bonding Program'!$R$47&lt;&gt;"",D$3='Bonding Program'!$R$47),'Bonding Program'!$Q$47,0),0)</f>
        <v>0</v>
      </c>
      <c r="E188" s="19" t="n">
        <f aca="false">IF(AND('Bonding Program'!$S$47=1,E$3='Bonding Program'!$H$47),'Bonding Program'!$AA$47,0)-IF(E$3&lt;='Bonding Program'!$C$8,IF(AND('Bonding Program'!$K$47&lt;&gt;"",E$3='Bonding Program'!$K$47),'Bonding Program'!$J$47,0)-IF(AND('Bonding Program'!$M$47&lt;&gt;"",E$3='Bonding Program'!$M$47),'Bonding Program'!$L$47,0)-IF(AND('Bonding Program'!$P$47&lt;&gt;"",E$3='Bonding Program'!$P$47),'Bonding Program'!$O$47,0)-IF(AND('Bonding Program'!$R$47&lt;&gt;"",E$3='Bonding Program'!$R$47),'Bonding Program'!$Q$47,0),0)</f>
        <v>0</v>
      </c>
      <c r="F188" s="19" t="n">
        <f aca="false">IF(AND('Bonding Program'!$S$47=1,F$3='Bonding Program'!$H$47),'Bonding Program'!$AA$47,0)-IF(F$3&lt;='Bonding Program'!$C$8,IF(AND('Bonding Program'!$K$47&lt;&gt;"",F$3='Bonding Program'!$K$47),'Bonding Program'!$J$47,0)-IF(AND('Bonding Program'!$M$47&lt;&gt;"",F$3='Bonding Program'!$M$47),'Bonding Program'!$L$47,0)-IF(AND('Bonding Program'!$P$47&lt;&gt;"",F$3='Bonding Program'!$P$47),'Bonding Program'!$O$47,0)-IF(AND('Bonding Program'!$R$47&lt;&gt;"",F$3='Bonding Program'!$R$47),'Bonding Program'!$Q$47,0),0)</f>
        <v>0</v>
      </c>
      <c r="G188" s="19" t="n">
        <f aca="false">IF(AND('Bonding Program'!$S$47=1,G$3='Bonding Program'!$H$47),'Bonding Program'!$AA$47,0)-IF(G$3&lt;='Bonding Program'!$C$8,IF(AND('Bonding Program'!$K$47&lt;&gt;"",G$3='Bonding Program'!$K$47),'Bonding Program'!$J$47,0)-IF(AND('Bonding Program'!$M$47&lt;&gt;"",G$3='Bonding Program'!$M$47),'Bonding Program'!$L$47,0)-IF(AND('Bonding Program'!$P$47&lt;&gt;"",G$3='Bonding Program'!$P$47),'Bonding Program'!$O$47,0)-IF(AND('Bonding Program'!$R$47&lt;&gt;"",G$3='Bonding Program'!$R$47),'Bonding Program'!$Q$47,0),0)</f>
        <v>0</v>
      </c>
      <c r="H188" s="19" t="n">
        <f aca="false">IF(AND('Bonding Program'!$S$47=1,H$3='Bonding Program'!$H$47),'Bonding Program'!$AA$47,0)-IF(H$3&lt;='Bonding Program'!$C$8,IF(AND('Bonding Program'!$K$47&lt;&gt;"",H$3='Bonding Program'!$K$47),'Bonding Program'!$J$47,0)-IF(AND('Bonding Program'!$M$47&lt;&gt;"",H$3='Bonding Program'!$M$47),'Bonding Program'!$L$47,0)-IF(AND('Bonding Program'!$P$47&lt;&gt;"",H$3='Bonding Program'!$P$47),'Bonding Program'!$O$47,0)-IF(AND('Bonding Program'!$R$47&lt;&gt;"",H$3='Bonding Program'!$R$47),'Bonding Program'!$Q$47,0),0)</f>
        <v>0</v>
      </c>
      <c r="I188" s="19" t="n">
        <f aca="false">IF(AND('Bonding Program'!$S$47=1,I$3='Bonding Program'!$H$47),'Bonding Program'!$AA$47,0)-IF(I$3&lt;='Bonding Program'!$C$8,IF(AND('Bonding Program'!$K$47&lt;&gt;"",I$3='Bonding Program'!$K$47),'Bonding Program'!$J$47,0)-IF(AND('Bonding Program'!$M$47&lt;&gt;"",I$3='Bonding Program'!$M$47),'Bonding Program'!$L$47,0)-IF(AND('Bonding Program'!$P$47&lt;&gt;"",I$3='Bonding Program'!$P$47),'Bonding Program'!$O$47,0)-IF(AND('Bonding Program'!$R$47&lt;&gt;"",I$3='Bonding Program'!$R$47),'Bonding Program'!$Q$47,0),0)</f>
        <v>0</v>
      </c>
      <c r="J188" s="19" t="n">
        <f aca="false">IF(AND('Bonding Program'!$S$47=1,J$3='Bonding Program'!$H$47),'Bonding Program'!$AA$47,0)-IF(J$3&lt;='Bonding Program'!$C$8,IF(AND('Bonding Program'!$K$47&lt;&gt;"",J$3='Bonding Program'!$K$47),'Bonding Program'!$J$47,0)-IF(AND('Bonding Program'!$M$47&lt;&gt;"",J$3='Bonding Program'!$M$47),'Bonding Program'!$L$47,0)-IF(AND('Bonding Program'!$P$47&lt;&gt;"",J$3='Bonding Program'!$P$47),'Bonding Program'!$O$47,0)-IF(AND('Bonding Program'!$R$47&lt;&gt;"",J$3='Bonding Program'!$R$47),'Bonding Program'!$Q$47,0),0)</f>
        <v>0</v>
      </c>
      <c r="K188" s="19" t="n">
        <f aca="false">IF(AND('Bonding Program'!$S$47=1,K$3='Bonding Program'!$H$47),'Bonding Program'!$AA$47,0)-IF(K$3&lt;='Bonding Program'!$C$8,IF(AND('Bonding Program'!$K$47&lt;&gt;"",K$3='Bonding Program'!$K$47),'Bonding Program'!$J$47,0)-IF(AND('Bonding Program'!$M$47&lt;&gt;"",K$3='Bonding Program'!$M$47),'Bonding Program'!$L$47,0)-IF(AND('Bonding Program'!$P$47&lt;&gt;"",K$3='Bonding Program'!$P$47),'Bonding Program'!$O$47,0)-IF(AND('Bonding Program'!$R$47&lt;&gt;"",K$3='Bonding Program'!$R$47),'Bonding Program'!$Q$47,0),0)</f>
        <v>0</v>
      </c>
      <c r="L188" s="19" t="n">
        <f aca="false">IF(AND('Bonding Program'!$S$47=1,L$3='Bonding Program'!$H$47),'Bonding Program'!$AA$47,0)-IF(L$3&lt;='Bonding Program'!$C$8,IF(AND('Bonding Program'!$K$47&lt;&gt;"",L$3='Bonding Program'!$K$47),'Bonding Program'!$J$47,0)-IF(AND('Bonding Program'!$M$47&lt;&gt;"",L$3='Bonding Program'!$M$47),'Bonding Program'!$L$47,0)-IF(AND('Bonding Program'!$P$47&lt;&gt;"",L$3='Bonding Program'!$P$47),'Bonding Program'!$O$47,0)-IF(AND('Bonding Program'!$R$47&lt;&gt;"",L$3='Bonding Program'!$R$47),'Bonding Program'!$Q$47,0),0)</f>
        <v>0</v>
      </c>
      <c r="M188" s="19" t="n">
        <f aca="false">IF(AND('Bonding Program'!$S$47=1,M$3='Bonding Program'!$H$47),'Bonding Program'!$AA$47,0)-IF(M$3&lt;='Bonding Program'!$C$8,IF(AND('Bonding Program'!$K$47&lt;&gt;"",M$3='Bonding Program'!$K$47),'Bonding Program'!$J$47,0)-IF(AND('Bonding Program'!$M$47&lt;&gt;"",M$3='Bonding Program'!$M$47),'Bonding Program'!$L$47,0)-IF(AND('Bonding Program'!$P$47&lt;&gt;"",M$3='Bonding Program'!$P$47),'Bonding Program'!$O$47,0)-IF(AND('Bonding Program'!$R$47&lt;&gt;"",M$3='Bonding Program'!$R$47),'Bonding Program'!$Q$47,0),0)</f>
        <v>0</v>
      </c>
      <c r="N188" s="19" t="n">
        <f aca="false">IF(AND('Bonding Program'!$S$47=1,N$3='Bonding Program'!$H$47),'Bonding Program'!$AA$47,0)-IF(N$3&lt;='Bonding Program'!$C$8,IF(AND('Bonding Program'!$K$47&lt;&gt;"",N$3='Bonding Program'!$K$47),'Bonding Program'!$J$47,0)-IF(AND('Bonding Program'!$M$47&lt;&gt;"",N$3='Bonding Program'!$M$47),'Bonding Program'!$L$47,0)-IF(AND('Bonding Program'!$P$47&lt;&gt;"",N$3='Bonding Program'!$P$47),'Bonding Program'!$O$47,0)-IF(AND('Bonding Program'!$R$47&lt;&gt;"",N$3='Bonding Program'!$R$47),'Bonding Program'!$Q$47,0),0)</f>
        <v>0</v>
      </c>
      <c r="O188" s="19" t="n">
        <f aca="false">IF(AND('Bonding Program'!$S$47=1,O$3='Bonding Program'!$H$47),'Bonding Program'!$AA$47,0)-IF(O$3&lt;='Bonding Program'!$C$8,IF(AND('Bonding Program'!$K$47&lt;&gt;"",O$3='Bonding Program'!$K$47),'Bonding Program'!$J$47,0)-IF(AND('Bonding Program'!$M$47&lt;&gt;"",O$3='Bonding Program'!$M$47),'Bonding Program'!$L$47,0)-IF(AND('Bonding Program'!$P$47&lt;&gt;"",O$3='Bonding Program'!$P$47),'Bonding Program'!$O$47,0)-IF(AND('Bonding Program'!$R$47&lt;&gt;"",O$3='Bonding Program'!$R$47),'Bonding Program'!$Q$47,0),0)</f>
        <v>0</v>
      </c>
      <c r="P188" s="19" t="n">
        <f aca="false">IF(AND('Bonding Program'!$S$47=1,P$3='Bonding Program'!$H$47),'Bonding Program'!$AA$47,0)-IF(P$3&lt;='Bonding Program'!$C$8,IF(AND('Bonding Program'!$K$47&lt;&gt;"",P$3='Bonding Program'!$K$47),'Bonding Program'!$J$47,0)-IF(AND('Bonding Program'!$M$47&lt;&gt;"",P$3='Bonding Program'!$M$47),'Bonding Program'!$L$47,0)-IF(AND('Bonding Program'!$P$47&lt;&gt;"",P$3='Bonding Program'!$P$47),'Bonding Program'!$O$47,0)-IF(AND('Bonding Program'!$R$47&lt;&gt;"",P$3='Bonding Program'!$R$47),'Bonding Program'!$Q$47,0),0)</f>
        <v>0</v>
      </c>
      <c r="Q188" s="19" t="n">
        <f aca="false">IF(AND('Bonding Program'!$S$47=1,Q$3='Bonding Program'!$H$47),'Bonding Program'!$AA$47,0)-IF(Q$3&lt;='Bonding Program'!$C$8,IF(AND('Bonding Program'!$K$47&lt;&gt;"",Q$3='Bonding Program'!$K$47),'Bonding Program'!$J$47,0)-IF(AND('Bonding Program'!$M$47&lt;&gt;"",Q$3='Bonding Program'!$M$47),'Bonding Program'!$L$47,0)-IF(AND('Bonding Program'!$P$47&lt;&gt;"",Q$3='Bonding Program'!$P$47),'Bonding Program'!$O$47,0)-IF(AND('Bonding Program'!$R$47&lt;&gt;"",Q$3='Bonding Program'!$R$47),'Bonding Program'!$Q$47,0),0)</f>
        <v>0</v>
      </c>
      <c r="R188" s="19" t="n">
        <f aca="false">IF(AND('Bonding Program'!$S$47=1,R$3='Bonding Program'!$H$47),'Bonding Program'!$AA$47,0)-IF(R$3&lt;='Bonding Program'!$C$8,IF(AND('Bonding Program'!$K$47&lt;&gt;"",R$3='Bonding Program'!$K$47),'Bonding Program'!$J$47,0)-IF(AND('Bonding Program'!$M$47&lt;&gt;"",R$3='Bonding Program'!$M$47),'Bonding Program'!$L$47,0)-IF(AND('Bonding Program'!$P$47&lt;&gt;"",R$3='Bonding Program'!$P$47),'Bonding Program'!$O$47,0)-IF(AND('Bonding Program'!$R$47&lt;&gt;"",R$3='Bonding Program'!$R$47),'Bonding Program'!$Q$47,0),0)</f>
        <v>0</v>
      </c>
      <c r="S188" s="19" t="n">
        <f aca="false">IF(AND('Bonding Program'!$S$47=1,S$3='Bonding Program'!$H$47),'Bonding Program'!$AA$47,0)-IF(S$3&lt;='Bonding Program'!$C$8,IF(AND('Bonding Program'!$K$47&lt;&gt;"",S$3='Bonding Program'!$K$47),'Bonding Program'!$J$47,0)-IF(AND('Bonding Program'!$M$47&lt;&gt;"",S$3='Bonding Program'!$M$47),'Bonding Program'!$L$47,0)-IF(AND('Bonding Program'!$P$47&lt;&gt;"",S$3='Bonding Program'!$P$47),'Bonding Program'!$O$47,0)-IF(AND('Bonding Program'!$R$47&lt;&gt;"",S$3='Bonding Program'!$R$47),'Bonding Program'!$Q$47,0),0)</f>
        <v>0</v>
      </c>
      <c r="T188" s="19" t="n">
        <f aca="false">IF(AND('Bonding Program'!$S$47=1,T$3='Bonding Program'!$H$47),'Bonding Program'!$AA$47,0)-IF(T$3&lt;='Bonding Program'!$C$8,IF(AND('Bonding Program'!$K$47&lt;&gt;"",T$3='Bonding Program'!$K$47),'Bonding Program'!$J$47,0)-IF(AND('Bonding Program'!$M$47&lt;&gt;"",T$3='Bonding Program'!$M$47),'Bonding Program'!$L$47,0)-IF(AND('Bonding Program'!$P$47&lt;&gt;"",T$3='Bonding Program'!$P$47),'Bonding Program'!$O$47,0)-IF(AND('Bonding Program'!$R$47&lt;&gt;"",T$3='Bonding Program'!$R$47),'Bonding Program'!$Q$47,0),0)</f>
        <v>0</v>
      </c>
      <c r="U188" s="19" t="n">
        <f aca="false">IF(AND('Bonding Program'!$S$47=1,U$3='Bonding Program'!$H$47),'Bonding Program'!$AA$47,0)-IF(U$3&lt;='Bonding Program'!$C$8,IF(AND('Bonding Program'!$K$47&lt;&gt;"",U$3='Bonding Program'!$K$47),'Bonding Program'!$J$47,0)-IF(AND('Bonding Program'!$M$47&lt;&gt;"",U$3='Bonding Program'!$M$47),'Bonding Program'!$L$47,0)-IF(AND('Bonding Program'!$P$47&lt;&gt;"",U$3='Bonding Program'!$P$47),'Bonding Program'!$O$47,0)-IF(AND('Bonding Program'!$R$47&lt;&gt;"",U$3='Bonding Program'!$R$47),'Bonding Program'!$Q$47,0),0)</f>
        <v>0</v>
      </c>
      <c r="V188" s="19" t="n">
        <f aca="false">IF(AND('Bonding Program'!$S$47=1,V$3='Bonding Program'!$H$47),'Bonding Program'!$AA$47,0)-IF(V$3&lt;='Bonding Program'!$C$8,IF(AND('Bonding Program'!$K$47&lt;&gt;"",V$3='Bonding Program'!$K$47),'Bonding Program'!$J$47,0)-IF(AND('Bonding Program'!$M$47&lt;&gt;"",V$3='Bonding Program'!$M$47),'Bonding Program'!$L$47,0)-IF(AND('Bonding Program'!$P$47&lt;&gt;"",V$3='Bonding Program'!$P$47),'Bonding Program'!$O$47,0)-IF(AND('Bonding Program'!$R$47&lt;&gt;"",V$3='Bonding Program'!$R$47),'Bonding Program'!$Q$47,0),0)</f>
        <v>0</v>
      </c>
      <c r="W188" s="19" t="n">
        <f aca="false">IF(AND('Bonding Program'!$S$47=1,W$3='Bonding Program'!$H$47),'Bonding Program'!$AA$47,0)-IF(W$3&lt;='Bonding Program'!$C$8,IF(AND('Bonding Program'!$K$47&lt;&gt;"",W$3='Bonding Program'!$K$47),'Bonding Program'!$J$47,0)-IF(AND('Bonding Program'!$M$47&lt;&gt;"",W$3='Bonding Program'!$M$47),'Bonding Program'!$L$47,0)-IF(AND('Bonding Program'!$P$47&lt;&gt;"",W$3='Bonding Program'!$P$47),'Bonding Program'!$O$47,0)-IF(AND('Bonding Program'!$R$47&lt;&gt;"",W$3='Bonding Program'!$R$47),'Bonding Program'!$Q$47,0),0)</f>
        <v>0</v>
      </c>
      <c r="X188" s="19" t="n">
        <f aca="false">IF(AND('Bonding Program'!$S$47=1,X$3='Bonding Program'!$H$47),'Bonding Program'!$AA$47,0)-IF(X$3&lt;='Bonding Program'!$C$8,IF(AND('Bonding Program'!$K$47&lt;&gt;"",X$3='Bonding Program'!$K$47),'Bonding Program'!$J$47,0)-IF(AND('Bonding Program'!$M$47&lt;&gt;"",X$3='Bonding Program'!$M$47),'Bonding Program'!$L$47,0)-IF(AND('Bonding Program'!$P$47&lt;&gt;"",X$3='Bonding Program'!$P$47),'Bonding Program'!$O$47,0)-IF(AND('Bonding Program'!$R$47&lt;&gt;"",X$3='Bonding Program'!$R$47),'Bonding Program'!$Q$47,0),0)</f>
        <v>0</v>
      </c>
      <c r="Y188" s="19" t="n">
        <f aca="false">IF(AND('Bonding Program'!$S$47=1,Y$3='Bonding Program'!$H$47),'Bonding Program'!$AA$47,0)-IF(Y$3&lt;='Bonding Program'!$C$8,IF(AND('Bonding Program'!$K$47&lt;&gt;"",Y$3='Bonding Program'!$K$47),'Bonding Program'!$J$47,0)-IF(AND('Bonding Program'!$M$47&lt;&gt;"",Y$3='Bonding Program'!$M$47),'Bonding Program'!$L$47,0)-IF(AND('Bonding Program'!$P$47&lt;&gt;"",Y$3='Bonding Program'!$P$47),'Bonding Program'!$O$47,0)-IF(AND('Bonding Program'!$R$47&lt;&gt;"",Y$3='Bonding Program'!$R$47),'Bonding Program'!$Q$47,0),0)</f>
        <v>0</v>
      </c>
      <c r="Z188" s="19" t="n">
        <f aca="false">IF(AND('Bonding Program'!$S$47=1,Z$3='Bonding Program'!$H$47),'Bonding Program'!$AA$47,0)-IF(Z$3&lt;='Bonding Program'!$C$8,IF(AND('Bonding Program'!$K$47&lt;&gt;"",Z$3='Bonding Program'!$K$47),'Bonding Program'!$J$47,0)-IF(AND('Bonding Program'!$M$47&lt;&gt;"",Z$3='Bonding Program'!$M$47),'Bonding Program'!$L$47,0)-IF(AND('Bonding Program'!$P$47&lt;&gt;"",Z$3='Bonding Program'!$P$47),'Bonding Program'!$O$47,0)-IF(AND('Bonding Program'!$R$47&lt;&gt;"",Z$3='Bonding Program'!$R$47),'Bonding Program'!$Q$47,0),0)</f>
        <v>0</v>
      </c>
      <c r="AA188" s="19" t="n">
        <f aca="false">IF(AND('Bonding Program'!$S$47=1,AA$3='Bonding Program'!$H$47),'Bonding Program'!$AA$47,0)-IF(AA$3&lt;='Bonding Program'!$C$8,IF(AND('Bonding Program'!$K$47&lt;&gt;"",AA$3='Bonding Program'!$K$47),'Bonding Program'!$J$47,0)-IF(AND('Bonding Program'!$M$47&lt;&gt;"",AA$3='Bonding Program'!$M$47),'Bonding Program'!$L$47,0)-IF(AND('Bonding Program'!$P$47&lt;&gt;"",AA$3='Bonding Program'!$P$47),'Bonding Program'!$O$47,0)-IF(AND('Bonding Program'!$R$47&lt;&gt;"",AA$3='Bonding Program'!$R$47),'Bonding Program'!$Q$47,0),0)</f>
        <v>0</v>
      </c>
      <c r="AB188" s="19" t="n">
        <f aca="false">IF(AND('Bonding Program'!$S$47=1,AB$3='Bonding Program'!$H$47),'Bonding Program'!$AA$47,0)-IF(AB$3&lt;='Bonding Program'!$C$8,IF(AND('Bonding Program'!$K$47&lt;&gt;"",AB$3='Bonding Program'!$K$47),'Bonding Program'!$J$47,0)-IF(AND('Bonding Program'!$M$47&lt;&gt;"",AB$3='Bonding Program'!$M$47),'Bonding Program'!$L$47,0)-IF(AND('Bonding Program'!$P$47&lt;&gt;"",AB$3='Bonding Program'!$P$47),'Bonding Program'!$O$47,0)-IF(AND('Bonding Program'!$R$47&lt;&gt;"",AB$3='Bonding Program'!$R$47),'Bonding Program'!$Q$47,0),0)</f>
        <v>0</v>
      </c>
      <c r="AC188" s="19" t="n">
        <f aca="false">IF(AND('Bonding Program'!$S$47=1,AC$3='Bonding Program'!$H$47),'Bonding Program'!$AA$47,0)-IF(AC$3&lt;='Bonding Program'!$C$8,IF(AND('Bonding Program'!$K$47&lt;&gt;"",AC$3='Bonding Program'!$K$47),'Bonding Program'!$J$47,0)-IF(AND('Bonding Program'!$M$47&lt;&gt;"",AC$3='Bonding Program'!$M$47),'Bonding Program'!$L$47,0)-IF(AND('Bonding Program'!$P$47&lt;&gt;"",AC$3='Bonding Program'!$P$47),'Bonding Program'!$O$47,0)-IF(AND('Bonding Program'!$R$47&lt;&gt;"",AC$3='Bonding Program'!$R$47),'Bonding Program'!$Q$47,0),0)</f>
        <v>0</v>
      </c>
      <c r="AD188" s="19" t="n">
        <f aca="false">IF(AND('Bonding Program'!$S$47=1,AD$3='Bonding Program'!$H$47),'Bonding Program'!$AA$47,0)-IF(AD$3&lt;='Bonding Program'!$C$8,IF(AND('Bonding Program'!$K$47&lt;&gt;"",AD$3='Bonding Program'!$K$47),'Bonding Program'!$J$47,0)-IF(AND('Bonding Program'!$M$47&lt;&gt;"",AD$3='Bonding Program'!$M$47),'Bonding Program'!$L$47,0)-IF(AND('Bonding Program'!$P$47&lt;&gt;"",AD$3='Bonding Program'!$P$47),'Bonding Program'!$O$47,0)-IF(AND('Bonding Program'!$R$47&lt;&gt;"",AD$3='Bonding Program'!$R$47),'Bonding Program'!$Q$47,0),0)</f>
        <v>0</v>
      </c>
      <c r="AE188" s="19" t="n">
        <f aca="false">IF(AND('Bonding Program'!$S$47=1,AE$3='Bonding Program'!$H$47),'Bonding Program'!$AA$47,0)-IF(AE$3&lt;='Bonding Program'!$C$8,IF(AND('Bonding Program'!$K$47&lt;&gt;"",AE$3='Bonding Program'!$K$47),'Bonding Program'!$J$47,0)-IF(AND('Bonding Program'!$M$47&lt;&gt;"",AE$3='Bonding Program'!$M$47),'Bonding Program'!$L$47,0)-IF(AND('Bonding Program'!$P$47&lt;&gt;"",AE$3='Bonding Program'!$P$47),'Bonding Program'!$O$47,0)-IF(AND('Bonding Program'!$R$47&lt;&gt;"",AE$3='Bonding Program'!$R$47),'Bonding Program'!$Q$47,0),0)</f>
        <v>0</v>
      </c>
      <c r="AF188" s="19" t="n">
        <f aca="false">IF(AND('Bonding Program'!$S$47=1,AF$3='Bonding Program'!$H$47),'Bonding Program'!$AA$47,0)-IF(AF$3&lt;='Bonding Program'!$C$8,IF(AND('Bonding Program'!$K$47&lt;&gt;"",AF$3='Bonding Program'!$K$47),'Bonding Program'!$J$47,0)-IF(AND('Bonding Program'!$M$47&lt;&gt;"",AF$3='Bonding Program'!$M$47),'Bonding Program'!$L$47,0)-IF(AND('Bonding Program'!$P$47&lt;&gt;"",AF$3='Bonding Program'!$P$47),'Bonding Program'!$O$47,0)-IF(AND('Bonding Program'!$R$47&lt;&gt;"",AF$3='Bonding Program'!$R$47),'Bonding Program'!$Q$47,0),0)</f>
        <v>0</v>
      </c>
      <c r="AG188" s="19" t="n">
        <f aca="false">IF(AND('Bonding Program'!$S$47=1,AG$3='Bonding Program'!$H$47),'Bonding Program'!$AA$47,0)-IF(AG$3&lt;='Bonding Program'!$C$8,IF(AND('Bonding Program'!$K$47&lt;&gt;"",AG$3='Bonding Program'!$K$47),'Bonding Program'!$J$47,0)-IF(AND('Bonding Program'!$M$47&lt;&gt;"",AG$3='Bonding Program'!$M$47),'Bonding Program'!$L$47,0)-IF(AND('Bonding Program'!$P$47&lt;&gt;"",AG$3='Bonding Program'!$P$47),'Bonding Program'!$O$47,0)-IF(AND('Bonding Program'!$R$47&lt;&gt;"",AG$3='Bonding Program'!$R$47),'Bonding Program'!$Q$47,0),0)</f>
        <v>0</v>
      </c>
      <c r="AH188" s="19" t="n">
        <f aca="false">IF(AND('Bonding Program'!$S$47=1,AH$3='Bonding Program'!$H$47),'Bonding Program'!$AA$47,0)-IF(AH$3&lt;='Bonding Program'!$C$8,IF(AND('Bonding Program'!$K$47&lt;&gt;"",AH$3='Bonding Program'!$K$47),'Bonding Program'!$J$47,0)-IF(AND('Bonding Program'!$M$47&lt;&gt;"",AH$3='Bonding Program'!$M$47),'Bonding Program'!$L$47,0)-IF(AND('Bonding Program'!$P$47&lt;&gt;"",AH$3='Bonding Program'!$P$47),'Bonding Program'!$O$47,0)-IF(AND('Bonding Program'!$R$47&lt;&gt;"",AH$3='Bonding Program'!$R$47),'Bonding Program'!$Q$47,0),0)</f>
        <v>0</v>
      </c>
      <c r="AI188" s="19" t="n">
        <f aca="false">IF(AND('Bonding Program'!$S$47=1,AI$3='Bonding Program'!$H$47),'Bonding Program'!$AA$47,0)-IF(AI$3&lt;='Bonding Program'!$C$8,IF(AND('Bonding Program'!$K$47&lt;&gt;"",AI$3='Bonding Program'!$K$47),'Bonding Program'!$J$47,0)-IF(AND('Bonding Program'!$M$47&lt;&gt;"",AI$3='Bonding Program'!$M$47),'Bonding Program'!$L$47,0)-IF(AND('Bonding Program'!$P$47&lt;&gt;"",AI$3='Bonding Program'!$P$47),'Bonding Program'!$O$47,0)-IF(AND('Bonding Program'!$R$47&lt;&gt;"",AI$3='Bonding Program'!$R$47),'Bonding Program'!$Q$47,0),0)</f>
        <v>0</v>
      </c>
      <c r="AJ188" s="19" t="n">
        <f aca="false">IF(AND('Bonding Program'!$S$47=1,AJ$3='Bonding Program'!$H$47),'Bonding Program'!$AA$47,0)-IF(AJ$3&lt;='Bonding Program'!$C$8,IF(AND('Bonding Program'!$K$47&lt;&gt;"",AJ$3='Bonding Program'!$K$47),'Bonding Program'!$J$47,0)-IF(AND('Bonding Program'!$M$47&lt;&gt;"",AJ$3='Bonding Program'!$M$47),'Bonding Program'!$L$47,0)-IF(AND('Bonding Program'!$P$47&lt;&gt;"",AJ$3='Bonding Program'!$P$47),'Bonding Program'!$O$47,0)-IF(AND('Bonding Program'!$R$47&lt;&gt;"",AJ$3='Bonding Program'!$R$47),'Bonding Program'!$Q$47,0),0)</f>
        <v>0</v>
      </c>
      <c r="AK188" s="19" t="n">
        <f aca="false">IF(AND('Bonding Program'!$S$47=1,AK$3='Bonding Program'!$H$47),'Bonding Program'!$AA$47,0)-IF(AK$3&lt;='Bonding Program'!$C$8,IF(AND('Bonding Program'!$K$47&lt;&gt;"",AK$3='Bonding Program'!$K$47),'Bonding Program'!$J$47,0)-IF(AND('Bonding Program'!$M$47&lt;&gt;"",AK$3='Bonding Program'!$M$47),'Bonding Program'!$L$47,0)-IF(AND('Bonding Program'!$P$47&lt;&gt;"",AK$3='Bonding Program'!$P$47),'Bonding Program'!$O$47,0)-IF(AND('Bonding Program'!$R$47&lt;&gt;"",AK$3='Bonding Program'!$R$47),'Bonding Program'!$Q$47,0),0)</f>
        <v>0</v>
      </c>
      <c r="AL188" s="19" t="n">
        <f aca="false">IF(AND('Bonding Program'!$S$47=1,AL$3='Bonding Program'!$H$47),'Bonding Program'!$AA$47,0)-IF(AL$3&lt;='Bonding Program'!$C$8,IF(AND('Bonding Program'!$K$47&lt;&gt;"",AL$3='Bonding Program'!$K$47),'Bonding Program'!$J$47,0)-IF(AND('Bonding Program'!$M$47&lt;&gt;"",AL$3='Bonding Program'!$M$47),'Bonding Program'!$L$47,0)-IF(AND('Bonding Program'!$P$47&lt;&gt;"",AL$3='Bonding Program'!$P$47),'Bonding Program'!$O$47,0)-IF(AND('Bonding Program'!$R$47&lt;&gt;"",AL$3='Bonding Program'!$R$47),'Bonding Program'!$Q$47,0),0)</f>
        <v>0</v>
      </c>
      <c r="AM188" s="19" t="n">
        <f aca="false">IF(AND('Bonding Program'!$S$47=1,AM$3='Bonding Program'!$H$47),'Bonding Program'!$AA$47,0)-IF(AM$3&lt;='Bonding Program'!$C$8,IF(AND('Bonding Program'!$K$47&lt;&gt;"",AM$3='Bonding Program'!$K$47),'Bonding Program'!$J$47,0)-IF(AND('Bonding Program'!$M$47&lt;&gt;"",AM$3='Bonding Program'!$M$47),'Bonding Program'!$L$47,0)-IF(AND('Bonding Program'!$P$47&lt;&gt;"",AM$3='Bonding Program'!$P$47),'Bonding Program'!$O$47,0)-IF(AND('Bonding Program'!$R$47&lt;&gt;"",AM$3='Bonding Program'!$R$47),'Bonding Program'!$Q$47,0),0)</f>
        <v>0</v>
      </c>
      <c r="AN188" s="19" t="n">
        <f aca="false">IF(AND('Bonding Program'!$S$47=1,AN$3='Bonding Program'!$H$47),'Bonding Program'!$AA$47,0)-IF(AN$3&lt;='Bonding Program'!$C$8,IF(AND('Bonding Program'!$K$47&lt;&gt;"",AN$3='Bonding Program'!$K$47),'Bonding Program'!$J$47,0)-IF(AND('Bonding Program'!$M$47&lt;&gt;"",AN$3='Bonding Program'!$M$47),'Bonding Program'!$L$47,0)-IF(AND('Bonding Program'!$P$47&lt;&gt;"",AN$3='Bonding Program'!$P$47),'Bonding Program'!$O$47,0)-IF(AND('Bonding Program'!$R$47&lt;&gt;"",AN$3='Bonding Program'!$R$47),'Bonding Program'!$Q$47,0),0)</f>
        <v>0</v>
      </c>
      <c r="AO188" s="19" t="n">
        <f aca="false">IF(AND('Bonding Program'!$S$47=1,AO$3='Bonding Program'!$H$47),'Bonding Program'!$AA$47,0)-IF(AO$3&lt;='Bonding Program'!$C$8,IF(AND('Bonding Program'!$K$47&lt;&gt;"",AO$3='Bonding Program'!$K$47),'Bonding Program'!$J$47,0)-IF(AND('Bonding Program'!$M$47&lt;&gt;"",AO$3='Bonding Program'!$M$47),'Bonding Program'!$L$47,0)-IF(AND('Bonding Program'!$P$47&lt;&gt;"",AO$3='Bonding Program'!$P$47),'Bonding Program'!$O$47,0)-IF(AND('Bonding Program'!$R$47&lt;&gt;"",AO$3='Bonding Program'!$R$47),'Bonding Program'!$Q$47,0),0)</f>
        <v>0</v>
      </c>
      <c r="AP188" s="19" t="n">
        <f aca="false">IF(AND('Bonding Program'!$S$47=1,AP$3='Bonding Program'!$H$47),'Bonding Program'!$AA$47,0)-IF(AP$3&lt;='Bonding Program'!$C$8,IF(AND('Bonding Program'!$K$47&lt;&gt;"",AP$3='Bonding Program'!$K$47),'Bonding Program'!$J$47,0)-IF(AND('Bonding Program'!$M$47&lt;&gt;"",AP$3='Bonding Program'!$M$47),'Bonding Program'!$L$47,0)-IF(AND('Bonding Program'!$P$47&lt;&gt;"",AP$3='Bonding Program'!$P$47),'Bonding Program'!$O$47,0)-IF(AND('Bonding Program'!$R$47&lt;&gt;"",AP$3='Bonding Program'!$R$47),'Bonding Program'!$Q$47,0),0)</f>
        <v>0</v>
      </c>
      <c r="AQ188" s="19" t="n">
        <f aca="false">IF(AND('Bonding Program'!$S$47=1,AQ$3='Bonding Program'!$H$47),'Bonding Program'!$AA$47,0)-IF(AQ$3&lt;='Bonding Program'!$C$8,IF(AND('Bonding Program'!$K$47&lt;&gt;"",AQ$3='Bonding Program'!$K$47),'Bonding Program'!$J$47,0)-IF(AND('Bonding Program'!$M$47&lt;&gt;"",AQ$3='Bonding Program'!$M$47),'Bonding Program'!$L$47,0)-IF(AND('Bonding Program'!$P$47&lt;&gt;"",AQ$3='Bonding Program'!$P$47),'Bonding Program'!$O$47,0)-IF(AND('Bonding Program'!$R$47&lt;&gt;"",AQ$3='Bonding Program'!$R$47),'Bonding Program'!$Q$47,0),0)</f>
        <v>0</v>
      </c>
      <c r="AR188" s="19" t="n">
        <f aca="false">IF(AND('Bonding Program'!$S$47=1,AR$3='Bonding Program'!$H$47),'Bonding Program'!$AA$47,0)-IF(AR$3&lt;='Bonding Program'!$C$8,IF(AND('Bonding Program'!$K$47&lt;&gt;"",AR$3='Bonding Program'!$K$47),'Bonding Program'!$J$47,0)-IF(AND('Bonding Program'!$M$47&lt;&gt;"",AR$3='Bonding Program'!$M$47),'Bonding Program'!$L$47,0)-IF(AND('Bonding Program'!$P$47&lt;&gt;"",AR$3='Bonding Program'!$P$47),'Bonding Program'!$O$47,0)-IF(AND('Bonding Program'!$R$47&lt;&gt;"",AR$3='Bonding Program'!$R$47),'Bonding Program'!$Q$47,0),0)</f>
        <v>0</v>
      </c>
      <c r="AS188" s="19" t="n">
        <f aca="false">IF(AND('Bonding Program'!$S$47=1,AS$3='Bonding Program'!$H$47),'Bonding Program'!$AA$47,0)-IF(AS$3&lt;='Bonding Program'!$C$8,IF(AND('Bonding Program'!$K$47&lt;&gt;"",AS$3='Bonding Program'!$K$47),'Bonding Program'!$J$47,0)-IF(AND('Bonding Program'!$M$47&lt;&gt;"",AS$3='Bonding Program'!$M$47),'Bonding Program'!$L$47,0)-IF(AND('Bonding Program'!$P$47&lt;&gt;"",AS$3='Bonding Program'!$P$47),'Bonding Program'!$O$47,0)-IF(AND('Bonding Program'!$R$47&lt;&gt;"",AS$3='Bonding Program'!$R$47),'Bonding Program'!$Q$47,0),0)</f>
        <v>0</v>
      </c>
      <c r="AT188" s="19" t="n">
        <f aca="false">IF(AND('Bonding Program'!$S$47=1,AT$3='Bonding Program'!$H$47),'Bonding Program'!$AA$47,0)-IF(AT$3&lt;='Bonding Program'!$C$8,IF(AND('Bonding Program'!$K$47&lt;&gt;"",AT$3='Bonding Program'!$K$47),'Bonding Program'!$J$47,0)-IF(AND('Bonding Program'!$M$47&lt;&gt;"",AT$3='Bonding Program'!$M$47),'Bonding Program'!$L$47,0)-IF(AND('Bonding Program'!$P$47&lt;&gt;"",AT$3='Bonding Program'!$P$47),'Bonding Program'!$O$47,0)-IF(AND('Bonding Program'!$R$47&lt;&gt;"",AT$3='Bonding Program'!$R$47),'Bonding Program'!$Q$47,0),0)</f>
        <v>0</v>
      </c>
      <c r="AU188" s="19" t="n">
        <f aca="false">IF(AND('Bonding Program'!$S$47=1,AU$3='Bonding Program'!$H$47),'Bonding Program'!$AA$47,0)-IF(AU$3&lt;='Bonding Program'!$C$8,IF(AND('Bonding Program'!$K$47&lt;&gt;"",AU$3='Bonding Program'!$K$47),'Bonding Program'!$J$47,0)-IF(AND('Bonding Program'!$M$47&lt;&gt;"",AU$3='Bonding Program'!$M$47),'Bonding Program'!$L$47,0)-IF(AND('Bonding Program'!$P$47&lt;&gt;"",AU$3='Bonding Program'!$P$47),'Bonding Program'!$O$47,0)-IF(AND('Bonding Program'!$R$47&lt;&gt;"",AU$3='Bonding Program'!$R$47),'Bonding Program'!$Q$47,0),0)</f>
        <v>0</v>
      </c>
      <c r="AV188" s="19" t="n">
        <f aca="false">IF(AND('Bonding Program'!$S$47=1,AV$3='Bonding Program'!$H$47),'Bonding Program'!$AA$47,0)-IF(AV$3&lt;='Bonding Program'!$C$8,IF(AND('Bonding Program'!$K$47&lt;&gt;"",AV$3='Bonding Program'!$K$47),'Bonding Program'!$J$47,0)-IF(AND('Bonding Program'!$M$47&lt;&gt;"",AV$3='Bonding Program'!$M$47),'Bonding Program'!$L$47,0)-IF(AND('Bonding Program'!$P$47&lt;&gt;"",AV$3='Bonding Program'!$P$47),'Bonding Program'!$O$47,0)-IF(AND('Bonding Program'!$R$47&lt;&gt;"",AV$3='Bonding Program'!$R$47),'Bonding Program'!$Q$47,0),0)</f>
        <v>0</v>
      </c>
      <c r="AW188" s="19" t="n">
        <f aca="false">IF(AND('Bonding Program'!$S$47=1,AW$3='Bonding Program'!$H$47),'Bonding Program'!$AA$47,0)-IF(AW$3&lt;='Bonding Program'!$C$8,IF(AND('Bonding Program'!$K$47&lt;&gt;"",AW$3='Bonding Program'!$K$47),'Bonding Program'!$J$47,0)-IF(AND('Bonding Program'!$M$47&lt;&gt;"",AW$3='Bonding Program'!$M$47),'Bonding Program'!$L$47,0)-IF(AND('Bonding Program'!$P$47&lt;&gt;"",AW$3='Bonding Program'!$P$47),'Bonding Program'!$O$47,0)-IF(AND('Bonding Program'!$R$47&lt;&gt;"",AW$3='Bonding Program'!$R$47),'Bonding Program'!$Q$47,0),0)</f>
        <v>0</v>
      </c>
      <c r="AX188" s="19" t="n">
        <f aca="false">IF(AND('Bonding Program'!$S$47=1,AX$3='Bonding Program'!$H$47),'Bonding Program'!$AA$47,0)-IF(AX$3&lt;='Bonding Program'!$C$8,IF(AND('Bonding Program'!$K$47&lt;&gt;"",AX$3='Bonding Program'!$K$47),'Bonding Program'!$J$47,0)-IF(AND('Bonding Program'!$M$47&lt;&gt;"",AX$3='Bonding Program'!$M$47),'Bonding Program'!$L$47,0)-IF(AND('Bonding Program'!$P$47&lt;&gt;"",AX$3='Bonding Program'!$P$47),'Bonding Program'!$O$47,0)-IF(AND('Bonding Program'!$R$47&lt;&gt;"",AX$3='Bonding Program'!$R$47),'Bonding Program'!$Q$47,0),0)</f>
        <v>0</v>
      </c>
      <c r="AY188" s="19" t="n">
        <f aca="false">IF(AND('Bonding Program'!$S$47=1,AY$3='Bonding Program'!$H$47),'Bonding Program'!$AA$47,0)-IF(AY$3&lt;='Bonding Program'!$C$8,IF(AND('Bonding Program'!$K$47&lt;&gt;"",AY$3='Bonding Program'!$K$47),'Bonding Program'!$J$47,0)-IF(AND('Bonding Program'!$M$47&lt;&gt;"",AY$3='Bonding Program'!$M$47),'Bonding Program'!$L$47,0)-IF(AND('Bonding Program'!$P$47&lt;&gt;"",AY$3='Bonding Program'!$P$47),'Bonding Program'!$O$47,0)-IF(AND('Bonding Program'!$R$47&lt;&gt;"",AY$3='Bonding Program'!$R$47),'Bonding Program'!$Q$47,0),0)</f>
        <v>0</v>
      </c>
      <c r="AZ188" s="19" t="n">
        <f aca="false">IF(AND('Bonding Program'!$S$47=1,AZ$3='Bonding Program'!$H$47),'Bonding Program'!$AA$47,0)-IF(AZ$3&lt;='Bonding Program'!$C$8,IF(AND('Bonding Program'!$K$47&lt;&gt;"",AZ$3='Bonding Program'!$K$47),'Bonding Program'!$J$47,0)-IF(AND('Bonding Program'!$M$47&lt;&gt;"",AZ$3='Bonding Program'!$M$47),'Bonding Program'!$L$47,0)-IF(AND('Bonding Program'!$P$47&lt;&gt;"",AZ$3='Bonding Program'!$P$47),'Bonding Program'!$O$47,0)-IF(AND('Bonding Program'!$R$47&lt;&gt;"",AZ$3='Bonding Program'!$R$47),'Bonding Program'!$Q$47,0),0)</f>
        <v>0</v>
      </c>
      <c r="BA188" s="19" t="n">
        <f aca="false">IF(AND('Bonding Program'!$S$47=1,BA$3='Bonding Program'!$H$47),'Bonding Program'!$AA$47,0)-IF(BA$3&lt;='Bonding Program'!$C$8,IF(AND('Bonding Program'!$K$47&lt;&gt;"",BA$3='Bonding Program'!$K$47),'Bonding Program'!$J$47,0)-IF(AND('Bonding Program'!$M$47&lt;&gt;"",BA$3='Bonding Program'!$M$47),'Bonding Program'!$L$47,0)-IF(AND('Bonding Program'!$P$47&lt;&gt;"",BA$3='Bonding Program'!$P$47),'Bonding Program'!$O$47,0)-IF(AND('Bonding Program'!$R$47&lt;&gt;"",BA$3='Bonding Program'!$R$47),'Bonding Program'!$Q$47,0),0)</f>
        <v>0</v>
      </c>
      <c r="BB188" s="19" t="n">
        <f aca="false">IF(AND('Bonding Program'!$S$47=1,BB$3='Bonding Program'!$H$47),'Bonding Program'!$AA$47,0)-IF(BB$3&lt;='Bonding Program'!$C$8,IF(AND('Bonding Program'!$K$47&lt;&gt;"",BB$3='Bonding Program'!$K$47),'Bonding Program'!$J$47,0)-IF(AND('Bonding Program'!$M$47&lt;&gt;"",BB$3='Bonding Program'!$M$47),'Bonding Program'!$L$47,0)-IF(AND('Bonding Program'!$P$47&lt;&gt;"",BB$3='Bonding Program'!$P$47),'Bonding Program'!$O$47,0)-IF(AND('Bonding Program'!$R$47&lt;&gt;"",BB$3='Bonding Program'!$R$47),'Bonding Program'!$Q$47,0),0)</f>
        <v>0</v>
      </c>
      <c r="BC188" s="19" t="n">
        <f aca="false">IF(AND('Bonding Program'!$S$47=1,BC$3='Bonding Program'!$H$47),'Bonding Program'!$AA$47,0)-IF(BC$3&lt;='Bonding Program'!$C$8,IF(AND('Bonding Program'!$K$47&lt;&gt;"",BC$3='Bonding Program'!$K$47),'Bonding Program'!$J$47,0)-IF(AND('Bonding Program'!$M$47&lt;&gt;"",BC$3='Bonding Program'!$M$47),'Bonding Program'!$L$47,0)-IF(AND('Bonding Program'!$P$47&lt;&gt;"",BC$3='Bonding Program'!$P$47),'Bonding Program'!$O$47,0)-IF(AND('Bonding Program'!$R$47&lt;&gt;"",BC$3='Bonding Program'!$R$47),'Bonding Program'!$Q$47,0),0)</f>
        <v>0</v>
      </c>
      <c r="BD188" s="19" t="n">
        <f aca="false">IF(AND('Bonding Program'!$S$47=1,BD$3='Bonding Program'!$H$47),'Bonding Program'!$AA$47,0)-IF(BD$3&lt;='Bonding Program'!$C$8,IF(AND('Bonding Program'!$K$47&lt;&gt;"",BD$3='Bonding Program'!$K$47),'Bonding Program'!$J$47,0)-IF(AND('Bonding Program'!$M$47&lt;&gt;"",BD$3='Bonding Program'!$M$47),'Bonding Program'!$L$47,0)-IF(AND('Bonding Program'!$P$47&lt;&gt;"",BD$3='Bonding Program'!$P$47),'Bonding Program'!$O$47,0)-IF(AND('Bonding Program'!$R$47&lt;&gt;"",BD$3='Bonding Program'!$R$47),'Bonding Program'!$Q$47,0),0)</f>
        <v>0</v>
      </c>
      <c r="BE188" s="19" t="n">
        <f aca="false">IF(AND('Bonding Program'!$S$47=1,BE$3='Bonding Program'!$H$47),'Bonding Program'!$AA$47,0)-IF(BE$3&lt;='Bonding Program'!$C$8,IF(AND('Bonding Program'!$K$47&lt;&gt;"",BE$3='Bonding Program'!$K$47),'Bonding Program'!$J$47,0)-IF(AND('Bonding Program'!$M$47&lt;&gt;"",BE$3='Bonding Program'!$M$47),'Bonding Program'!$L$47,0)-IF(AND('Bonding Program'!$P$47&lt;&gt;"",BE$3='Bonding Program'!$P$47),'Bonding Program'!$O$47,0)-IF(AND('Bonding Program'!$R$47&lt;&gt;"",BE$3='Bonding Program'!$R$47),'Bonding Program'!$Q$47,0),0)</f>
        <v>0</v>
      </c>
      <c r="BF188" s="19" t="n">
        <f aca="false">IF(AND('Bonding Program'!$S$47=1,BF$3='Bonding Program'!$H$47),'Bonding Program'!$AA$47,0)-IF(BF$3&lt;='Bonding Program'!$C$8,IF(AND('Bonding Program'!$K$47&lt;&gt;"",BF$3='Bonding Program'!$K$47),'Bonding Program'!$J$47,0)-IF(AND('Bonding Program'!$M$47&lt;&gt;"",BF$3='Bonding Program'!$M$47),'Bonding Program'!$L$47,0)-IF(AND('Bonding Program'!$P$47&lt;&gt;"",BF$3='Bonding Program'!$P$47),'Bonding Program'!$O$47,0)-IF(AND('Bonding Program'!$R$47&lt;&gt;"",BF$3='Bonding Program'!$R$47),'Bonding Program'!$Q$47,0),0)</f>
        <v>0</v>
      </c>
      <c r="BG188" s="19" t="n">
        <f aca="false">IF(AND('Bonding Program'!$S$47=1,BG$3='Bonding Program'!$H$47),'Bonding Program'!$AA$47,0)-IF(BG$3&lt;='Bonding Program'!$C$8,IF(AND('Bonding Program'!$K$47&lt;&gt;"",BG$3='Bonding Program'!$K$47),'Bonding Program'!$J$47,0)-IF(AND('Bonding Program'!$M$47&lt;&gt;"",BG$3='Bonding Program'!$M$47),'Bonding Program'!$L$47,0)-IF(AND('Bonding Program'!$P$47&lt;&gt;"",BG$3='Bonding Program'!$P$47),'Bonding Program'!$O$47,0)-IF(AND('Bonding Program'!$R$47&lt;&gt;"",BG$3='Bonding Program'!$R$47),'Bonding Program'!$Q$47,0),0)</f>
        <v>0</v>
      </c>
      <c r="BH188" s="19" t="n">
        <f aca="false">IF(AND('Bonding Program'!$S$47=1,BH$3='Bonding Program'!$H$47),'Bonding Program'!$AA$47,0)-IF(BH$3&lt;='Bonding Program'!$C$8,IF(AND('Bonding Program'!$K$47&lt;&gt;"",BH$3='Bonding Program'!$K$47),'Bonding Program'!$J$47,0)-IF(AND('Bonding Program'!$M$47&lt;&gt;"",BH$3='Bonding Program'!$M$47),'Bonding Program'!$L$47,0)-IF(AND('Bonding Program'!$P$47&lt;&gt;"",BH$3='Bonding Program'!$P$47),'Bonding Program'!$O$47,0)-IF(AND('Bonding Program'!$R$47&lt;&gt;"",BH$3='Bonding Program'!$R$47),'Bonding Program'!$Q$47,0),0)</f>
        <v>0</v>
      </c>
      <c r="BI188" s="19" t="n">
        <f aca="false">IF(AND('Bonding Program'!$S$47=1,BI$3='Bonding Program'!$H$47),'Bonding Program'!$AA$47,0)-IF(BI$3&lt;='Bonding Program'!$C$8,IF(AND('Bonding Program'!$K$47&lt;&gt;"",BI$3='Bonding Program'!$K$47),'Bonding Program'!$J$47,0)-IF(AND('Bonding Program'!$M$47&lt;&gt;"",BI$3='Bonding Program'!$M$47),'Bonding Program'!$L$47,0)-IF(AND('Bonding Program'!$P$47&lt;&gt;"",BI$3='Bonding Program'!$P$47),'Bonding Program'!$O$47,0)-IF(AND('Bonding Program'!$R$47&lt;&gt;"",BI$3='Bonding Program'!$R$47),'Bonding Program'!$Q$47,0),0)</f>
        <v>0</v>
      </c>
      <c r="BJ188" s="19" t="n">
        <f aca="false">IF(AND('Bonding Program'!$S$47=1,BJ$3='Bonding Program'!$H$47),'Bonding Program'!$AA$47,0)-IF(BJ$3&lt;='Bonding Program'!$C$8,IF(AND('Bonding Program'!$K$47&lt;&gt;"",BJ$3='Bonding Program'!$K$47),'Bonding Program'!$J$47,0)-IF(AND('Bonding Program'!$M$47&lt;&gt;"",BJ$3='Bonding Program'!$M$47),'Bonding Program'!$L$47,0)-IF(AND('Bonding Program'!$P$47&lt;&gt;"",BJ$3='Bonding Program'!$P$47),'Bonding Program'!$O$47,0)-IF(AND('Bonding Program'!$R$47&lt;&gt;"",BJ$3='Bonding Program'!$R$47),'Bonding Program'!$Q$47,0),0)</f>
        <v>0</v>
      </c>
      <c r="BK188" s="19" t="n">
        <f aca="false">IF(AND('Bonding Program'!$S$47=1,BK$3='Bonding Program'!$H$47),'Bonding Program'!$AA$47,0)-IF(BK$3&lt;='Bonding Program'!$C$8,IF(AND('Bonding Program'!$K$47&lt;&gt;"",BK$3='Bonding Program'!$K$47),'Bonding Program'!$J$47,0)-IF(AND('Bonding Program'!$M$47&lt;&gt;"",BK$3='Bonding Program'!$M$47),'Bonding Program'!$L$47,0)-IF(AND('Bonding Program'!$P$47&lt;&gt;"",BK$3='Bonding Program'!$P$47),'Bonding Program'!$O$47,0)-IF(AND('Bonding Program'!$R$47&lt;&gt;"",BK$3='Bonding Program'!$R$47),'Bonding Program'!$Q$47,0),0)</f>
        <v>0</v>
      </c>
      <c r="BL188" s="19" t="n">
        <f aca="false">IF(AND('Bonding Program'!$S$47=1,BL$3='Bonding Program'!$H$47),'Bonding Program'!$AA$47,0)-IF(BL$3&lt;='Bonding Program'!$C$8,IF(AND('Bonding Program'!$K$47&lt;&gt;"",BL$3='Bonding Program'!$K$47),'Bonding Program'!$J$47,0)-IF(AND('Bonding Program'!$M$47&lt;&gt;"",BL$3='Bonding Program'!$M$47),'Bonding Program'!$L$47,0)-IF(AND('Bonding Program'!$P$47&lt;&gt;"",BL$3='Bonding Program'!$P$47),'Bonding Program'!$O$47,0)-IF(AND('Bonding Program'!$R$47&lt;&gt;"",BL$3='Bonding Program'!$R$47),'Bonding Program'!$Q$47,0),0)</f>
        <v>0</v>
      </c>
      <c r="BM188" s="19" t="n">
        <f aca="false">IF(AND('Bonding Program'!$S$47=1,BM$3='Bonding Program'!$H$47),'Bonding Program'!$AA$47,0)-IF(BM$3&lt;='Bonding Program'!$C$8,IF(AND('Bonding Program'!$K$47&lt;&gt;"",BM$3='Bonding Program'!$K$47),'Bonding Program'!$J$47,0)-IF(AND('Bonding Program'!$M$47&lt;&gt;"",BM$3='Bonding Program'!$M$47),'Bonding Program'!$L$47,0)-IF(AND('Bonding Program'!$P$47&lt;&gt;"",BM$3='Bonding Program'!$P$47),'Bonding Program'!$O$47,0)-IF(AND('Bonding Program'!$R$47&lt;&gt;"",BM$3='Bonding Program'!$R$47),'Bonding Program'!$Q$47,0),0)</f>
        <v>0</v>
      </c>
      <c r="BN188" s="19" t="n">
        <f aca="false">IF(AND('Bonding Program'!$S$47=1,BN$3='Bonding Program'!$H$47),'Bonding Program'!$AA$47,0)-IF(BN$3&lt;='Bonding Program'!$C$8,IF(AND('Bonding Program'!$K$47&lt;&gt;"",BN$3='Bonding Program'!$K$47),'Bonding Program'!$J$47,0)-IF(AND('Bonding Program'!$M$47&lt;&gt;"",BN$3='Bonding Program'!$M$47),'Bonding Program'!$L$47,0)-IF(AND('Bonding Program'!$P$47&lt;&gt;"",BN$3='Bonding Program'!$P$47),'Bonding Program'!$O$47,0)-IF(AND('Bonding Program'!$R$47&lt;&gt;"",BN$3='Bonding Program'!$R$47),'Bonding Program'!$Q$47,0),0)</f>
        <v>0</v>
      </c>
      <c r="BO188" s="19" t="n">
        <f aca="false">IF(AND('Bonding Program'!$S$47=1,BO$3='Bonding Program'!$H$47),'Bonding Program'!$AA$47,0)-IF(BO$3&lt;='Bonding Program'!$C$8,IF(AND('Bonding Program'!$K$47&lt;&gt;"",BO$3='Bonding Program'!$K$47),'Bonding Program'!$J$47,0)-IF(AND('Bonding Program'!$M$47&lt;&gt;"",BO$3='Bonding Program'!$M$47),'Bonding Program'!$L$47,0)-IF(AND('Bonding Program'!$P$47&lt;&gt;"",BO$3='Bonding Program'!$P$47),'Bonding Program'!$O$47,0)-IF(AND('Bonding Program'!$R$47&lt;&gt;"",BO$3='Bonding Program'!$R$47),'Bonding Program'!$Q$47,0),0)</f>
        <v>0</v>
      </c>
      <c r="BP188" s="19" t="n">
        <f aca="false">IF(AND('Bonding Program'!$S$47=1,BP$3='Bonding Program'!$H$47),'Bonding Program'!$AA$47,0)-IF(BP$3&lt;='Bonding Program'!$C$8,IF(AND('Bonding Program'!$K$47&lt;&gt;"",BP$3='Bonding Program'!$K$47),'Bonding Program'!$J$47,0)-IF(AND('Bonding Program'!$M$47&lt;&gt;"",BP$3='Bonding Program'!$M$47),'Bonding Program'!$L$47,0)-IF(AND('Bonding Program'!$P$47&lt;&gt;"",BP$3='Bonding Program'!$P$47),'Bonding Program'!$O$47,0)-IF(AND('Bonding Program'!$R$47&lt;&gt;"",BP$3='Bonding Program'!$R$47),'Bonding Program'!$Q$47,0),0)</f>
        <v>0</v>
      </c>
      <c r="BQ188" s="19" t="n">
        <f aca="false">IF(AND('Bonding Program'!$S$47=1,BQ$3='Bonding Program'!$H$47),'Bonding Program'!$AA$47,0)-IF(BQ$3&lt;='Bonding Program'!$C$8,IF(AND('Bonding Program'!$K$47&lt;&gt;"",BQ$3='Bonding Program'!$K$47),'Bonding Program'!$J$47,0)-IF(AND('Bonding Program'!$M$47&lt;&gt;"",BQ$3='Bonding Program'!$M$47),'Bonding Program'!$L$47,0)-IF(AND('Bonding Program'!$P$47&lt;&gt;"",BQ$3='Bonding Program'!$P$47),'Bonding Program'!$O$47,0)-IF(AND('Bonding Program'!$R$47&lt;&gt;"",BQ$3='Bonding Program'!$R$47),'Bonding Program'!$Q$47,0),0)</f>
        <v>0</v>
      </c>
      <c r="BR188" s="19" t="n">
        <f aca="false">IF(AND('Bonding Program'!$S$47=1,BR$3='Bonding Program'!$H$47),'Bonding Program'!$AA$47,0)-IF(BR$3&lt;='Bonding Program'!$C$8,IF(AND('Bonding Program'!$K$47&lt;&gt;"",BR$3='Bonding Program'!$K$47),'Bonding Program'!$J$47,0)-IF(AND('Bonding Program'!$M$47&lt;&gt;"",BR$3='Bonding Program'!$M$47),'Bonding Program'!$L$47,0)-IF(AND('Bonding Program'!$P$47&lt;&gt;"",BR$3='Bonding Program'!$P$47),'Bonding Program'!$O$47,0)-IF(AND('Bonding Program'!$R$47&lt;&gt;"",BR$3='Bonding Program'!$R$47),'Bonding Program'!$Q$47,0),0)</f>
        <v>0</v>
      </c>
      <c r="BS188" s="19" t="n">
        <f aca="false">IF(AND('Bonding Program'!$S$47=1,BS$3='Bonding Program'!$H$47),'Bonding Program'!$AA$47,0)-IF(BS$3&lt;='Bonding Program'!$C$8,IF(AND('Bonding Program'!$K$47&lt;&gt;"",BS$3='Bonding Program'!$K$47),'Bonding Program'!$J$47,0)-IF(AND('Bonding Program'!$M$47&lt;&gt;"",BS$3='Bonding Program'!$M$47),'Bonding Program'!$L$47,0)-IF(AND('Bonding Program'!$P$47&lt;&gt;"",BS$3='Bonding Program'!$P$47),'Bonding Program'!$O$47,0)-IF(AND('Bonding Program'!$R$47&lt;&gt;"",BS$3='Bonding Program'!$R$47),'Bonding Program'!$Q$47,0),0)</f>
        <v>0</v>
      </c>
      <c r="BT188" s="19" t="n">
        <f aca="false">IF(AND('Bonding Program'!$S$47=1,BT$3='Bonding Program'!$H$47),'Bonding Program'!$AA$47,0)-IF(BT$3&lt;='Bonding Program'!$C$8,IF(AND('Bonding Program'!$K$47&lt;&gt;"",BT$3='Bonding Program'!$K$47),'Bonding Program'!$J$47,0)-IF(AND('Bonding Program'!$M$47&lt;&gt;"",BT$3='Bonding Program'!$M$47),'Bonding Program'!$L$47,0)-IF(AND('Bonding Program'!$P$47&lt;&gt;"",BT$3='Bonding Program'!$P$47),'Bonding Program'!$O$47,0)-IF(AND('Bonding Program'!$R$47&lt;&gt;"",BT$3='Bonding Program'!$R$47),'Bonding Program'!$Q$47,0),0)</f>
        <v>0</v>
      </c>
      <c r="BU188" s="19" t="n">
        <f aca="false">IF(AND('Bonding Program'!$S$47=1,BU$3='Bonding Program'!$H$47),'Bonding Program'!$AA$47,0)-IF(BU$3&lt;='Bonding Program'!$C$8,IF(AND('Bonding Program'!$K$47&lt;&gt;"",BU$3='Bonding Program'!$K$47),'Bonding Program'!$J$47,0)-IF(AND('Bonding Program'!$M$47&lt;&gt;"",BU$3='Bonding Program'!$M$47),'Bonding Program'!$L$47,0)-IF(AND('Bonding Program'!$P$47&lt;&gt;"",BU$3='Bonding Program'!$P$47),'Bonding Program'!$O$47,0)-IF(AND('Bonding Program'!$R$47&lt;&gt;"",BU$3='Bonding Program'!$R$47),'Bonding Program'!$Q$47,0),0)</f>
        <v>0</v>
      </c>
      <c r="BV188" s="19" t="n">
        <f aca="false">IF(AND('Bonding Program'!$S$47=1,BV$3='Bonding Program'!$H$47),'Bonding Program'!$AA$47,0)-IF(BV$3&lt;='Bonding Program'!$C$8,IF(AND('Bonding Program'!$K$47&lt;&gt;"",BV$3='Bonding Program'!$K$47),'Bonding Program'!$J$47,0)-IF(AND('Bonding Program'!$M$47&lt;&gt;"",BV$3='Bonding Program'!$M$47),'Bonding Program'!$L$47,0)-IF(AND('Bonding Program'!$P$47&lt;&gt;"",BV$3='Bonding Program'!$P$47),'Bonding Program'!$O$47,0)-IF(AND('Bonding Program'!$R$47&lt;&gt;"",BV$3='Bonding Program'!$R$47),'Bonding Program'!$Q$47,0),0)</f>
        <v>0</v>
      </c>
      <c r="BW188" s="19" t="n">
        <f aca="false">IF(AND('Bonding Program'!$S$47=1,BW$3='Bonding Program'!$H$47),'Bonding Program'!$AA$47,0)-IF(BW$3&lt;='Bonding Program'!$C$8,IF(AND('Bonding Program'!$K$47&lt;&gt;"",BW$3='Bonding Program'!$K$47),'Bonding Program'!$J$47,0)-IF(AND('Bonding Program'!$M$47&lt;&gt;"",BW$3='Bonding Program'!$M$47),'Bonding Program'!$L$47,0)-IF(AND('Bonding Program'!$P$47&lt;&gt;"",BW$3='Bonding Program'!$P$47),'Bonding Program'!$O$47,0)-IF(AND('Bonding Program'!$R$47&lt;&gt;"",BW$3='Bonding Program'!$R$47),'Bonding Program'!$Q$47,0),0)</f>
        <v>0</v>
      </c>
      <c r="BX188" s="19" t="n">
        <f aca="false">IF(AND('Bonding Program'!$S$47=1,BX$3='Bonding Program'!$H$47),'Bonding Program'!$AA$47,0)-IF(BX$3&lt;='Bonding Program'!$C$8,IF(AND('Bonding Program'!$K$47&lt;&gt;"",BX$3='Bonding Program'!$K$47),'Bonding Program'!$J$47,0)-IF(AND('Bonding Program'!$M$47&lt;&gt;"",BX$3='Bonding Program'!$M$47),'Bonding Program'!$L$47,0)-IF(AND('Bonding Program'!$P$47&lt;&gt;"",BX$3='Bonding Program'!$P$47),'Bonding Program'!$O$47,0)-IF(AND('Bonding Program'!$R$47&lt;&gt;"",BX$3='Bonding Program'!$R$47),'Bonding Program'!$Q$47,0),0)</f>
        <v>0</v>
      </c>
      <c r="BY188" s="19" t="n">
        <f aca="false">IF(AND('Bonding Program'!$S$47=1,BY$3='Bonding Program'!$H$47),'Bonding Program'!$AA$47,0)-IF(BY$3&lt;='Bonding Program'!$C$8,IF(AND('Bonding Program'!$K$47&lt;&gt;"",BY$3='Bonding Program'!$K$47),'Bonding Program'!$J$47,0)-IF(AND('Bonding Program'!$M$47&lt;&gt;"",BY$3='Bonding Program'!$M$47),'Bonding Program'!$L$47,0)-IF(AND('Bonding Program'!$P$47&lt;&gt;"",BY$3='Bonding Program'!$P$47),'Bonding Program'!$O$47,0)-IF(AND('Bonding Program'!$R$47&lt;&gt;"",BY$3='Bonding Program'!$R$47),'Bonding Program'!$Q$47,0),0)</f>
        <v>0</v>
      </c>
      <c r="BZ188" s="19" t="n">
        <f aca="false">IF(AND('Bonding Program'!$S$47=1,BZ$3='Bonding Program'!$H$47),'Bonding Program'!$AA$47,0)-IF(BZ$3&lt;='Bonding Program'!$C$8,IF(AND('Bonding Program'!$K$47&lt;&gt;"",BZ$3='Bonding Program'!$K$47),'Bonding Program'!$J$47,0)-IF(AND('Bonding Program'!$M$47&lt;&gt;"",BZ$3='Bonding Program'!$M$47),'Bonding Program'!$L$47,0)-IF(AND('Bonding Program'!$P$47&lt;&gt;"",BZ$3='Bonding Program'!$P$47),'Bonding Program'!$O$47,0)-IF(AND('Bonding Program'!$R$47&lt;&gt;"",BZ$3='Bonding Program'!$R$47),'Bonding Program'!$Q$47,0),0)</f>
        <v>0</v>
      </c>
      <c r="CA188" s="19" t="n">
        <f aca="false">IF(AND('Bonding Program'!$S$47=1,CA$3='Bonding Program'!$H$47),'Bonding Program'!$AA$47,0)-IF(CA$3&lt;='Bonding Program'!$C$8,IF(AND('Bonding Program'!$K$47&lt;&gt;"",CA$3='Bonding Program'!$K$47),'Bonding Program'!$J$47,0)-IF(AND('Bonding Program'!$M$47&lt;&gt;"",CA$3='Bonding Program'!$M$47),'Bonding Program'!$L$47,0)-IF(AND('Bonding Program'!$P$47&lt;&gt;"",CA$3='Bonding Program'!$P$47),'Bonding Program'!$O$47,0)-IF(AND('Bonding Program'!$R$47&lt;&gt;"",CA$3='Bonding Program'!$R$47),'Bonding Program'!$Q$47,0),0)</f>
        <v>0</v>
      </c>
      <c r="CB188" s="19" t="n">
        <f aca="false">IF(AND('Bonding Program'!$S$47=1,CB$3='Bonding Program'!$H$47),'Bonding Program'!$AA$47,0)-IF(CB$3&lt;='Bonding Program'!$C$8,IF(AND('Bonding Program'!$K$47&lt;&gt;"",CB$3='Bonding Program'!$K$47),'Bonding Program'!$J$47,0)-IF(AND('Bonding Program'!$M$47&lt;&gt;"",CB$3='Bonding Program'!$M$47),'Bonding Program'!$L$47,0)-IF(AND('Bonding Program'!$P$47&lt;&gt;"",CB$3='Bonding Program'!$P$47),'Bonding Program'!$O$47,0)-IF(AND('Bonding Program'!$R$47&lt;&gt;"",CB$3='Bonding Program'!$R$47),'Bonding Program'!$Q$47,0),0)</f>
        <v>0</v>
      </c>
      <c r="CC188" s="19" t="n">
        <f aca="false">IF(AND('Bonding Program'!$S$47=1,CC$3='Bonding Program'!$H$47),'Bonding Program'!$AA$47,0)-IF(CC$3&lt;='Bonding Program'!$C$8,IF(AND('Bonding Program'!$K$47&lt;&gt;"",CC$3='Bonding Program'!$K$47),'Bonding Program'!$J$47,0)-IF(AND('Bonding Program'!$M$47&lt;&gt;"",CC$3='Bonding Program'!$M$47),'Bonding Program'!$L$47,0)-IF(AND('Bonding Program'!$P$47&lt;&gt;"",CC$3='Bonding Program'!$P$47),'Bonding Program'!$O$47,0)-IF(AND('Bonding Program'!$R$47&lt;&gt;"",CC$3='Bonding Program'!$R$47),'Bonding Program'!$Q$47,0),0)</f>
        <v>0</v>
      </c>
      <c r="CD188" s="19" t="n">
        <f aca="false">IF(AND('Bonding Program'!$S$47=1,CD$3='Bonding Program'!$H$47),'Bonding Program'!$AA$47,0)-IF(CD$3&lt;='Bonding Program'!$C$8,IF(AND('Bonding Program'!$K$47&lt;&gt;"",CD$3='Bonding Program'!$K$47),'Bonding Program'!$J$47,0)-IF(AND('Bonding Program'!$M$47&lt;&gt;"",CD$3='Bonding Program'!$M$47),'Bonding Program'!$L$47,0)-IF(AND('Bonding Program'!$P$47&lt;&gt;"",CD$3='Bonding Program'!$P$47),'Bonding Program'!$O$47,0)-IF(AND('Bonding Program'!$R$47&lt;&gt;"",CD$3='Bonding Program'!$R$47),'Bonding Program'!$Q$47,0),0)</f>
        <v>0</v>
      </c>
      <c r="CE188" s="19" t="n">
        <f aca="false">IF(AND('Bonding Program'!$S$47=1,CE$3='Bonding Program'!$H$47),'Bonding Program'!$AA$47,0)-IF(CE$3&lt;='Bonding Program'!$C$8,IF(AND('Bonding Program'!$K$47&lt;&gt;"",CE$3='Bonding Program'!$K$47),'Bonding Program'!$J$47,0)-IF(AND('Bonding Program'!$M$47&lt;&gt;"",CE$3='Bonding Program'!$M$47),'Bonding Program'!$L$47,0)-IF(AND('Bonding Program'!$P$47&lt;&gt;"",CE$3='Bonding Program'!$P$47),'Bonding Program'!$O$47,0)-IF(AND('Bonding Program'!$R$47&lt;&gt;"",CE$3='Bonding Program'!$R$47),'Bonding Program'!$Q$47,0),0)</f>
        <v>0</v>
      </c>
      <c r="CF188" s="19" t="n">
        <f aca="false">IF(AND('Bonding Program'!$S$47=1,CF$3='Bonding Program'!$H$47),'Bonding Program'!$AA$47,0)-IF(CF$3&lt;='Bonding Program'!$C$8,IF(AND('Bonding Program'!$K$47&lt;&gt;"",CF$3='Bonding Program'!$K$47),'Bonding Program'!$J$47,0)-IF(AND('Bonding Program'!$M$47&lt;&gt;"",CF$3='Bonding Program'!$M$47),'Bonding Program'!$L$47,0)-IF(AND('Bonding Program'!$P$47&lt;&gt;"",CF$3='Bonding Program'!$P$47),'Bonding Program'!$O$47,0)-IF(AND('Bonding Program'!$R$47&lt;&gt;"",CF$3='Bonding Program'!$R$47),'Bonding Program'!$Q$47,0),0)</f>
        <v>0</v>
      </c>
      <c r="CG188" s="19" t="n">
        <f aca="false">IF(AND('Bonding Program'!$S$47=1,CG$3='Bonding Program'!$H$47),'Bonding Program'!$AA$47,0)-IF(CG$3&lt;='Bonding Program'!$C$8,IF(AND('Bonding Program'!$K$47&lt;&gt;"",CG$3='Bonding Program'!$K$47),'Bonding Program'!$J$47,0)-IF(AND('Bonding Program'!$M$47&lt;&gt;"",CG$3='Bonding Program'!$M$47),'Bonding Program'!$L$47,0)-IF(AND('Bonding Program'!$P$47&lt;&gt;"",CG$3='Bonding Program'!$P$47),'Bonding Program'!$O$47,0)-IF(AND('Bonding Program'!$R$47&lt;&gt;"",CG$3='Bonding Program'!$R$47),'Bonding Program'!$Q$47,0),0)</f>
        <v>0</v>
      </c>
      <c r="CH188" s="19" t="n">
        <f aca="false">IF(AND('Bonding Program'!$S$47=1,CH$3='Bonding Program'!$H$47),'Bonding Program'!$AA$47,0)-IF(CH$3&lt;='Bonding Program'!$C$8,IF(AND('Bonding Program'!$K$47&lt;&gt;"",CH$3='Bonding Program'!$K$47),'Bonding Program'!$J$47,0)-IF(AND('Bonding Program'!$M$47&lt;&gt;"",CH$3='Bonding Program'!$M$47),'Bonding Program'!$L$47,0)-IF(AND('Bonding Program'!$P$47&lt;&gt;"",CH$3='Bonding Program'!$P$47),'Bonding Program'!$O$47,0)-IF(AND('Bonding Program'!$R$47&lt;&gt;"",CH$3='Bonding Program'!$R$47),'Bonding Program'!$Q$47,0),0)</f>
        <v>0</v>
      </c>
      <c r="CI188" s="19" t="n">
        <f aca="false">IF(AND('Bonding Program'!$S$47=1,CI$3='Bonding Program'!$H$47),'Bonding Program'!$AA$47,0)-IF(CI$3&lt;='Bonding Program'!$C$8,IF(AND('Bonding Program'!$K$47&lt;&gt;"",CI$3='Bonding Program'!$K$47),'Bonding Program'!$J$47,0)-IF(AND('Bonding Program'!$M$47&lt;&gt;"",CI$3='Bonding Program'!$M$47),'Bonding Program'!$L$47,0)-IF(AND('Bonding Program'!$P$47&lt;&gt;"",CI$3='Bonding Program'!$P$47),'Bonding Program'!$O$47,0)-IF(AND('Bonding Program'!$R$47&lt;&gt;"",CI$3='Bonding Program'!$R$47),'Bonding Program'!$Q$47,0),0)</f>
        <v>0</v>
      </c>
      <c r="CJ188" s="19" t="n">
        <f aca="false">IF(AND('Bonding Program'!$S$47=1,CJ$3='Bonding Program'!$H$47),'Bonding Program'!$AA$47,0)-IF(CJ$3&lt;='Bonding Program'!$C$8,IF(AND('Bonding Program'!$K$47&lt;&gt;"",CJ$3='Bonding Program'!$K$47),'Bonding Program'!$J$47,0)-IF(AND('Bonding Program'!$M$47&lt;&gt;"",CJ$3='Bonding Program'!$M$47),'Bonding Program'!$L$47,0)-IF(AND('Bonding Program'!$P$47&lt;&gt;"",CJ$3='Bonding Program'!$P$47),'Bonding Program'!$O$47,0)-IF(AND('Bonding Program'!$R$47&lt;&gt;"",CJ$3='Bonding Program'!$R$47),'Bonding Program'!$Q$47,0),0)</f>
        <v>0</v>
      </c>
      <c r="CK188" s="19" t="n">
        <f aca="false">IF(AND('Bonding Program'!$S$47=1,CK$3='Bonding Program'!$H$47),'Bonding Program'!$AA$47,0)-IF(CK$3&lt;='Bonding Program'!$C$8,IF(AND('Bonding Program'!$K$47&lt;&gt;"",CK$3='Bonding Program'!$K$47),'Bonding Program'!$J$47,0)-IF(AND('Bonding Program'!$M$47&lt;&gt;"",CK$3='Bonding Program'!$M$47),'Bonding Program'!$L$47,0)-IF(AND('Bonding Program'!$P$47&lt;&gt;"",CK$3='Bonding Program'!$P$47),'Bonding Program'!$O$47,0)-IF(AND('Bonding Program'!$R$47&lt;&gt;"",CK$3='Bonding Program'!$R$47),'Bonding Program'!$Q$47,0),0)</f>
        <v>0</v>
      </c>
      <c r="CL188" s="19" t="n">
        <f aca="false">IF(AND('Bonding Program'!$S$47=1,CL$3='Bonding Program'!$H$47),'Bonding Program'!$AA$47,0)-IF(CL$3&lt;='Bonding Program'!$C$8,IF(AND('Bonding Program'!$K$47&lt;&gt;"",CL$3='Bonding Program'!$K$47),'Bonding Program'!$J$47,0)-IF(AND('Bonding Program'!$M$47&lt;&gt;"",CL$3='Bonding Program'!$M$47),'Bonding Program'!$L$47,0)-IF(AND('Bonding Program'!$P$47&lt;&gt;"",CL$3='Bonding Program'!$P$47),'Bonding Program'!$O$47,0)-IF(AND('Bonding Program'!$R$47&lt;&gt;"",CL$3='Bonding Program'!$R$47),'Bonding Program'!$Q$47,0),0)</f>
        <v>0</v>
      </c>
      <c r="CM188" s="19" t="n">
        <f aca="false">IF(AND('Bonding Program'!$S$47=1,CM$3='Bonding Program'!$H$47),'Bonding Program'!$AA$47,0)-IF(CM$3&lt;='Bonding Program'!$C$8,IF(AND('Bonding Program'!$K$47&lt;&gt;"",CM$3='Bonding Program'!$K$47),'Bonding Program'!$J$47,0)-IF(AND('Bonding Program'!$M$47&lt;&gt;"",CM$3='Bonding Program'!$M$47),'Bonding Program'!$L$47,0)-IF(AND('Bonding Program'!$P$47&lt;&gt;"",CM$3='Bonding Program'!$P$47),'Bonding Program'!$O$47,0)-IF(AND('Bonding Program'!$R$47&lt;&gt;"",CM$3='Bonding Program'!$R$47),'Bonding Program'!$Q$47,0),0)</f>
        <v>0</v>
      </c>
      <c r="CN188" s="19" t="n">
        <f aca="false">IF(AND('Bonding Program'!$S$47=1,CN$3='Bonding Program'!$H$47),'Bonding Program'!$AA$47,0)-IF(CN$3&lt;='Bonding Program'!$C$8,IF(AND('Bonding Program'!$K$47&lt;&gt;"",CN$3='Bonding Program'!$K$47),'Bonding Program'!$J$47,0)-IF(AND('Bonding Program'!$M$47&lt;&gt;"",CN$3='Bonding Program'!$M$47),'Bonding Program'!$L$47,0)-IF(AND('Bonding Program'!$P$47&lt;&gt;"",CN$3='Bonding Program'!$P$47),'Bonding Program'!$O$47,0)-IF(AND('Bonding Program'!$R$47&lt;&gt;"",CN$3='Bonding Program'!$R$47),'Bonding Program'!$Q$47,0),0)</f>
        <v>0</v>
      </c>
      <c r="CO188" s="19" t="n">
        <f aca="false">IF(AND('Bonding Program'!$S$47=1,CO$3='Bonding Program'!$H$47),'Bonding Program'!$AA$47,0)-IF(CO$3&lt;='Bonding Program'!$C$8,IF(AND('Bonding Program'!$K$47&lt;&gt;"",CO$3='Bonding Program'!$K$47),'Bonding Program'!$J$47,0)-IF(AND('Bonding Program'!$M$47&lt;&gt;"",CO$3='Bonding Program'!$M$47),'Bonding Program'!$L$47,0)-IF(AND('Bonding Program'!$P$47&lt;&gt;"",CO$3='Bonding Program'!$P$47),'Bonding Program'!$O$47,0)-IF(AND('Bonding Program'!$R$47&lt;&gt;"",CO$3='Bonding Program'!$R$47),'Bonding Program'!$Q$47,0),0)</f>
        <v>0</v>
      </c>
      <c r="CP188" s="19" t="n">
        <f aca="false">IF(AND('Bonding Program'!$S$47=1,CP$3='Bonding Program'!$H$47),'Bonding Program'!$AA$47,0)-IF(CP$3&lt;='Bonding Program'!$C$8,IF(AND('Bonding Program'!$K$47&lt;&gt;"",CP$3='Bonding Program'!$K$47),'Bonding Program'!$J$47,0)-IF(AND('Bonding Program'!$M$47&lt;&gt;"",CP$3='Bonding Program'!$M$47),'Bonding Program'!$L$47,0)-IF(AND('Bonding Program'!$P$47&lt;&gt;"",CP$3='Bonding Program'!$P$47),'Bonding Program'!$O$47,0)-IF(AND('Bonding Program'!$R$47&lt;&gt;"",CP$3='Bonding Program'!$R$47),'Bonding Program'!$Q$47,0),0)</f>
        <v>0</v>
      </c>
      <c r="CQ188" s="19" t="n">
        <f aca="false">IF(AND('Bonding Program'!$S$47=1,CQ$3='Bonding Program'!$H$47),'Bonding Program'!$AA$47,0)-IF(CQ$3&lt;='Bonding Program'!$C$8,IF(AND('Bonding Program'!$K$47&lt;&gt;"",CQ$3='Bonding Program'!$K$47),'Bonding Program'!$J$47,0)-IF(AND('Bonding Program'!$M$47&lt;&gt;"",CQ$3='Bonding Program'!$M$47),'Bonding Program'!$L$47,0)-IF(AND('Bonding Program'!$P$47&lt;&gt;"",CQ$3='Bonding Program'!$P$47),'Bonding Program'!$O$47,0)-IF(AND('Bonding Program'!$R$47&lt;&gt;"",CQ$3='Bonding Program'!$R$47),'Bonding Program'!$Q$47,0),0)</f>
        <v>0</v>
      </c>
      <c r="CR188" s="19" t="n">
        <f aca="false">IF(AND('Bonding Program'!$S$47=1,CR$3='Bonding Program'!$H$47),'Bonding Program'!$AA$47,0)-IF(CR$3&lt;='Bonding Program'!$C$8,IF(AND('Bonding Program'!$K$47&lt;&gt;"",CR$3='Bonding Program'!$K$47),'Bonding Program'!$J$47,0)-IF(AND('Bonding Program'!$M$47&lt;&gt;"",CR$3='Bonding Program'!$M$47),'Bonding Program'!$L$47,0)-IF(AND('Bonding Program'!$P$47&lt;&gt;"",CR$3='Bonding Program'!$P$47),'Bonding Program'!$O$47,0)-IF(AND('Bonding Program'!$R$47&lt;&gt;"",CR$3='Bonding Program'!$R$47),'Bonding Program'!$Q$47,0),0)</f>
        <v>0</v>
      </c>
      <c r="CS188" s="19" t="n">
        <f aca="false">IF(AND('Bonding Program'!$S$47=1,CS$3='Bonding Program'!$H$47),'Bonding Program'!$AA$47,0)-IF(CS$3&lt;='Bonding Program'!$C$8,IF(AND('Bonding Program'!$K$47&lt;&gt;"",CS$3='Bonding Program'!$K$47),'Bonding Program'!$J$47,0)-IF(AND('Bonding Program'!$M$47&lt;&gt;"",CS$3='Bonding Program'!$M$47),'Bonding Program'!$L$47,0)-IF(AND('Bonding Program'!$P$47&lt;&gt;"",CS$3='Bonding Program'!$P$47),'Bonding Program'!$O$47,0)-IF(AND('Bonding Program'!$R$47&lt;&gt;"",CS$3='Bonding Program'!$R$47),'Bonding Program'!$Q$47,0),0)</f>
        <v>0</v>
      </c>
      <c r="CT188" s="19" t="n">
        <f aca="false">IF(AND('Bonding Program'!$S$47=1,CT$3='Bonding Program'!$H$47),'Bonding Program'!$AA$47,0)-IF(CT$3&lt;='Bonding Program'!$C$8,IF(AND('Bonding Program'!$K$47&lt;&gt;"",CT$3='Bonding Program'!$K$47),'Bonding Program'!$J$47,0)-IF(AND('Bonding Program'!$M$47&lt;&gt;"",CT$3='Bonding Program'!$M$47),'Bonding Program'!$L$47,0)-IF(AND('Bonding Program'!$P$47&lt;&gt;"",CT$3='Bonding Program'!$P$47),'Bonding Program'!$O$47,0)-IF(AND('Bonding Program'!$R$47&lt;&gt;"",CT$3='Bonding Program'!$R$47),'Bonding Program'!$Q$47,0),0)</f>
        <v>0</v>
      </c>
      <c r="CU188" s="19" t="n">
        <f aca="false">IF(AND('Bonding Program'!$S$47=1,CU$3='Bonding Program'!$H$47),'Bonding Program'!$AA$47,0)-IF(CU$3&lt;='Bonding Program'!$C$8,IF(AND('Bonding Program'!$K$47&lt;&gt;"",CU$3='Bonding Program'!$K$47),'Bonding Program'!$J$47,0)-IF(AND('Bonding Program'!$M$47&lt;&gt;"",CU$3='Bonding Program'!$M$47),'Bonding Program'!$L$47,0)-IF(AND('Bonding Program'!$P$47&lt;&gt;"",CU$3='Bonding Program'!$P$47),'Bonding Program'!$O$47,0)-IF(AND('Bonding Program'!$R$47&lt;&gt;"",CU$3='Bonding Program'!$R$47),'Bonding Program'!$Q$47,0),0)</f>
        <v>0</v>
      </c>
      <c r="CV188" s="19" t="n">
        <f aca="false">IF(AND('Bonding Program'!$S$47=1,CV$3='Bonding Program'!$H$47),'Bonding Program'!$AA$47,0)-IF(CV$3&lt;='Bonding Program'!$C$8,IF(AND('Bonding Program'!$K$47&lt;&gt;"",CV$3='Bonding Program'!$K$47),'Bonding Program'!$J$47,0)-IF(AND('Bonding Program'!$M$47&lt;&gt;"",CV$3='Bonding Program'!$M$47),'Bonding Program'!$L$47,0)-IF(AND('Bonding Program'!$P$47&lt;&gt;"",CV$3='Bonding Program'!$P$47),'Bonding Program'!$O$47,0)-IF(AND('Bonding Program'!$R$47&lt;&gt;"",CV$3='Bonding Program'!$R$47),'Bonding Program'!$Q$47,0),0)</f>
        <v>0</v>
      </c>
      <c r="CW188" s="19" t="n">
        <f aca="false">IF(AND('Bonding Program'!$S$47=1,CW$3='Bonding Program'!$H$47),'Bonding Program'!$AA$47,0)-IF(CW$3&lt;='Bonding Program'!$C$8,IF(AND('Bonding Program'!$K$47&lt;&gt;"",CW$3='Bonding Program'!$K$47),'Bonding Program'!$J$47,0)-IF(AND('Bonding Program'!$M$47&lt;&gt;"",CW$3='Bonding Program'!$M$47),'Bonding Program'!$L$47,0)-IF(AND('Bonding Program'!$P$47&lt;&gt;"",CW$3='Bonding Program'!$P$47),'Bonding Program'!$O$47,0)-IF(AND('Bonding Program'!$R$47&lt;&gt;"",CW$3='Bonding Program'!$R$47),'Bonding Program'!$Q$47,0),0)</f>
        <v>0</v>
      </c>
      <c r="CX188" s="19" t="n">
        <f aca="false">IF(AND('Bonding Program'!$S$47=1,CX$3='Bonding Program'!$H$47),'Bonding Program'!$AA$47,0)-IF(CX$3&lt;='Bonding Program'!$C$8,IF(AND('Bonding Program'!$K$47&lt;&gt;"",CX$3='Bonding Program'!$K$47),'Bonding Program'!$J$47,0)-IF(AND('Bonding Program'!$M$47&lt;&gt;"",CX$3='Bonding Program'!$M$47),'Bonding Program'!$L$47,0)-IF(AND('Bonding Program'!$P$47&lt;&gt;"",CX$3='Bonding Program'!$P$47),'Bonding Program'!$O$47,0)-IF(AND('Bonding Program'!$R$47&lt;&gt;"",CX$3='Bonding Program'!$R$47),'Bonding Program'!$Q$47,0),0)</f>
        <v>0</v>
      </c>
      <c r="CY188" s="19" t="n">
        <f aca="false">IF(AND('Bonding Program'!$S$47=1,CY$3='Bonding Program'!$H$47),'Bonding Program'!$AA$47,0)-IF(CY$3&lt;='Bonding Program'!$C$8,IF(AND('Bonding Program'!$K$47&lt;&gt;"",CY$3='Bonding Program'!$K$47),'Bonding Program'!$J$47,0)-IF(AND('Bonding Program'!$M$47&lt;&gt;"",CY$3='Bonding Program'!$M$47),'Bonding Program'!$L$47,0)-IF(AND('Bonding Program'!$P$47&lt;&gt;"",CY$3='Bonding Program'!$P$47),'Bonding Program'!$O$47,0)-IF(AND('Bonding Program'!$R$47&lt;&gt;"",CY$3='Bonding Program'!$R$47),'Bonding Program'!$Q$47,0),0)</f>
        <v>0</v>
      </c>
      <c r="CZ188" s="19" t="n">
        <f aca="false">IF(AND('Bonding Program'!$S$47=1,CZ$3='Bonding Program'!$H$47),'Bonding Program'!$AA$47,0)-IF(CZ$3&lt;='Bonding Program'!$C$8,IF(AND('Bonding Program'!$K$47&lt;&gt;"",CZ$3='Bonding Program'!$K$47),'Bonding Program'!$J$47,0)-IF(AND('Bonding Program'!$M$47&lt;&gt;"",CZ$3='Bonding Program'!$M$47),'Bonding Program'!$L$47,0)-IF(AND('Bonding Program'!$P$47&lt;&gt;"",CZ$3='Bonding Program'!$P$47),'Bonding Program'!$O$47,0)-IF(AND('Bonding Program'!$R$47&lt;&gt;"",CZ$3='Bonding Program'!$R$47),'Bonding Program'!$Q$47,0),0)</f>
        <v>0</v>
      </c>
      <c r="DA188" s="19" t="n">
        <f aca="false">IF(AND('Bonding Program'!$S$47=1,DA$3='Bonding Program'!$H$47),'Bonding Program'!$AA$47,0)-IF(DA$3&lt;='Bonding Program'!$C$8,IF(AND('Bonding Program'!$K$47&lt;&gt;"",DA$3='Bonding Program'!$K$47),'Bonding Program'!$J$47,0)-IF(AND('Bonding Program'!$M$47&lt;&gt;"",DA$3='Bonding Program'!$M$47),'Bonding Program'!$L$47,0)-IF(AND('Bonding Program'!$P$47&lt;&gt;"",DA$3='Bonding Program'!$P$47),'Bonding Program'!$O$47,0)-IF(AND('Bonding Program'!$R$47&lt;&gt;"",DA$3='Bonding Program'!$R$47),'Bonding Program'!$Q$47,0),0)</f>
        <v>0</v>
      </c>
      <c r="DB188" s="19" t="n">
        <f aca="false">IF(AND('Bonding Program'!$S$47=1,DB$3='Bonding Program'!$H$47),'Bonding Program'!$AA$47,0)-IF(DB$3&lt;='Bonding Program'!$C$8,IF(AND('Bonding Program'!$K$47&lt;&gt;"",DB$3='Bonding Program'!$K$47),'Bonding Program'!$J$47,0)-IF(AND('Bonding Program'!$M$47&lt;&gt;"",DB$3='Bonding Program'!$M$47),'Bonding Program'!$L$47,0)-IF(AND('Bonding Program'!$P$47&lt;&gt;"",DB$3='Bonding Program'!$P$47),'Bonding Program'!$O$47,0)-IF(AND('Bonding Program'!$R$47&lt;&gt;"",DB$3='Bonding Program'!$R$47),'Bonding Program'!$Q$47,0),0)</f>
        <v>0</v>
      </c>
      <c r="DC188" s="19" t="n">
        <f aca="false">IF(AND('Bonding Program'!$S$47=1,DC$3='Bonding Program'!$H$47),'Bonding Program'!$AA$47,0)-IF(DC$3&lt;='Bonding Program'!$C$8,IF(AND('Bonding Program'!$K$47&lt;&gt;"",DC$3='Bonding Program'!$K$47),'Bonding Program'!$J$47,0)-IF(AND('Bonding Program'!$M$47&lt;&gt;"",DC$3='Bonding Program'!$M$47),'Bonding Program'!$L$47,0)-IF(AND('Bonding Program'!$P$47&lt;&gt;"",DC$3='Bonding Program'!$P$47),'Bonding Program'!$O$47,0)-IF(AND('Bonding Program'!$R$47&lt;&gt;"",DC$3='Bonding Program'!$R$47),'Bonding Program'!$Q$47,0),0)</f>
        <v>0</v>
      </c>
      <c r="DD188" s="19" t="n">
        <f aca="false">IF(AND('Bonding Program'!$S$47=1,DD$3='Bonding Program'!$H$47),'Bonding Program'!$AA$47,0)-IF(DD$3&lt;='Bonding Program'!$C$8,IF(AND('Bonding Program'!$K$47&lt;&gt;"",DD$3='Bonding Program'!$K$47),'Bonding Program'!$J$47,0)-IF(AND('Bonding Program'!$M$47&lt;&gt;"",DD$3='Bonding Program'!$M$47),'Bonding Program'!$L$47,0)-IF(AND('Bonding Program'!$P$47&lt;&gt;"",DD$3='Bonding Program'!$P$47),'Bonding Program'!$O$47,0)-IF(AND('Bonding Program'!$R$47&lt;&gt;"",DD$3='Bonding Program'!$R$47),'Bonding Program'!$Q$47,0),0)</f>
        <v>0</v>
      </c>
      <c r="DE188" s="19" t="n">
        <f aca="false">IF(AND('Bonding Program'!$S$47=1,DE$3='Bonding Program'!$H$47),'Bonding Program'!$AA$47,0)-IF(DE$3&lt;='Bonding Program'!$C$8,IF(AND('Bonding Program'!$K$47&lt;&gt;"",DE$3='Bonding Program'!$K$47),'Bonding Program'!$J$47,0)-IF(AND('Bonding Program'!$M$47&lt;&gt;"",DE$3='Bonding Program'!$M$47),'Bonding Program'!$L$47,0)-IF(AND('Bonding Program'!$P$47&lt;&gt;"",DE$3='Bonding Program'!$P$47),'Bonding Program'!$O$47,0)-IF(AND('Bonding Program'!$R$47&lt;&gt;"",DE$3='Bonding Program'!$R$47),'Bonding Program'!$Q$47,0),0)</f>
        <v>0</v>
      </c>
    </row>
    <row r="189" customFormat="false" ht="15" hidden="false" customHeight="true" outlineLevel="1" collapsed="false">
      <c r="A189" s="28" t="s">
        <v>44</v>
      </c>
      <c r="B189" s="19" t="n">
        <f aca="false">IF(AND('Bonding Program'!$S$48=1,B$3='Bonding Program'!$H$48),'Bonding Program'!$AA$48,0)-IF(B$3&lt;='Bonding Program'!$C$8,IF(AND('Bonding Program'!$K$48&lt;&gt;"",B$3='Bonding Program'!$K$48),'Bonding Program'!$J$48,0)-IF(AND('Bonding Program'!$M$48&lt;&gt;"",B$3='Bonding Program'!$M$48),'Bonding Program'!$L$48,0)-IF(AND('Bonding Program'!$P$48&lt;&gt;"",B$3='Bonding Program'!$P$48),'Bonding Program'!$O$48,0)-IF(AND('Bonding Program'!$R$48&lt;&gt;"",B$3='Bonding Program'!$R$48),'Bonding Program'!$Q$48,0),0)</f>
        <v>0</v>
      </c>
      <c r="C189" s="19" t="n">
        <f aca="false">IF(AND('Bonding Program'!$S$48=1,C$3='Bonding Program'!$H$48),'Bonding Program'!$AA$48,0)-IF(C$3&lt;='Bonding Program'!$C$8,IF(AND('Bonding Program'!$K$48&lt;&gt;"",C$3='Bonding Program'!$K$48),'Bonding Program'!$J$48,0)-IF(AND('Bonding Program'!$M$48&lt;&gt;"",C$3='Bonding Program'!$M$48),'Bonding Program'!$L$48,0)-IF(AND('Bonding Program'!$P$48&lt;&gt;"",C$3='Bonding Program'!$P$48),'Bonding Program'!$O$48,0)-IF(AND('Bonding Program'!$R$48&lt;&gt;"",C$3='Bonding Program'!$R$48),'Bonding Program'!$Q$48,0),0)</f>
        <v>0</v>
      </c>
      <c r="D189" s="19" t="n">
        <f aca="false">IF(AND('Bonding Program'!$S$48=1,D$3='Bonding Program'!$H$48),'Bonding Program'!$AA$48,0)-IF(D$3&lt;='Bonding Program'!$C$8,IF(AND('Bonding Program'!$K$48&lt;&gt;"",D$3='Bonding Program'!$K$48),'Bonding Program'!$J$48,0)-IF(AND('Bonding Program'!$M$48&lt;&gt;"",D$3='Bonding Program'!$M$48),'Bonding Program'!$L$48,0)-IF(AND('Bonding Program'!$P$48&lt;&gt;"",D$3='Bonding Program'!$P$48),'Bonding Program'!$O$48,0)-IF(AND('Bonding Program'!$R$48&lt;&gt;"",D$3='Bonding Program'!$R$48),'Bonding Program'!$Q$48,0),0)</f>
        <v>0</v>
      </c>
      <c r="E189" s="19" t="n">
        <f aca="false">IF(AND('Bonding Program'!$S$48=1,E$3='Bonding Program'!$H$48),'Bonding Program'!$AA$48,0)-IF(E$3&lt;='Bonding Program'!$C$8,IF(AND('Bonding Program'!$K$48&lt;&gt;"",E$3='Bonding Program'!$K$48),'Bonding Program'!$J$48,0)-IF(AND('Bonding Program'!$M$48&lt;&gt;"",E$3='Bonding Program'!$M$48),'Bonding Program'!$L$48,0)-IF(AND('Bonding Program'!$P$48&lt;&gt;"",E$3='Bonding Program'!$P$48),'Bonding Program'!$O$48,0)-IF(AND('Bonding Program'!$R$48&lt;&gt;"",E$3='Bonding Program'!$R$48),'Bonding Program'!$Q$48,0),0)</f>
        <v>0</v>
      </c>
      <c r="F189" s="19" t="n">
        <f aca="false">IF(AND('Bonding Program'!$S$48=1,F$3='Bonding Program'!$H$48),'Bonding Program'!$AA$48,0)-IF(F$3&lt;='Bonding Program'!$C$8,IF(AND('Bonding Program'!$K$48&lt;&gt;"",F$3='Bonding Program'!$K$48),'Bonding Program'!$J$48,0)-IF(AND('Bonding Program'!$M$48&lt;&gt;"",F$3='Bonding Program'!$M$48),'Bonding Program'!$L$48,0)-IF(AND('Bonding Program'!$P$48&lt;&gt;"",F$3='Bonding Program'!$P$48),'Bonding Program'!$O$48,0)-IF(AND('Bonding Program'!$R$48&lt;&gt;"",F$3='Bonding Program'!$R$48),'Bonding Program'!$Q$48,0),0)</f>
        <v>0</v>
      </c>
      <c r="G189" s="19" t="n">
        <f aca="false">IF(AND('Bonding Program'!$S$48=1,G$3='Bonding Program'!$H$48),'Bonding Program'!$AA$48,0)-IF(G$3&lt;='Bonding Program'!$C$8,IF(AND('Bonding Program'!$K$48&lt;&gt;"",G$3='Bonding Program'!$K$48),'Bonding Program'!$J$48,0)-IF(AND('Bonding Program'!$M$48&lt;&gt;"",G$3='Bonding Program'!$M$48),'Bonding Program'!$L$48,0)-IF(AND('Bonding Program'!$P$48&lt;&gt;"",G$3='Bonding Program'!$P$48),'Bonding Program'!$O$48,0)-IF(AND('Bonding Program'!$R$48&lt;&gt;"",G$3='Bonding Program'!$R$48),'Bonding Program'!$Q$48,0),0)</f>
        <v>0</v>
      </c>
      <c r="H189" s="19" t="n">
        <f aca="false">IF(AND('Bonding Program'!$S$48=1,H$3='Bonding Program'!$H$48),'Bonding Program'!$AA$48,0)-IF(H$3&lt;='Bonding Program'!$C$8,IF(AND('Bonding Program'!$K$48&lt;&gt;"",H$3='Bonding Program'!$K$48),'Bonding Program'!$J$48,0)-IF(AND('Bonding Program'!$M$48&lt;&gt;"",H$3='Bonding Program'!$M$48),'Bonding Program'!$L$48,0)-IF(AND('Bonding Program'!$P$48&lt;&gt;"",H$3='Bonding Program'!$P$48),'Bonding Program'!$O$48,0)-IF(AND('Bonding Program'!$R$48&lt;&gt;"",H$3='Bonding Program'!$R$48),'Bonding Program'!$Q$48,0),0)</f>
        <v>0</v>
      </c>
      <c r="I189" s="19" t="n">
        <f aca="false">IF(AND('Bonding Program'!$S$48=1,I$3='Bonding Program'!$H$48),'Bonding Program'!$AA$48,0)-IF(I$3&lt;='Bonding Program'!$C$8,IF(AND('Bonding Program'!$K$48&lt;&gt;"",I$3='Bonding Program'!$K$48),'Bonding Program'!$J$48,0)-IF(AND('Bonding Program'!$M$48&lt;&gt;"",I$3='Bonding Program'!$M$48),'Bonding Program'!$L$48,0)-IF(AND('Bonding Program'!$P$48&lt;&gt;"",I$3='Bonding Program'!$P$48),'Bonding Program'!$O$48,0)-IF(AND('Bonding Program'!$R$48&lt;&gt;"",I$3='Bonding Program'!$R$48),'Bonding Program'!$Q$48,0),0)</f>
        <v>0</v>
      </c>
      <c r="J189" s="19" t="n">
        <f aca="false">IF(AND('Bonding Program'!$S$48=1,J$3='Bonding Program'!$H$48),'Bonding Program'!$AA$48,0)-IF(J$3&lt;='Bonding Program'!$C$8,IF(AND('Bonding Program'!$K$48&lt;&gt;"",J$3='Bonding Program'!$K$48),'Bonding Program'!$J$48,0)-IF(AND('Bonding Program'!$M$48&lt;&gt;"",J$3='Bonding Program'!$M$48),'Bonding Program'!$L$48,0)-IF(AND('Bonding Program'!$P$48&lt;&gt;"",J$3='Bonding Program'!$P$48),'Bonding Program'!$O$48,0)-IF(AND('Bonding Program'!$R$48&lt;&gt;"",J$3='Bonding Program'!$R$48),'Bonding Program'!$Q$48,0),0)</f>
        <v>0</v>
      </c>
      <c r="K189" s="19" t="n">
        <f aca="false">IF(AND('Bonding Program'!$S$48=1,K$3='Bonding Program'!$H$48),'Bonding Program'!$AA$48,0)-IF(K$3&lt;='Bonding Program'!$C$8,IF(AND('Bonding Program'!$K$48&lt;&gt;"",K$3='Bonding Program'!$K$48),'Bonding Program'!$J$48,0)-IF(AND('Bonding Program'!$M$48&lt;&gt;"",K$3='Bonding Program'!$M$48),'Bonding Program'!$L$48,0)-IF(AND('Bonding Program'!$P$48&lt;&gt;"",K$3='Bonding Program'!$P$48),'Bonding Program'!$O$48,0)-IF(AND('Bonding Program'!$R$48&lt;&gt;"",K$3='Bonding Program'!$R$48),'Bonding Program'!$Q$48,0),0)</f>
        <v>0</v>
      </c>
      <c r="L189" s="19" t="n">
        <f aca="false">IF(AND('Bonding Program'!$S$48=1,L$3='Bonding Program'!$H$48),'Bonding Program'!$AA$48,0)-IF(L$3&lt;='Bonding Program'!$C$8,IF(AND('Bonding Program'!$K$48&lt;&gt;"",L$3='Bonding Program'!$K$48),'Bonding Program'!$J$48,0)-IF(AND('Bonding Program'!$M$48&lt;&gt;"",L$3='Bonding Program'!$M$48),'Bonding Program'!$L$48,0)-IF(AND('Bonding Program'!$P$48&lt;&gt;"",L$3='Bonding Program'!$P$48),'Bonding Program'!$O$48,0)-IF(AND('Bonding Program'!$R$48&lt;&gt;"",L$3='Bonding Program'!$R$48),'Bonding Program'!$Q$48,0),0)</f>
        <v>0</v>
      </c>
      <c r="M189" s="19" t="n">
        <f aca="false">IF(AND('Bonding Program'!$S$48=1,M$3='Bonding Program'!$H$48),'Bonding Program'!$AA$48,0)-IF(M$3&lt;='Bonding Program'!$C$8,IF(AND('Bonding Program'!$K$48&lt;&gt;"",M$3='Bonding Program'!$K$48),'Bonding Program'!$J$48,0)-IF(AND('Bonding Program'!$M$48&lt;&gt;"",M$3='Bonding Program'!$M$48),'Bonding Program'!$L$48,0)-IF(AND('Bonding Program'!$P$48&lt;&gt;"",M$3='Bonding Program'!$P$48),'Bonding Program'!$O$48,0)-IF(AND('Bonding Program'!$R$48&lt;&gt;"",M$3='Bonding Program'!$R$48),'Bonding Program'!$Q$48,0),0)</f>
        <v>0</v>
      </c>
      <c r="N189" s="19" t="n">
        <f aca="false">IF(AND('Bonding Program'!$S$48=1,N$3='Bonding Program'!$H$48),'Bonding Program'!$AA$48,0)-IF(N$3&lt;='Bonding Program'!$C$8,IF(AND('Bonding Program'!$K$48&lt;&gt;"",N$3='Bonding Program'!$K$48),'Bonding Program'!$J$48,0)-IF(AND('Bonding Program'!$M$48&lt;&gt;"",N$3='Bonding Program'!$M$48),'Bonding Program'!$L$48,0)-IF(AND('Bonding Program'!$P$48&lt;&gt;"",N$3='Bonding Program'!$P$48),'Bonding Program'!$O$48,0)-IF(AND('Bonding Program'!$R$48&lt;&gt;"",N$3='Bonding Program'!$R$48),'Bonding Program'!$Q$48,0),0)</f>
        <v>0</v>
      </c>
      <c r="O189" s="19" t="n">
        <f aca="false">IF(AND('Bonding Program'!$S$48=1,O$3='Bonding Program'!$H$48),'Bonding Program'!$AA$48,0)-IF(O$3&lt;='Bonding Program'!$C$8,IF(AND('Bonding Program'!$K$48&lt;&gt;"",O$3='Bonding Program'!$K$48),'Bonding Program'!$J$48,0)-IF(AND('Bonding Program'!$M$48&lt;&gt;"",O$3='Bonding Program'!$M$48),'Bonding Program'!$L$48,0)-IF(AND('Bonding Program'!$P$48&lt;&gt;"",O$3='Bonding Program'!$P$48),'Bonding Program'!$O$48,0)-IF(AND('Bonding Program'!$R$48&lt;&gt;"",O$3='Bonding Program'!$R$48),'Bonding Program'!$Q$48,0),0)</f>
        <v>0</v>
      </c>
      <c r="P189" s="19" t="n">
        <f aca="false">IF(AND('Bonding Program'!$S$48=1,P$3='Bonding Program'!$H$48),'Bonding Program'!$AA$48,0)-IF(P$3&lt;='Bonding Program'!$C$8,IF(AND('Bonding Program'!$K$48&lt;&gt;"",P$3='Bonding Program'!$K$48),'Bonding Program'!$J$48,0)-IF(AND('Bonding Program'!$M$48&lt;&gt;"",P$3='Bonding Program'!$M$48),'Bonding Program'!$L$48,0)-IF(AND('Bonding Program'!$P$48&lt;&gt;"",P$3='Bonding Program'!$P$48),'Bonding Program'!$O$48,0)-IF(AND('Bonding Program'!$R$48&lt;&gt;"",P$3='Bonding Program'!$R$48),'Bonding Program'!$Q$48,0),0)</f>
        <v>0</v>
      </c>
      <c r="Q189" s="19" t="n">
        <f aca="false">IF(AND('Bonding Program'!$S$48=1,Q$3='Bonding Program'!$H$48),'Bonding Program'!$AA$48,0)-IF(Q$3&lt;='Bonding Program'!$C$8,IF(AND('Bonding Program'!$K$48&lt;&gt;"",Q$3='Bonding Program'!$K$48),'Bonding Program'!$J$48,0)-IF(AND('Bonding Program'!$M$48&lt;&gt;"",Q$3='Bonding Program'!$M$48),'Bonding Program'!$L$48,0)-IF(AND('Bonding Program'!$P$48&lt;&gt;"",Q$3='Bonding Program'!$P$48),'Bonding Program'!$O$48,0)-IF(AND('Bonding Program'!$R$48&lt;&gt;"",Q$3='Bonding Program'!$R$48),'Bonding Program'!$Q$48,0),0)</f>
        <v>0</v>
      </c>
      <c r="R189" s="19" t="n">
        <f aca="false">IF(AND('Bonding Program'!$S$48=1,R$3='Bonding Program'!$H$48),'Bonding Program'!$AA$48,0)-IF(R$3&lt;='Bonding Program'!$C$8,IF(AND('Bonding Program'!$K$48&lt;&gt;"",R$3='Bonding Program'!$K$48),'Bonding Program'!$J$48,0)-IF(AND('Bonding Program'!$M$48&lt;&gt;"",R$3='Bonding Program'!$M$48),'Bonding Program'!$L$48,0)-IF(AND('Bonding Program'!$P$48&lt;&gt;"",R$3='Bonding Program'!$P$48),'Bonding Program'!$O$48,0)-IF(AND('Bonding Program'!$R$48&lt;&gt;"",R$3='Bonding Program'!$R$48),'Bonding Program'!$Q$48,0),0)</f>
        <v>0</v>
      </c>
      <c r="S189" s="19" t="n">
        <f aca="false">IF(AND('Bonding Program'!$S$48=1,S$3='Bonding Program'!$H$48),'Bonding Program'!$AA$48,0)-IF(S$3&lt;='Bonding Program'!$C$8,IF(AND('Bonding Program'!$K$48&lt;&gt;"",S$3='Bonding Program'!$K$48),'Bonding Program'!$J$48,0)-IF(AND('Bonding Program'!$M$48&lt;&gt;"",S$3='Bonding Program'!$M$48),'Bonding Program'!$L$48,0)-IF(AND('Bonding Program'!$P$48&lt;&gt;"",S$3='Bonding Program'!$P$48),'Bonding Program'!$O$48,0)-IF(AND('Bonding Program'!$R$48&lt;&gt;"",S$3='Bonding Program'!$R$48),'Bonding Program'!$Q$48,0),0)</f>
        <v>0</v>
      </c>
      <c r="T189" s="19" t="n">
        <f aca="false">IF(AND('Bonding Program'!$S$48=1,T$3='Bonding Program'!$H$48),'Bonding Program'!$AA$48,0)-IF(T$3&lt;='Bonding Program'!$C$8,IF(AND('Bonding Program'!$K$48&lt;&gt;"",T$3='Bonding Program'!$K$48),'Bonding Program'!$J$48,0)-IF(AND('Bonding Program'!$M$48&lt;&gt;"",T$3='Bonding Program'!$M$48),'Bonding Program'!$L$48,0)-IF(AND('Bonding Program'!$P$48&lt;&gt;"",T$3='Bonding Program'!$P$48),'Bonding Program'!$O$48,0)-IF(AND('Bonding Program'!$R$48&lt;&gt;"",T$3='Bonding Program'!$R$48),'Bonding Program'!$Q$48,0),0)</f>
        <v>0</v>
      </c>
      <c r="U189" s="19" t="n">
        <f aca="false">IF(AND('Bonding Program'!$S$48=1,U$3='Bonding Program'!$H$48),'Bonding Program'!$AA$48,0)-IF(U$3&lt;='Bonding Program'!$C$8,IF(AND('Bonding Program'!$K$48&lt;&gt;"",U$3='Bonding Program'!$K$48),'Bonding Program'!$J$48,0)-IF(AND('Bonding Program'!$M$48&lt;&gt;"",U$3='Bonding Program'!$M$48),'Bonding Program'!$L$48,0)-IF(AND('Bonding Program'!$P$48&lt;&gt;"",U$3='Bonding Program'!$P$48),'Bonding Program'!$O$48,0)-IF(AND('Bonding Program'!$R$48&lt;&gt;"",U$3='Bonding Program'!$R$48),'Bonding Program'!$Q$48,0),0)</f>
        <v>0</v>
      </c>
      <c r="V189" s="19" t="n">
        <f aca="false">IF(AND('Bonding Program'!$S$48=1,V$3='Bonding Program'!$H$48),'Bonding Program'!$AA$48,0)-IF(V$3&lt;='Bonding Program'!$C$8,IF(AND('Bonding Program'!$K$48&lt;&gt;"",V$3='Bonding Program'!$K$48),'Bonding Program'!$J$48,0)-IF(AND('Bonding Program'!$M$48&lt;&gt;"",V$3='Bonding Program'!$M$48),'Bonding Program'!$L$48,0)-IF(AND('Bonding Program'!$P$48&lt;&gt;"",V$3='Bonding Program'!$P$48),'Bonding Program'!$O$48,0)-IF(AND('Bonding Program'!$R$48&lt;&gt;"",V$3='Bonding Program'!$R$48),'Bonding Program'!$Q$48,0),0)</f>
        <v>0</v>
      </c>
      <c r="W189" s="19" t="n">
        <f aca="false">IF(AND('Bonding Program'!$S$48=1,W$3='Bonding Program'!$H$48),'Bonding Program'!$AA$48,0)-IF(W$3&lt;='Bonding Program'!$C$8,IF(AND('Bonding Program'!$K$48&lt;&gt;"",W$3='Bonding Program'!$K$48),'Bonding Program'!$J$48,0)-IF(AND('Bonding Program'!$M$48&lt;&gt;"",W$3='Bonding Program'!$M$48),'Bonding Program'!$L$48,0)-IF(AND('Bonding Program'!$P$48&lt;&gt;"",W$3='Bonding Program'!$P$48),'Bonding Program'!$O$48,0)-IF(AND('Bonding Program'!$R$48&lt;&gt;"",W$3='Bonding Program'!$R$48),'Bonding Program'!$Q$48,0),0)</f>
        <v>0</v>
      </c>
      <c r="X189" s="19" t="n">
        <f aca="false">IF(AND('Bonding Program'!$S$48=1,X$3='Bonding Program'!$H$48),'Bonding Program'!$AA$48,0)-IF(X$3&lt;='Bonding Program'!$C$8,IF(AND('Bonding Program'!$K$48&lt;&gt;"",X$3='Bonding Program'!$K$48),'Bonding Program'!$J$48,0)-IF(AND('Bonding Program'!$M$48&lt;&gt;"",X$3='Bonding Program'!$M$48),'Bonding Program'!$L$48,0)-IF(AND('Bonding Program'!$P$48&lt;&gt;"",X$3='Bonding Program'!$P$48),'Bonding Program'!$O$48,0)-IF(AND('Bonding Program'!$R$48&lt;&gt;"",X$3='Bonding Program'!$R$48),'Bonding Program'!$Q$48,0),0)</f>
        <v>0</v>
      </c>
      <c r="Y189" s="19" t="n">
        <f aca="false">IF(AND('Bonding Program'!$S$48=1,Y$3='Bonding Program'!$H$48),'Bonding Program'!$AA$48,0)-IF(Y$3&lt;='Bonding Program'!$C$8,IF(AND('Bonding Program'!$K$48&lt;&gt;"",Y$3='Bonding Program'!$K$48),'Bonding Program'!$J$48,0)-IF(AND('Bonding Program'!$M$48&lt;&gt;"",Y$3='Bonding Program'!$M$48),'Bonding Program'!$L$48,0)-IF(AND('Bonding Program'!$P$48&lt;&gt;"",Y$3='Bonding Program'!$P$48),'Bonding Program'!$O$48,0)-IF(AND('Bonding Program'!$R$48&lt;&gt;"",Y$3='Bonding Program'!$R$48),'Bonding Program'!$Q$48,0),0)</f>
        <v>0</v>
      </c>
      <c r="Z189" s="19" t="n">
        <f aca="false">IF(AND('Bonding Program'!$S$48=1,Z$3='Bonding Program'!$H$48),'Bonding Program'!$AA$48,0)-IF(Z$3&lt;='Bonding Program'!$C$8,IF(AND('Bonding Program'!$K$48&lt;&gt;"",Z$3='Bonding Program'!$K$48),'Bonding Program'!$J$48,0)-IF(AND('Bonding Program'!$M$48&lt;&gt;"",Z$3='Bonding Program'!$M$48),'Bonding Program'!$L$48,0)-IF(AND('Bonding Program'!$P$48&lt;&gt;"",Z$3='Bonding Program'!$P$48),'Bonding Program'!$O$48,0)-IF(AND('Bonding Program'!$R$48&lt;&gt;"",Z$3='Bonding Program'!$R$48),'Bonding Program'!$Q$48,0),0)</f>
        <v>0</v>
      </c>
      <c r="AA189" s="19" t="n">
        <f aca="false">IF(AND('Bonding Program'!$S$48=1,AA$3='Bonding Program'!$H$48),'Bonding Program'!$AA$48,0)-IF(AA$3&lt;='Bonding Program'!$C$8,IF(AND('Bonding Program'!$K$48&lt;&gt;"",AA$3='Bonding Program'!$K$48),'Bonding Program'!$J$48,0)-IF(AND('Bonding Program'!$M$48&lt;&gt;"",AA$3='Bonding Program'!$M$48),'Bonding Program'!$L$48,0)-IF(AND('Bonding Program'!$P$48&lt;&gt;"",AA$3='Bonding Program'!$P$48),'Bonding Program'!$O$48,0)-IF(AND('Bonding Program'!$R$48&lt;&gt;"",AA$3='Bonding Program'!$R$48),'Bonding Program'!$Q$48,0),0)</f>
        <v>0</v>
      </c>
      <c r="AB189" s="19" t="n">
        <f aca="false">IF(AND('Bonding Program'!$S$48=1,AB$3='Bonding Program'!$H$48),'Bonding Program'!$AA$48,0)-IF(AB$3&lt;='Bonding Program'!$C$8,IF(AND('Bonding Program'!$K$48&lt;&gt;"",AB$3='Bonding Program'!$K$48),'Bonding Program'!$J$48,0)-IF(AND('Bonding Program'!$M$48&lt;&gt;"",AB$3='Bonding Program'!$M$48),'Bonding Program'!$L$48,0)-IF(AND('Bonding Program'!$P$48&lt;&gt;"",AB$3='Bonding Program'!$P$48),'Bonding Program'!$O$48,0)-IF(AND('Bonding Program'!$R$48&lt;&gt;"",AB$3='Bonding Program'!$R$48),'Bonding Program'!$Q$48,0),0)</f>
        <v>0</v>
      </c>
      <c r="AC189" s="19" t="n">
        <f aca="false">IF(AND('Bonding Program'!$S$48=1,AC$3='Bonding Program'!$H$48),'Bonding Program'!$AA$48,0)-IF(AC$3&lt;='Bonding Program'!$C$8,IF(AND('Bonding Program'!$K$48&lt;&gt;"",AC$3='Bonding Program'!$K$48),'Bonding Program'!$J$48,0)-IF(AND('Bonding Program'!$M$48&lt;&gt;"",AC$3='Bonding Program'!$M$48),'Bonding Program'!$L$48,0)-IF(AND('Bonding Program'!$P$48&lt;&gt;"",AC$3='Bonding Program'!$P$48),'Bonding Program'!$O$48,0)-IF(AND('Bonding Program'!$R$48&lt;&gt;"",AC$3='Bonding Program'!$R$48),'Bonding Program'!$Q$48,0),0)</f>
        <v>0</v>
      </c>
      <c r="AD189" s="19" t="n">
        <f aca="false">IF(AND('Bonding Program'!$S$48=1,AD$3='Bonding Program'!$H$48),'Bonding Program'!$AA$48,0)-IF(AD$3&lt;='Bonding Program'!$C$8,IF(AND('Bonding Program'!$K$48&lt;&gt;"",AD$3='Bonding Program'!$K$48),'Bonding Program'!$J$48,0)-IF(AND('Bonding Program'!$M$48&lt;&gt;"",AD$3='Bonding Program'!$M$48),'Bonding Program'!$L$48,0)-IF(AND('Bonding Program'!$P$48&lt;&gt;"",AD$3='Bonding Program'!$P$48),'Bonding Program'!$O$48,0)-IF(AND('Bonding Program'!$R$48&lt;&gt;"",AD$3='Bonding Program'!$R$48),'Bonding Program'!$Q$48,0),0)</f>
        <v>0</v>
      </c>
      <c r="AE189" s="19" t="n">
        <f aca="false">IF(AND('Bonding Program'!$S$48=1,AE$3='Bonding Program'!$H$48),'Bonding Program'!$AA$48,0)-IF(AE$3&lt;='Bonding Program'!$C$8,IF(AND('Bonding Program'!$K$48&lt;&gt;"",AE$3='Bonding Program'!$K$48),'Bonding Program'!$J$48,0)-IF(AND('Bonding Program'!$M$48&lt;&gt;"",AE$3='Bonding Program'!$M$48),'Bonding Program'!$L$48,0)-IF(AND('Bonding Program'!$P$48&lt;&gt;"",AE$3='Bonding Program'!$P$48),'Bonding Program'!$O$48,0)-IF(AND('Bonding Program'!$R$48&lt;&gt;"",AE$3='Bonding Program'!$R$48),'Bonding Program'!$Q$48,0),0)</f>
        <v>0</v>
      </c>
      <c r="AF189" s="19" t="n">
        <f aca="false">IF(AND('Bonding Program'!$S$48=1,AF$3='Bonding Program'!$H$48),'Bonding Program'!$AA$48,0)-IF(AF$3&lt;='Bonding Program'!$C$8,IF(AND('Bonding Program'!$K$48&lt;&gt;"",AF$3='Bonding Program'!$K$48),'Bonding Program'!$J$48,0)-IF(AND('Bonding Program'!$M$48&lt;&gt;"",AF$3='Bonding Program'!$M$48),'Bonding Program'!$L$48,0)-IF(AND('Bonding Program'!$P$48&lt;&gt;"",AF$3='Bonding Program'!$P$48),'Bonding Program'!$O$48,0)-IF(AND('Bonding Program'!$R$48&lt;&gt;"",AF$3='Bonding Program'!$R$48),'Bonding Program'!$Q$48,0),0)</f>
        <v>0</v>
      </c>
      <c r="AG189" s="19" t="n">
        <f aca="false">IF(AND('Bonding Program'!$S$48=1,AG$3='Bonding Program'!$H$48),'Bonding Program'!$AA$48,0)-IF(AG$3&lt;='Bonding Program'!$C$8,IF(AND('Bonding Program'!$K$48&lt;&gt;"",AG$3='Bonding Program'!$K$48),'Bonding Program'!$J$48,0)-IF(AND('Bonding Program'!$M$48&lt;&gt;"",AG$3='Bonding Program'!$M$48),'Bonding Program'!$L$48,0)-IF(AND('Bonding Program'!$P$48&lt;&gt;"",AG$3='Bonding Program'!$P$48),'Bonding Program'!$O$48,0)-IF(AND('Bonding Program'!$R$48&lt;&gt;"",AG$3='Bonding Program'!$R$48),'Bonding Program'!$Q$48,0),0)</f>
        <v>0</v>
      </c>
      <c r="AH189" s="19" t="n">
        <f aca="false">IF(AND('Bonding Program'!$S$48=1,AH$3='Bonding Program'!$H$48),'Bonding Program'!$AA$48,0)-IF(AH$3&lt;='Bonding Program'!$C$8,IF(AND('Bonding Program'!$K$48&lt;&gt;"",AH$3='Bonding Program'!$K$48),'Bonding Program'!$J$48,0)-IF(AND('Bonding Program'!$M$48&lt;&gt;"",AH$3='Bonding Program'!$M$48),'Bonding Program'!$L$48,0)-IF(AND('Bonding Program'!$P$48&lt;&gt;"",AH$3='Bonding Program'!$P$48),'Bonding Program'!$O$48,0)-IF(AND('Bonding Program'!$R$48&lt;&gt;"",AH$3='Bonding Program'!$R$48),'Bonding Program'!$Q$48,0),0)</f>
        <v>0</v>
      </c>
      <c r="AI189" s="19" t="n">
        <f aca="false">IF(AND('Bonding Program'!$S$48=1,AI$3='Bonding Program'!$H$48),'Bonding Program'!$AA$48,0)-IF(AI$3&lt;='Bonding Program'!$C$8,IF(AND('Bonding Program'!$K$48&lt;&gt;"",AI$3='Bonding Program'!$K$48),'Bonding Program'!$J$48,0)-IF(AND('Bonding Program'!$M$48&lt;&gt;"",AI$3='Bonding Program'!$M$48),'Bonding Program'!$L$48,0)-IF(AND('Bonding Program'!$P$48&lt;&gt;"",AI$3='Bonding Program'!$P$48),'Bonding Program'!$O$48,0)-IF(AND('Bonding Program'!$R$48&lt;&gt;"",AI$3='Bonding Program'!$R$48),'Bonding Program'!$Q$48,0),0)</f>
        <v>0</v>
      </c>
      <c r="AJ189" s="19" t="n">
        <f aca="false">IF(AND('Bonding Program'!$S$48=1,AJ$3='Bonding Program'!$H$48),'Bonding Program'!$AA$48,0)-IF(AJ$3&lt;='Bonding Program'!$C$8,IF(AND('Bonding Program'!$K$48&lt;&gt;"",AJ$3='Bonding Program'!$K$48),'Bonding Program'!$J$48,0)-IF(AND('Bonding Program'!$M$48&lt;&gt;"",AJ$3='Bonding Program'!$M$48),'Bonding Program'!$L$48,0)-IF(AND('Bonding Program'!$P$48&lt;&gt;"",AJ$3='Bonding Program'!$P$48),'Bonding Program'!$O$48,0)-IF(AND('Bonding Program'!$R$48&lt;&gt;"",AJ$3='Bonding Program'!$R$48),'Bonding Program'!$Q$48,0),0)</f>
        <v>0</v>
      </c>
      <c r="AK189" s="19" t="n">
        <f aca="false">IF(AND('Bonding Program'!$S$48=1,AK$3='Bonding Program'!$H$48),'Bonding Program'!$AA$48,0)-IF(AK$3&lt;='Bonding Program'!$C$8,IF(AND('Bonding Program'!$K$48&lt;&gt;"",AK$3='Bonding Program'!$K$48),'Bonding Program'!$J$48,0)-IF(AND('Bonding Program'!$M$48&lt;&gt;"",AK$3='Bonding Program'!$M$48),'Bonding Program'!$L$48,0)-IF(AND('Bonding Program'!$P$48&lt;&gt;"",AK$3='Bonding Program'!$P$48),'Bonding Program'!$O$48,0)-IF(AND('Bonding Program'!$R$48&lt;&gt;"",AK$3='Bonding Program'!$R$48),'Bonding Program'!$Q$48,0),0)</f>
        <v>0</v>
      </c>
      <c r="AL189" s="19" t="n">
        <f aca="false">IF(AND('Bonding Program'!$S$48=1,AL$3='Bonding Program'!$H$48),'Bonding Program'!$AA$48,0)-IF(AL$3&lt;='Bonding Program'!$C$8,IF(AND('Bonding Program'!$K$48&lt;&gt;"",AL$3='Bonding Program'!$K$48),'Bonding Program'!$J$48,0)-IF(AND('Bonding Program'!$M$48&lt;&gt;"",AL$3='Bonding Program'!$M$48),'Bonding Program'!$L$48,0)-IF(AND('Bonding Program'!$P$48&lt;&gt;"",AL$3='Bonding Program'!$P$48),'Bonding Program'!$O$48,0)-IF(AND('Bonding Program'!$R$48&lt;&gt;"",AL$3='Bonding Program'!$R$48),'Bonding Program'!$Q$48,0),0)</f>
        <v>0</v>
      </c>
      <c r="AM189" s="19" t="n">
        <f aca="false">IF(AND('Bonding Program'!$S$48=1,AM$3='Bonding Program'!$H$48),'Bonding Program'!$AA$48,0)-IF(AM$3&lt;='Bonding Program'!$C$8,IF(AND('Bonding Program'!$K$48&lt;&gt;"",AM$3='Bonding Program'!$K$48),'Bonding Program'!$J$48,0)-IF(AND('Bonding Program'!$M$48&lt;&gt;"",AM$3='Bonding Program'!$M$48),'Bonding Program'!$L$48,0)-IF(AND('Bonding Program'!$P$48&lt;&gt;"",AM$3='Bonding Program'!$P$48),'Bonding Program'!$O$48,0)-IF(AND('Bonding Program'!$R$48&lt;&gt;"",AM$3='Bonding Program'!$R$48),'Bonding Program'!$Q$48,0),0)</f>
        <v>0</v>
      </c>
      <c r="AN189" s="19" t="n">
        <f aca="false">IF(AND('Bonding Program'!$S$48=1,AN$3='Bonding Program'!$H$48),'Bonding Program'!$AA$48,0)-IF(AN$3&lt;='Bonding Program'!$C$8,IF(AND('Bonding Program'!$K$48&lt;&gt;"",AN$3='Bonding Program'!$K$48),'Bonding Program'!$J$48,0)-IF(AND('Bonding Program'!$M$48&lt;&gt;"",AN$3='Bonding Program'!$M$48),'Bonding Program'!$L$48,0)-IF(AND('Bonding Program'!$P$48&lt;&gt;"",AN$3='Bonding Program'!$P$48),'Bonding Program'!$O$48,0)-IF(AND('Bonding Program'!$R$48&lt;&gt;"",AN$3='Bonding Program'!$R$48),'Bonding Program'!$Q$48,0),0)</f>
        <v>0</v>
      </c>
      <c r="AO189" s="19" t="n">
        <f aca="false">IF(AND('Bonding Program'!$S$48=1,AO$3='Bonding Program'!$H$48),'Bonding Program'!$AA$48,0)-IF(AO$3&lt;='Bonding Program'!$C$8,IF(AND('Bonding Program'!$K$48&lt;&gt;"",AO$3='Bonding Program'!$K$48),'Bonding Program'!$J$48,0)-IF(AND('Bonding Program'!$M$48&lt;&gt;"",AO$3='Bonding Program'!$M$48),'Bonding Program'!$L$48,0)-IF(AND('Bonding Program'!$P$48&lt;&gt;"",AO$3='Bonding Program'!$P$48),'Bonding Program'!$O$48,0)-IF(AND('Bonding Program'!$R$48&lt;&gt;"",AO$3='Bonding Program'!$R$48),'Bonding Program'!$Q$48,0),0)</f>
        <v>0</v>
      </c>
      <c r="AP189" s="19" t="n">
        <f aca="false">IF(AND('Bonding Program'!$S$48=1,AP$3='Bonding Program'!$H$48),'Bonding Program'!$AA$48,0)-IF(AP$3&lt;='Bonding Program'!$C$8,IF(AND('Bonding Program'!$K$48&lt;&gt;"",AP$3='Bonding Program'!$K$48),'Bonding Program'!$J$48,0)-IF(AND('Bonding Program'!$M$48&lt;&gt;"",AP$3='Bonding Program'!$M$48),'Bonding Program'!$L$48,0)-IF(AND('Bonding Program'!$P$48&lt;&gt;"",AP$3='Bonding Program'!$P$48),'Bonding Program'!$O$48,0)-IF(AND('Bonding Program'!$R$48&lt;&gt;"",AP$3='Bonding Program'!$R$48),'Bonding Program'!$Q$48,0),0)</f>
        <v>0</v>
      </c>
      <c r="AQ189" s="19" t="n">
        <f aca="false">IF(AND('Bonding Program'!$S$48=1,AQ$3='Bonding Program'!$H$48),'Bonding Program'!$AA$48,0)-IF(AQ$3&lt;='Bonding Program'!$C$8,IF(AND('Bonding Program'!$K$48&lt;&gt;"",AQ$3='Bonding Program'!$K$48),'Bonding Program'!$J$48,0)-IF(AND('Bonding Program'!$M$48&lt;&gt;"",AQ$3='Bonding Program'!$M$48),'Bonding Program'!$L$48,0)-IF(AND('Bonding Program'!$P$48&lt;&gt;"",AQ$3='Bonding Program'!$P$48),'Bonding Program'!$O$48,0)-IF(AND('Bonding Program'!$R$48&lt;&gt;"",AQ$3='Bonding Program'!$R$48),'Bonding Program'!$Q$48,0),0)</f>
        <v>0</v>
      </c>
      <c r="AR189" s="19" t="n">
        <f aca="false">IF(AND('Bonding Program'!$S$48=1,AR$3='Bonding Program'!$H$48),'Bonding Program'!$AA$48,0)-IF(AR$3&lt;='Bonding Program'!$C$8,IF(AND('Bonding Program'!$K$48&lt;&gt;"",AR$3='Bonding Program'!$K$48),'Bonding Program'!$J$48,0)-IF(AND('Bonding Program'!$M$48&lt;&gt;"",AR$3='Bonding Program'!$M$48),'Bonding Program'!$L$48,0)-IF(AND('Bonding Program'!$P$48&lt;&gt;"",AR$3='Bonding Program'!$P$48),'Bonding Program'!$O$48,0)-IF(AND('Bonding Program'!$R$48&lt;&gt;"",AR$3='Bonding Program'!$R$48),'Bonding Program'!$Q$48,0),0)</f>
        <v>0</v>
      </c>
      <c r="AS189" s="19" t="n">
        <f aca="false">IF(AND('Bonding Program'!$S$48=1,AS$3='Bonding Program'!$H$48),'Bonding Program'!$AA$48,0)-IF(AS$3&lt;='Bonding Program'!$C$8,IF(AND('Bonding Program'!$K$48&lt;&gt;"",AS$3='Bonding Program'!$K$48),'Bonding Program'!$J$48,0)-IF(AND('Bonding Program'!$M$48&lt;&gt;"",AS$3='Bonding Program'!$M$48),'Bonding Program'!$L$48,0)-IF(AND('Bonding Program'!$P$48&lt;&gt;"",AS$3='Bonding Program'!$P$48),'Bonding Program'!$O$48,0)-IF(AND('Bonding Program'!$R$48&lt;&gt;"",AS$3='Bonding Program'!$R$48),'Bonding Program'!$Q$48,0),0)</f>
        <v>0</v>
      </c>
      <c r="AT189" s="19" t="n">
        <f aca="false">IF(AND('Bonding Program'!$S$48=1,AT$3='Bonding Program'!$H$48),'Bonding Program'!$AA$48,0)-IF(AT$3&lt;='Bonding Program'!$C$8,IF(AND('Bonding Program'!$K$48&lt;&gt;"",AT$3='Bonding Program'!$K$48),'Bonding Program'!$J$48,0)-IF(AND('Bonding Program'!$M$48&lt;&gt;"",AT$3='Bonding Program'!$M$48),'Bonding Program'!$L$48,0)-IF(AND('Bonding Program'!$P$48&lt;&gt;"",AT$3='Bonding Program'!$P$48),'Bonding Program'!$O$48,0)-IF(AND('Bonding Program'!$R$48&lt;&gt;"",AT$3='Bonding Program'!$R$48),'Bonding Program'!$Q$48,0),0)</f>
        <v>0</v>
      </c>
      <c r="AU189" s="19" t="n">
        <f aca="false">IF(AND('Bonding Program'!$S$48=1,AU$3='Bonding Program'!$H$48),'Bonding Program'!$AA$48,0)-IF(AU$3&lt;='Bonding Program'!$C$8,IF(AND('Bonding Program'!$K$48&lt;&gt;"",AU$3='Bonding Program'!$K$48),'Bonding Program'!$J$48,0)-IF(AND('Bonding Program'!$M$48&lt;&gt;"",AU$3='Bonding Program'!$M$48),'Bonding Program'!$L$48,0)-IF(AND('Bonding Program'!$P$48&lt;&gt;"",AU$3='Bonding Program'!$P$48),'Bonding Program'!$O$48,0)-IF(AND('Bonding Program'!$R$48&lt;&gt;"",AU$3='Bonding Program'!$R$48),'Bonding Program'!$Q$48,0),0)</f>
        <v>0</v>
      </c>
      <c r="AV189" s="19" t="n">
        <f aca="false">IF(AND('Bonding Program'!$S$48=1,AV$3='Bonding Program'!$H$48),'Bonding Program'!$AA$48,0)-IF(AV$3&lt;='Bonding Program'!$C$8,IF(AND('Bonding Program'!$K$48&lt;&gt;"",AV$3='Bonding Program'!$K$48),'Bonding Program'!$J$48,0)-IF(AND('Bonding Program'!$M$48&lt;&gt;"",AV$3='Bonding Program'!$M$48),'Bonding Program'!$L$48,0)-IF(AND('Bonding Program'!$P$48&lt;&gt;"",AV$3='Bonding Program'!$P$48),'Bonding Program'!$O$48,0)-IF(AND('Bonding Program'!$R$48&lt;&gt;"",AV$3='Bonding Program'!$R$48),'Bonding Program'!$Q$48,0),0)</f>
        <v>0</v>
      </c>
      <c r="AW189" s="19" t="n">
        <f aca="false">IF(AND('Bonding Program'!$S$48=1,AW$3='Bonding Program'!$H$48),'Bonding Program'!$AA$48,0)-IF(AW$3&lt;='Bonding Program'!$C$8,IF(AND('Bonding Program'!$K$48&lt;&gt;"",AW$3='Bonding Program'!$K$48),'Bonding Program'!$J$48,0)-IF(AND('Bonding Program'!$M$48&lt;&gt;"",AW$3='Bonding Program'!$M$48),'Bonding Program'!$L$48,0)-IF(AND('Bonding Program'!$P$48&lt;&gt;"",AW$3='Bonding Program'!$P$48),'Bonding Program'!$O$48,0)-IF(AND('Bonding Program'!$R$48&lt;&gt;"",AW$3='Bonding Program'!$R$48),'Bonding Program'!$Q$48,0),0)</f>
        <v>0</v>
      </c>
      <c r="AX189" s="19" t="n">
        <f aca="false">IF(AND('Bonding Program'!$S$48=1,AX$3='Bonding Program'!$H$48),'Bonding Program'!$AA$48,0)-IF(AX$3&lt;='Bonding Program'!$C$8,IF(AND('Bonding Program'!$K$48&lt;&gt;"",AX$3='Bonding Program'!$K$48),'Bonding Program'!$J$48,0)-IF(AND('Bonding Program'!$M$48&lt;&gt;"",AX$3='Bonding Program'!$M$48),'Bonding Program'!$L$48,0)-IF(AND('Bonding Program'!$P$48&lt;&gt;"",AX$3='Bonding Program'!$P$48),'Bonding Program'!$O$48,0)-IF(AND('Bonding Program'!$R$48&lt;&gt;"",AX$3='Bonding Program'!$R$48),'Bonding Program'!$Q$48,0),0)</f>
        <v>0</v>
      </c>
      <c r="AY189" s="19" t="n">
        <f aca="false">IF(AND('Bonding Program'!$S$48=1,AY$3='Bonding Program'!$H$48),'Bonding Program'!$AA$48,0)-IF(AY$3&lt;='Bonding Program'!$C$8,IF(AND('Bonding Program'!$K$48&lt;&gt;"",AY$3='Bonding Program'!$K$48),'Bonding Program'!$J$48,0)-IF(AND('Bonding Program'!$M$48&lt;&gt;"",AY$3='Bonding Program'!$M$48),'Bonding Program'!$L$48,0)-IF(AND('Bonding Program'!$P$48&lt;&gt;"",AY$3='Bonding Program'!$P$48),'Bonding Program'!$O$48,0)-IF(AND('Bonding Program'!$R$48&lt;&gt;"",AY$3='Bonding Program'!$R$48),'Bonding Program'!$Q$48,0),0)</f>
        <v>0</v>
      </c>
      <c r="AZ189" s="19" t="n">
        <f aca="false">IF(AND('Bonding Program'!$S$48=1,AZ$3='Bonding Program'!$H$48),'Bonding Program'!$AA$48,0)-IF(AZ$3&lt;='Bonding Program'!$C$8,IF(AND('Bonding Program'!$K$48&lt;&gt;"",AZ$3='Bonding Program'!$K$48),'Bonding Program'!$J$48,0)-IF(AND('Bonding Program'!$M$48&lt;&gt;"",AZ$3='Bonding Program'!$M$48),'Bonding Program'!$L$48,0)-IF(AND('Bonding Program'!$P$48&lt;&gt;"",AZ$3='Bonding Program'!$P$48),'Bonding Program'!$O$48,0)-IF(AND('Bonding Program'!$R$48&lt;&gt;"",AZ$3='Bonding Program'!$R$48),'Bonding Program'!$Q$48,0),0)</f>
        <v>0</v>
      </c>
      <c r="BA189" s="19" t="n">
        <f aca="false">IF(AND('Bonding Program'!$S$48=1,BA$3='Bonding Program'!$H$48),'Bonding Program'!$AA$48,0)-IF(BA$3&lt;='Bonding Program'!$C$8,IF(AND('Bonding Program'!$K$48&lt;&gt;"",BA$3='Bonding Program'!$K$48),'Bonding Program'!$J$48,0)-IF(AND('Bonding Program'!$M$48&lt;&gt;"",BA$3='Bonding Program'!$M$48),'Bonding Program'!$L$48,0)-IF(AND('Bonding Program'!$P$48&lt;&gt;"",BA$3='Bonding Program'!$P$48),'Bonding Program'!$O$48,0)-IF(AND('Bonding Program'!$R$48&lt;&gt;"",BA$3='Bonding Program'!$R$48),'Bonding Program'!$Q$48,0),0)</f>
        <v>0</v>
      </c>
      <c r="BB189" s="19" t="n">
        <f aca="false">IF(AND('Bonding Program'!$S$48=1,BB$3='Bonding Program'!$H$48),'Bonding Program'!$AA$48,0)-IF(BB$3&lt;='Bonding Program'!$C$8,IF(AND('Bonding Program'!$K$48&lt;&gt;"",BB$3='Bonding Program'!$K$48),'Bonding Program'!$J$48,0)-IF(AND('Bonding Program'!$M$48&lt;&gt;"",BB$3='Bonding Program'!$M$48),'Bonding Program'!$L$48,0)-IF(AND('Bonding Program'!$P$48&lt;&gt;"",BB$3='Bonding Program'!$P$48),'Bonding Program'!$O$48,0)-IF(AND('Bonding Program'!$R$48&lt;&gt;"",BB$3='Bonding Program'!$R$48),'Bonding Program'!$Q$48,0),0)</f>
        <v>0</v>
      </c>
      <c r="BC189" s="19" t="n">
        <f aca="false">IF(AND('Bonding Program'!$S$48=1,BC$3='Bonding Program'!$H$48),'Bonding Program'!$AA$48,0)-IF(BC$3&lt;='Bonding Program'!$C$8,IF(AND('Bonding Program'!$K$48&lt;&gt;"",BC$3='Bonding Program'!$K$48),'Bonding Program'!$J$48,0)-IF(AND('Bonding Program'!$M$48&lt;&gt;"",BC$3='Bonding Program'!$M$48),'Bonding Program'!$L$48,0)-IF(AND('Bonding Program'!$P$48&lt;&gt;"",BC$3='Bonding Program'!$P$48),'Bonding Program'!$O$48,0)-IF(AND('Bonding Program'!$R$48&lt;&gt;"",BC$3='Bonding Program'!$R$48),'Bonding Program'!$Q$48,0),0)</f>
        <v>0</v>
      </c>
      <c r="BD189" s="19" t="n">
        <f aca="false">IF(AND('Bonding Program'!$S$48=1,BD$3='Bonding Program'!$H$48),'Bonding Program'!$AA$48,0)-IF(BD$3&lt;='Bonding Program'!$C$8,IF(AND('Bonding Program'!$K$48&lt;&gt;"",BD$3='Bonding Program'!$K$48),'Bonding Program'!$J$48,0)-IF(AND('Bonding Program'!$M$48&lt;&gt;"",BD$3='Bonding Program'!$M$48),'Bonding Program'!$L$48,0)-IF(AND('Bonding Program'!$P$48&lt;&gt;"",BD$3='Bonding Program'!$P$48),'Bonding Program'!$O$48,0)-IF(AND('Bonding Program'!$R$48&lt;&gt;"",BD$3='Bonding Program'!$R$48),'Bonding Program'!$Q$48,0),0)</f>
        <v>0</v>
      </c>
      <c r="BE189" s="19" t="n">
        <f aca="false">IF(AND('Bonding Program'!$S$48=1,BE$3='Bonding Program'!$H$48),'Bonding Program'!$AA$48,0)-IF(BE$3&lt;='Bonding Program'!$C$8,IF(AND('Bonding Program'!$K$48&lt;&gt;"",BE$3='Bonding Program'!$K$48),'Bonding Program'!$J$48,0)-IF(AND('Bonding Program'!$M$48&lt;&gt;"",BE$3='Bonding Program'!$M$48),'Bonding Program'!$L$48,0)-IF(AND('Bonding Program'!$P$48&lt;&gt;"",BE$3='Bonding Program'!$P$48),'Bonding Program'!$O$48,0)-IF(AND('Bonding Program'!$R$48&lt;&gt;"",BE$3='Bonding Program'!$R$48),'Bonding Program'!$Q$48,0),0)</f>
        <v>0</v>
      </c>
      <c r="BF189" s="19" t="n">
        <f aca="false">IF(AND('Bonding Program'!$S$48=1,BF$3='Bonding Program'!$H$48),'Bonding Program'!$AA$48,0)-IF(BF$3&lt;='Bonding Program'!$C$8,IF(AND('Bonding Program'!$K$48&lt;&gt;"",BF$3='Bonding Program'!$K$48),'Bonding Program'!$J$48,0)-IF(AND('Bonding Program'!$M$48&lt;&gt;"",BF$3='Bonding Program'!$M$48),'Bonding Program'!$L$48,0)-IF(AND('Bonding Program'!$P$48&lt;&gt;"",BF$3='Bonding Program'!$P$48),'Bonding Program'!$O$48,0)-IF(AND('Bonding Program'!$R$48&lt;&gt;"",BF$3='Bonding Program'!$R$48),'Bonding Program'!$Q$48,0),0)</f>
        <v>0</v>
      </c>
      <c r="BG189" s="19" t="n">
        <f aca="false">IF(AND('Bonding Program'!$S$48=1,BG$3='Bonding Program'!$H$48),'Bonding Program'!$AA$48,0)-IF(BG$3&lt;='Bonding Program'!$C$8,IF(AND('Bonding Program'!$K$48&lt;&gt;"",BG$3='Bonding Program'!$K$48),'Bonding Program'!$J$48,0)-IF(AND('Bonding Program'!$M$48&lt;&gt;"",BG$3='Bonding Program'!$M$48),'Bonding Program'!$L$48,0)-IF(AND('Bonding Program'!$P$48&lt;&gt;"",BG$3='Bonding Program'!$P$48),'Bonding Program'!$O$48,0)-IF(AND('Bonding Program'!$R$48&lt;&gt;"",BG$3='Bonding Program'!$R$48),'Bonding Program'!$Q$48,0),0)</f>
        <v>0</v>
      </c>
      <c r="BH189" s="19" t="n">
        <f aca="false">IF(AND('Bonding Program'!$S$48=1,BH$3='Bonding Program'!$H$48),'Bonding Program'!$AA$48,0)-IF(BH$3&lt;='Bonding Program'!$C$8,IF(AND('Bonding Program'!$K$48&lt;&gt;"",BH$3='Bonding Program'!$K$48),'Bonding Program'!$J$48,0)-IF(AND('Bonding Program'!$M$48&lt;&gt;"",BH$3='Bonding Program'!$M$48),'Bonding Program'!$L$48,0)-IF(AND('Bonding Program'!$P$48&lt;&gt;"",BH$3='Bonding Program'!$P$48),'Bonding Program'!$O$48,0)-IF(AND('Bonding Program'!$R$48&lt;&gt;"",BH$3='Bonding Program'!$R$48),'Bonding Program'!$Q$48,0),0)</f>
        <v>0</v>
      </c>
      <c r="BI189" s="19" t="n">
        <f aca="false">IF(AND('Bonding Program'!$S$48=1,BI$3='Bonding Program'!$H$48),'Bonding Program'!$AA$48,0)-IF(BI$3&lt;='Bonding Program'!$C$8,IF(AND('Bonding Program'!$K$48&lt;&gt;"",BI$3='Bonding Program'!$K$48),'Bonding Program'!$J$48,0)-IF(AND('Bonding Program'!$M$48&lt;&gt;"",BI$3='Bonding Program'!$M$48),'Bonding Program'!$L$48,0)-IF(AND('Bonding Program'!$P$48&lt;&gt;"",BI$3='Bonding Program'!$P$48),'Bonding Program'!$O$48,0)-IF(AND('Bonding Program'!$R$48&lt;&gt;"",BI$3='Bonding Program'!$R$48),'Bonding Program'!$Q$48,0),0)</f>
        <v>0</v>
      </c>
      <c r="BJ189" s="19" t="n">
        <f aca="false">IF(AND('Bonding Program'!$S$48=1,BJ$3='Bonding Program'!$H$48),'Bonding Program'!$AA$48,0)-IF(BJ$3&lt;='Bonding Program'!$C$8,IF(AND('Bonding Program'!$K$48&lt;&gt;"",BJ$3='Bonding Program'!$K$48),'Bonding Program'!$J$48,0)-IF(AND('Bonding Program'!$M$48&lt;&gt;"",BJ$3='Bonding Program'!$M$48),'Bonding Program'!$L$48,0)-IF(AND('Bonding Program'!$P$48&lt;&gt;"",BJ$3='Bonding Program'!$P$48),'Bonding Program'!$O$48,0)-IF(AND('Bonding Program'!$R$48&lt;&gt;"",BJ$3='Bonding Program'!$R$48),'Bonding Program'!$Q$48,0),0)</f>
        <v>0</v>
      </c>
      <c r="BK189" s="19" t="n">
        <f aca="false">IF(AND('Bonding Program'!$S$48=1,BK$3='Bonding Program'!$H$48),'Bonding Program'!$AA$48,0)-IF(BK$3&lt;='Bonding Program'!$C$8,IF(AND('Bonding Program'!$K$48&lt;&gt;"",BK$3='Bonding Program'!$K$48),'Bonding Program'!$J$48,0)-IF(AND('Bonding Program'!$M$48&lt;&gt;"",BK$3='Bonding Program'!$M$48),'Bonding Program'!$L$48,0)-IF(AND('Bonding Program'!$P$48&lt;&gt;"",BK$3='Bonding Program'!$P$48),'Bonding Program'!$O$48,0)-IF(AND('Bonding Program'!$R$48&lt;&gt;"",BK$3='Bonding Program'!$R$48),'Bonding Program'!$Q$48,0),0)</f>
        <v>0</v>
      </c>
      <c r="BL189" s="19" t="n">
        <f aca="false">IF(AND('Bonding Program'!$S$48=1,BL$3='Bonding Program'!$H$48),'Bonding Program'!$AA$48,0)-IF(BL$3&lt;='Bonding Program'!$C$8,IF(AND('Bonding Program'!$K$48&lt;&gt;"",BL$3='Bonding Program'!$K$48),'Bonding Program'!$J$48,0)-IF(AND('Bonding Program'!$M$48&lt;&gt;"",BL$3='Bonding Program'!$M$48),'Bonding Program'!$L$48,0)-IF(AND('Bonding Program'!$P$48&lt;&gt;"",BL$3='Bonding Program'!$P$48),'Bonding Program'!$O$48,0)-IF(AND('Bonding Program'!$R$48&lt;&gt;"",BL$3='Bonding Program'!$R$48),'Bonding Program'!$Q$48,0),0)</f>
        <v>0</v>
      </c>
      <c r="BM189" s="19" t="n">
        <f aca="false">IF(AND('Bonding Program'!$S$48=1,BM$3='Bonding Program'!$H$48),'Bonding Program'!$AA$48,0)-IF(BM$3&lt;='Bonding Program'!$C$8,IF(AND('Bonding Program'!$K$48&lt;&gt;"",BM$3='Bonding Program'!$K$48),'Bonding Program'!$J$48,0)-IF(AND('Bonding Program'!$M$48&lt;&gt;"",BM$3='Bonding Program'!$M$48),'Bonding Program'!$L$48,0)-IF(AND('Bonding Program'!$P$48&lt;&gt;"",BM$3='Bonding Program'!$P$48),'Bonding Program'!$O$48,0)-IF(AND('Bonding Program'!$R$48&lt;&gt;"",BM$3='Bonding Program'!$R$48),'Bonding Program'!$Q$48,0),0)</f>
        <v>0</v>
      </c>
      <c r="BN189" s="19" t="n">
        <f aca="false">IF(AND('Bonding Program'!$S$48=1,BN$3='Bonding Program'!$H$48),'Bonding Program'!$AA$48,0)-IF(BN$3&lt;='Bonding Program'!$C$8,IF(AND('Bonding Program'!$K$48&lt;&gt;"",BN$3='Bonding Program'!$K$48),'Bonding Program'!$J$48,0)-IF(AND('Bonding Program'!$M$48&lt;&gt;"",BN$3='Bonding Program'!$M$48),'Bonding Program'!$L$48,0)-IF(AND('Bonding Program'!$P$48&lt;&gt;"",BN$3='Bonding Program'!$P$48),'Bonding Program'!$O$48,0)-IF(AND('Bonding Program'!$R$48&lt;&gt;"",BN$3='Bonding Program'!$R$48),'Bonding Program'!$Q$48,0),0)</f>
        <v>0</v>
      </c>
      <c r="BO189" s="19" t="n">
        <f aca="false">IF(AND('Bonding Program'!$S$48=1,BO$3='Bonding Program'!$H$48),'Bonding Program'!$AA$48,0)-IF(BO$3&lt;='Bonding Program'!$C$8,IF(AND('Bonding Program'!$K$48&lt;&gt;"",BO$3='Bonding Program'!$K$48),'Bonding Program'!$J$48,0)-IF(AND('Bonding Program'!$M$48&lt;&gt;"",BO$3='Bonding Program'!$M$48),'Bonding Program'!$L$48,0)-IF(AND('Bonding Program'!$P$48&lt;&gt;"",BO$3='Bonding Program'!$P$48),'Bonding Program'!$O$48,0)-IF(AND('Bonding Program'!$R$48&lt;&gt;"",BO$3='Bonding Program'!$R$48),'Bonding Program'!$Q$48,0),0)</f>
        <v>0</v>
      </c>
      <c r="BP189" s="19" t="n">
        <f aca="false">IF(AND('Bonding Program'!$S$48=1,BP$3='Bonding Program'!$H$48),'Bonding Program'!$AA$48,0)-IF(BP$3&lt;='Bonding Program'!$C$8,IF(AND('Bonding Program'!$K$48&lt;&gt;"",BP$3='Bonding Program'!$K$48),'Bonding Program'!$J$48,0)-IF(AND('Bonding Program'!$M$48&lt;&gt;"",BP$3='Bonding Program'!$M$48),'Bonding Program'!$L$48,0)-IF(AND('Bonding Program'!$P$48&lt;&gt;"",BP$3='Bonding Program'!$P$48),'Bonding Program'!$O$48,0)-IF(AND('Bonding Program'!$R$48&lt;&gt;"",BP$3='Bonding Program'!$R$48),'Bonding Program'!$Q$48,0),0)</f>
        <v>0</v>
      </c>
      <c r="BQ189" s="19" t="n">
        <f aca="false">IF(AND('Bonding Program'!$S$48=1,BQ$3='Bonding Program'!$H$48),'Bonding Program'!$AA$48,0)-IF(BQ$3&lt;='Bonding Program'!$C$8,IF(AND('Bonding Program'!$K$48&lt;&gt;"",BQ$3='Bonding Program'!$K$48),'Bonding Program'!$J$48,0)-IF(AND('Bonding Program'!$M$48&lt;&gt;"",BQ$3='Bonding Program'!$M$48),'Bonding Program'!$L$48,0)-IF(AND('Bonding Program'!$P$48&lt;&gt;"",BQ$3='Bonding Program'!$P$48),'Bonding Program'!$O$48,0)-IF(AND('Bonding Program'!$R$48&lt;&gt;"",BQ$3='Bonding Program'!$R$48),'Bonding Program'!$Q$48,0),0)</f>
        <v>0</v>
      </c>
      <c r="BR189" s="19" t="n">
        <f aca="false">IF(AND('Bonding Program'!$S$48=1,BR$3='Bonding Program'!$H$48),'Bonding Program'!$AA$48,0)-IF(BR$3&lt;='Bonding Program'!$C$8,IF(AND('Bonding Program'!$K$48&lt;&gt;"",BR$3='Bonding Program'!$K$48),'Bonding Program'!$J$48,0)-IF(AND('Bonding Program'!$M$48&lt;&gt;"",BR$3='Bonding Program'!$M$48),'Bonding Program'!$L$48,0)-IF(AND('Bonding Program'!$P$48&lt;&gt;"",BR$3='Bonding Program'!$P$48),'Bonding Program'!$O$48,0)-IF(AND('Bonding Program'!$R$48&lt;&gt;"",BR$3='Bonding Program'!$R$48),'Bonding Program'!$Q$48,0),0)</f>
        <v>0</v>
      </c>
      <c r="BS189" s="19" t="n">
        <f aca="false">IF(AND('Bonding Program'!$S$48=1,BS$3='Bonding Program'!$H$48),'Bonding Program'!$AA$48,0)-IF(BS$3&lt;='Bonding Program'!$C$8,IF(AND('Bonding Program'!$K$48&lt;&gt;"",BS$3='Bonding Program'!$K$48),'Bonding Program'!$J$48,0)-IF(AND('Bonding Program'!$M$48&lt;&gt;"",BS$3='Bonding Program'!$M$48),'Bonding Program'!$L$48,0)-IF(AND('Bonding Program'!$P$48&lt;&gt;"",BS$3='Bonding Program'!$P$48),'Bonding Program'!$O$48,0)-IF(AND('Bonding Program'!$R$48&lt;&gt;"",BS$3='Bonding Program'!$R$48),'Bonding Program'!$Q$48,0),0)</f>
        <v>0</v>
      </c>
      <c r="BT189" s="19" t="n">
        <f aca="false">IF(AND('Bonding Program'!$S$48=1,BT$3='Bonding Program'!$H$48),'Bonding Program'!$AA$48,0)-IF(BT$3&lt;='Bonding Program'!$C$8,IF(AND('Bonding Program'!$K$48&lt;&gt;"",BT$3='Bonding Program'!$K$48),'Bonding Program'!$J$48,0)-IF(AND('Bonding Program'!$M$48&lt;&gt;"",BT$3='Bonding Program'!$M$48),'Bonding Program'!$L$48,0)-IF(AND('Bonding Program'!$P$48&lt;&gt;"",BT$3='Bonding Program'!$P$48),'Bonding Program'!$O$48,0)-IF(AND('Bonding Program'!$R$48&lt;&gt;"",BT$3='Bonding Program'!$R$48),'Bonding Program'!$Q$48,0),0)</f>
        <v>0</v>
      </c>
      <c r="BU189" s="19" t="n">
        <f aca="false">IF(AND('Bonding Program'!$S$48=1,BU$3='Bonding Program'!$H$48),'Bonding Program'!$AA$48,0)-IF(BU$3&lt;='Bonding Program'!$C$8,IF(AND('Bonding Program'!$K$48&lt;&gt;"",BU$3='Bonding Program'!$K$48),'Bonding Program'!$J$48,0)-IF(AND('Bonding Program'!$M$48&lt;&gt;"",BU$3='Bonding Program'!$M$48),'Bonding Program'!$L$48,0)-IF(AND('Bonding Program'!$P$48&lt;&gt;"",BU$3='Bonding Program'!$P$48),'Bonding Program'!$O$48,0)-IF(AND('Bonding Program'!$R$48&lt;&gt;"",BU$3='Bonding Program'!$R$48),'Bonding Program'!$Q$48,0),0)</f>
        <v>0</v>
      </c>
      <c r="BV189" s="19" t="n">
        <f aca="false">IF(AND('Bonding Program'!$S$48=1,BV$3='Bonding Program'!$H$48),'Bonding Program'!$AA$48,0)-IF(BV$3&lt;='Bonding Program'!$C$8,IF(AND('Bonding Program'!$K$48&lt;&gt;"",BV$3='Bonding Program'!$K$48),'Bonding Program'!$J$48,0)-IF(AND('Bonding Program'!$M$48&lt;&gt;"",BV$3='Bonding Program'!$M$48),'Bonding Program'!$L$48,0)-IF(AND('Bonding Program'!$P$48&lt;&gt;"",BV$3='Bonding Program'!$P$48),'Bonding Program'!$O$48,0)-IF(AND('Bonding Program'!$R$48&lt;&gt;"",BV$3='Bonding Program'!$R$48),'Bonding Program'!$Q$48,0),0)</f>
        <v>0</v>
      </c>
      <c r="BW189" s="19" t="n">
        <f aca="false">IF(AND('Bonding Program'!$S$48=1,BW$3='Bonding Program'!$H$48),'Bonding Program'!$AA$48,0)-IF(BW$3&lt;='Bonding Program'!$C$8,IF(AND('Bonding Program'!$K$48&lt;&gt;"",BW$3='Bonding Program'!$K$48),'Bonding Program'!$J$48,0)-IF(AND('Bonding Program'!$M$48&lt;&gt;"",BW$3='Bonding Program'!$M$48),'Bonding Program'!$L$48,0)-IF(AND('Bonding Program'!$P$48&lt;&gt;"",BW$3='Bonding Program'!$P$48),'Bonding Program'!$O$48,0)-IF(AND('Bonding Program'!$R$48&lt;&gt;"",BW$3='Bonding Program'!$R$48),'Bonding Program'!$Q$48,0),0)</f>
        <v>0</v>
      </c>
      <c r="BX189" s="19" t="n">
        <f aca="false">IF(AND('Bonding Program'!$S$48=1,BX$3='Bonding Program'!$H$48),'Bonding Program'!$AA$48,0)-IF(BX$3&lt;='Bonding Program'!$C$8,IF(AND('Bonding Program'!$K$48&lt;&gt;"",BX$3='Bonding Program'!$K$48),'Bonding Program'!$J$48,0)-IF(AND('Bonding Program'!$M$48&lt;&gt;"",BX$3='Bonding Program'!$M$48),'Bonding Program'!$L$48,0)-IF(AND('Bonding Program'!$P$48&lt;&gt;"",BX$3='Bonding Program'!$P$48),'Bonding Program'!$O$48,0)-IF(AND('Bonding Program'!$R$48&lt;&gt;"",BX$3='Bonding Program'!$R$48),'Bonding Program'!$Q$48,0),0)</f>
        <v>0</v>
      </c>
      <c r="BY189" s="19" t="n">
        <f aca="false">IF(AND('Bonding Program'!$S$48=1,BY$3='Bonding Program'!$H$48),'Bonding Program'!$AA$48,0)-IF(BY$3&lt;='Bonding Program'!$C$8,IF(AND('Bonding Program'!$K$48&lt;&gt;"",BY$3='Bonding Program'!$K$48),'Bonding Program'!$J$48,0)-IF(AND('Bonding Program'!$M$48&lt;&gt;"",BY$3='Bonding Program'!$M$48),'Bonding Program'!$L$48,0)-IF(AND('Bonding Program'!$P$48&lt;&gt;"",BY$3='Bonding Program'!$P$48),'Bonding Program'!$O$48,0)-IF(AND('Bonding Program'!$R$48&lt;&gt;"",BY$3='Bonding Program'!$R$48),'Bonding Program'!$Q$48,0),0)</f>
        <v>0</v>
      </c>
      <c r="BZ189" s="19" t="n">
        <f aca="false">IF(AND('Bonding Program'!$S$48=1,BZ$3='Bonding Program'!$H$48),'Bonding Program'!$AA$48,0)-IF(BZ$3&lt;='Bonding Program'!$C$8,IF(AND('Bonding Program'!$K$48&lt;&gt;"",BZ$3='Bonding Program'!$K$48),'Bonding Program'!$J$48,0)-IF(AND('Bonding Program'!$M$48&lt;&gt;"",BZ$3='Bonding Program'!$M$48),'Bonding Program'!$L$48,0)-IF(AND('Bonding Program'!$P$48&lt;&gt;"",BZ$3='Bonding Program'!$P$48),'Bonding Program'!$O$48,0)-IF(AND('Bonding Program'!$R$48&lt;&gt;"",BZ$3='Bonding Program'!$R$48),'Bonding Program'!$Q$48,0),0)</f>
        <v>0</v>
      </c>
      <c r="CA189" s="19" t="n">
        <f aca="false">IF(AND('Bonding Program'!$S$48=1,CA$3='Bonding Program'!$H$48),'Bonding Program'!$AA$48,0)-IF(CA$3&lt;='Bonding Program'!$C$8,IF(AND('Bonding Program'!$K$48&lt;&gt;"",CA$3='Bonding Program'!$K$48),'Bonding Program'!$J$48,0)-IF(AND('Bonding Program'!$M$48&lt;&gt;"",CA$3='Bonding Program'!$M$48),'Bonding Program'!$L$48,0)-IF(AND('Bonding Program'!$P$48&lt;&gt;"",CA$3='Bonding Program'!$P$48),'Bonding Program'!$O$48,0)-IF(AND('Bonding Program'!$R$48&lt;&gt;"",CA$3='Bonding Program'!$R$48),'Bonding Program'!$Q$48,0),0)</f>
        <v>0</v>
      </c>
      <c r="CB189" s="19" t="n">
        <f aca="false">IF(AND('Bonding Program'!$S$48=1,CB$3='Bonding Program'!$H$48),'Bonding Program'!$AA$48,0)-IF(CB$3&lt;='Bonding Program'!$C$8,IF(AND('Bonding Program'!$K$48&lt;&gt;"",CB$3='Bonding Program'!$K$48),'Bonding Program'!$J$48,0)-IF(AND('Bonding Program'!$M$48&lt;&gt;"",CB$3='Bonding Program'!$M$48),'Bonding Program'!$L$48,0)-IF(AND('Bonding Program'!$P$48&lt;&gt;"",CB$3='Bonding Program'!$P$48),'Bonding Program'!$O$48,0)-IF(AND('Bonding Program'!$R$48&lt;&gt;"",CB$3='Bonding Program'!$R$48),'Bonding Program'!$Q$48,0),0)</f>
        <v>0</v>
      </c>
      <c r="CC189" s="19" t="n">
        <f aca="false">IF(AND('Bonding Program'!$S$48=1,CC$3='Bonding Program'!$H$48),'Bonding Program'!$AA$48,0)-IF(CC$3&lt;='Bonding Program'!$C$8,IF(AND('Bonding Program'!$K$48&lt;&gt;"",CC$3='Bonding Program'!$K$48),'Bonding Program'!$J$48,0)-IF(AND('Bonding Program'!$M$48&lt;&gt;"",CC$3='Bonding Program'!$M$48),'Bonding Program'!$L$48,0)-IF(AND('Bonding Program'!$P$48&lt;&gt;"",CC$3='Bonding Program'!$P$48),'Bonding Program'!$O$48,0)-IF(AND('Bonding Program'!$R$48&lt;&gt;"",CC$3='Bonding Program'!$R$48),'Bonding Program'!$Q$48,0),0)</f>
        <v>0</v>
      </c>
      <c r="CD189" s="19" t="n">
        <f aca="false">IF(AND('Bonding Program'!$S$48=1,CD$3='Bonding Program'!$H$48),'Bonding Program'!$AA$48,0)-IF(CD$3&lt;='Bonding Program'!$C$8,IF(AND('Bonding Program'!$K$48&lt;&gt;"",CD$3='Bonding Program'!$K$48),'Bonding Program'!$J$48,0)-IF(AND('Bonding Program'!$M$48&lt;&gt;"",CD$3='Bonding Program'!$M$48),'Bonding Program'!$L$48,0)-IF(AND('Bonding Program'!$P$48&lt;&gt;"",CD$3='Bonding Program'!$P$48),'Bonding Program'!$O$48,0)-IF(AND('Bonding Program'!$R$48&lt;&gt;"",CD$3='Bonding Program'!$R$48),'Bonding Program'!$Q$48,0),0)</f>
        <v>0</v>
      </c>
      <c r="CE189" s="19" t="n">
        <f aca="false">IF(AND('Bonding Program'!$S$48=1,CE$3='Bonding Program'!$H$48),'Bonding Program'!$AA$48,0)-IF(CE$3&lt;='Bonding Program'!$C$8,IF(AND('Bonding Program'!$K$48&lt;&gt;"",CE$3='Bonding Program'!$K$48),'Bonding Program'!$J$48,0)-IF(AND('Bonding Program'!$M$48&lt;&gt;"",CE$3='Bonding Program'!$M$48),'Bonding Program'!$L$48,0)-IF(AND('Bonding Program'!$P$48&lt;&gt;"",CE$3='Bonding Program'!$P$48),'Bonding Program'!$O$48,0)-IF(AND('Bonding Program'!$R$48&lt;&gt;"",CE$3='Bonding Program'!$R$48),'Bonding Program'!$Q$48,0),0)</f>
        <v>0</v>
      </c>
      <c r="CF189" s="19" t="n">
        <f aca="false">IF(AND('Bonding Program'!$S$48=1,CF$3='Bonding Program'!$H$48),'Bonding Program'!$AA$48,0)-IF(CF$3&lt;='Bonding Program'!$C$8,IF(AND('Bonding Program'!$K$48&lt;&gt;"",CF$3='Bonding Program'!$K$48),'Bonding Program'!$J$48,0)-IF(AND('Bonding Program'!$M$48&lt;&gt;"",CF$3='Bonding Program'!$M$48),'Bonding Program'!$L$48,0)-IF(AND('Bonding Program'!$P$48&lt;&gt;"",CF$3='Bonding Program'!$P$48),'Bonding Program'!$O$48,0)-IF(AND('Bonding Program'!$R$48&lt;&gt;"",CF$3='Bonding Program'!$R$48),'Bonding Program'!$Q$48,0),0)</f>
        <v>0</v>
      </c>
      <c r="CG189" s="19" t="n">
        <f aca="false">IF(AND('Bonding Program'!$S$48=1,CG$3='Bonding Program'!$H$48),'Bonding Program'!$AA$48,0)-IF(CG$3&lt;='Bonding Program'!$C$8,IF(AND('Bonding Program'!$K$48&lt;&gt;"",CG$3='Bonding Program'!$K$48),'Bonding Program'!$J$48,0)-IF(AND('Bonding Program'!$M$48&lt;&gt;"",CG$3='Bonding Program'!$M$48),'Bonding Program'!$L$48,0)-IF(AND('Bonding Program'!$P$48&lt;&gt;"",CG$3='Bonding Program'!$P$48),'Bonding Program'!$O$48,0)-IF(AND('Bonding Program'!$R$48&lt;&gt;"",CG$3='Bonding Program'!$R$48),'Bonding Program'!$Q$48,0),0)</f>
        <v>0</v>
      </c>
      <c r="CH189" s="19" t="n">
        <f aca="false">IF(AND('Bonding Program'!$S$48=1,CH$3='Bonding Program'!$H$48),'Bonding Program'!$AA$48,0)-IF(CH$3&lt;='Bonding Program'!$C$8,IF(AND('Bonding Program'!$K$48&lt;&gt;"",CH$3='Bonding Program'!$K$48),'Bonding Program'!$J$48,0)-IF(AND('Bonding Program'!$M$48&lt;&gt;"",CH$3='Bonding Program'!$M$48),'Bonding Program'!$L$48,0)-IF(AND('Bonding Program'!$P$48&lt;&gt;"",CH$3='Bonding Program'!$P$48),'Bonding Program'!$O$48,0)-IF(AND('Bonding Program'!$R$48&lt;&gt;"",CH$3='Bonding Program'!$R$48),'Bonding Program'!$Q$48,0),0)</f>
        <v>0</v>
      </c>
      <c r="CI189" s="19" t="n">
        <f aca="false">IF(AND('Bonding Program'!$S$48=1,CI$3='Bonding Program'!$H$48),'Bonding Program'!$AA$48,0)-IF(CI$3&lt;='Bonding Program'!$C$8,IF(AND('Bonding Program'!$K$48&lt;&gt;"",CI$3='Bonding Program'!$K$48),'Bonding Program'!$J$48,0)-IF(AND('Bonding Program'!$M$48&lt;&gt;"",CI$3='Bonding Program'!$M$48),'Bonding Program'!$L$48,0)-IF(AND('Bonding Program'!$P$48&lt;&gt;"",CI$3='Bonding Program'!$P$48),'Bonding Program'!$O$48,0)-IF(AND('Bonding Program'!$R$48&lt;&gt;"",CI$3='Bonding Program'!$R$48),'Bonding Program'!$Q$48,0),0)</f>
        <v>0</v>
      </c>
      <c r="CJ189" s="19" t="n">
        <f aca="false">IF(AND('Bonding Program'!$S$48=1,CJ$3='Bonding Program'!$H$48),'Bonding Program'!$AA$48,0)-IF(CJ$3&lt;='Bonding Program'!$C$8,IF(AND('Bonding Program'!$K$48&lt;&gt;"",CJ$3='Bonding Program'!$K$48),'Bonding Program'!$J$48,0)-IF(AND('Bonding Program'!$M$48&lt;&gt;"",CJ$3='Bonding Program'!$M$48),'Bonding Program'!$L$48,0)-IF(AND('Bonding Program'!$P$48&lt;&gt;"",CJ$3='Bonding Program'!$P$48),'Bonding Program'!$O$48,0)-IF(AND('Bonding Program'!$R$48&lt;&gt;"",CJ$3='Bonding Program'!$R$48),'Bonding Program'!$Q$48,0),0)</f>
        <v>0</v>
      </c>
      <c r="CK189" s="19" t="n">
        <f aca="false">IF(AND('Bonding Program'!$S$48=1,CK$3='Bonding Program'!$H$48),'Bonding Program'!$AA$48,0)-IF(CK$3&lt;='Bonding Program'!$C$8,IF(AND('Bonding Program'!$K$48&lt;&gt;"",CK$3='Bonding Program'!$K$48),'Bonding Program'!$J$48,0)-IF(AND('Bonding Program'!$M$48&lt;&gt;"",CK$3='Bonding Program'!$M$48),'Bonding Program'!$L$48,0)-IF(AND('Bonding Program'!$P$48&lt;&gt;"",CK$3='Bonding Program'!$P$48),'Bonding Program'!$O$48,0)-IF(AND('Bonding Program'!$R$48&lt;&gt;"",CK$3='Bonding Program'!$R$48),'Bonding Program'!$Q$48,0),0)</f>
        <v>0</v>
      </c>
      <c r="CL189" s="19" t="n">
        <f aca="false">IF(AND('Bonding Program'!$S$48=1,CL$3='Bonding Program'!$H$48),'Bonding Program'!$AA$48,0)-IF(CL$3&lt;='Bonding Program'!$C$8,IF(AND('Bonding Program'!$K$48&lt;&gt;"",CL$3='Bonding Program'!$K$48),'Bonding Program'!$J$48,0)-IF(AND('Bonding Program'!$M$48&lt;&gt;"",CL$3='Bonding Program'!$M$48),'Bonding Program'!$L$48,0)-IF(AND('Bonding Program'!$P$48&lt;&gt;"",CL$3='Bonding Program'!$P$48),'Bonding Program'!$O$48,0)-IF(AND('Bonding Program'!$R$48&lt;&gt;"",CL$3='Bonding Program'!$R$48),'Bonding Program'!$Q$48,0),0)</f>
        <v>0</v>
      </c>
      <c r="CM189" s="19" t="n">
        <f aca="false">IF(AND('Bonding Program'!$S$48=1,CM$3='Bonding Program'!$H$48),'Bonding Program'!$AA$48,0)-IF(CM$3&lt;='Bonding Program'!$C$8,IF(AND('Bonding Program'!$K$48&lt;&gt;"",CM$3='Bonding Program'!$K$48),'Bonding Program'!$J$48,0)-IF(AND('Bonding Program'!$M$48&lt;&gt;"",CM$3='Bonding Program'!$M$48),'Bonding Program'!$L$48,0)-IF(AND('Bonding Program'!$P$48&lt;&gt;"",CM$3='Bonding Program'!$P$48),'Bonding Program'!$O$48,0)-IF(AND('Bonding Program'!$R$48&lt;&gt;"",CM$3='Bonding Program'!$R$48),'Bonding Program'!$Q$48,0),0)</f>
        <v>0</v>
      </c>
      <c r="CN189" s="19" t="n">
        <f aca="false">IF(AND('Bonding Program'!$S$48=1,CN$3='Bonding Program'!$H$48),'Bonding Program'!$AA$48,0)-IF(CN$3&lt;='Bonding Program'!$C$8,IF(AND('Bonding Program'!$K$48&lt;&gt;"",CN$3='Bonding Program'!$K$48),'Bonding Program'!$J$48,0)-IF(AND('Bonding Program'!$M$48&lt;&gt;"",CN$3='Bonding Program'!$M$48),'Bonding Program'!$L$48,0)-IF(AND('Bonding Program'!$P$48&lt;&gt;"",CN$3='Bonding Program'!$P$48),'Bonding Program'!$O$48,0)-IF(AND('Bonding Program'!$R$48&lt;&gt;"",CN$3='Bonding Program'!$R$48),'Bonding Program'!$Q$48,0),0)</f>
        <v>0</v>
      </c>
      <c r="CO189" s="19" t="n">
        <f aca="false">IF(AND('Bonding Program'!$S$48=1,CO$3='Bonding Program'!$H$48),'Bonding Program'!$AA$48,0)-IF(CO$3&lt;='Bonding Program'!$C$8,IF(AND('Bonding Program'!$K$48&lt;&gt;"",CO$3='Bonding Program'!$K$48),'Bonding Program'!$J$48,0)-IF(AND('Bonding Program'!$M$48&lt;&gt;"",CO$3='Bonding Program'!$M$48),'Bonding Program'!$L$48,0)-IF(AND('Bonding Program'!$P$48&lt;&gt;"",CO$3='Bonding Program'!$P$48),'Bonding Program'!$O$48,0)-IF(AND('Bonding Program'!$R$48&lt;&gt;"",CO$3='Bonding Program'!$R$48),'Bonding Program'!$Q$48,0),0)</f>
        <v>0</v>
      </c>
      <c r="CP189" s="19" t="n">
        <f aca="false">IF(AND('Bonding Program'!$S$48=1,CP$3='Bonding Program'!$H$48),'Bonding Program'!$AA$48,0)-IF(CP$3&lt;='Bonding Program'!$C$8,IF(AND('Bonding Program'!$K$48&lt;&gt;"",CP$3='Bonding Program'!$K$48),'Bonding Program'!$J$48,0)-IF(AND('Bonding Program'!$M$48&lt;&gt;"",CP$3='Bonding Program'!$M$48),'Bonding Program'!$L$48,0)-IF(AND('Bonding Program'!$P$48&lt;&gt;"",CP$3='Bonding Program'!$P$48),'Bonding Program'!$O$48,0)-IF(AND('Bonding Program'!$R$48&lt;&gt;"",CP$3='Bonding Program'!$R$48),'Bonding Program'!$Q$48,0),0)</f>
        <v>0</v>
      </c>
      <c r="CQ189" s="19" t="n">
        <f aca="false">IF(AND('Bonding Program'!$S$48=1,CQ$3='Bonding Program'!$H$48),'Bonding Program'!$AA$48,0)-IF(CQ$3&lt;='Bonding Program'!$C$8,IF(AND('Bonding Program'!$K$48&lt;&gt;"",CQ$3='Bonding Program'!$K$48),'Bonding Program'!$J$48,0)-IF(AND('Bonding Program'!$M$48&lt;&gt;"",CQ$3='Bonding Program'!$M$48),'Bonding Program'!$L$48,0)-IF(AND('Bonding Program'!$P$48&lt;&gt;"",CQ$3='Bonding Program'!$P$48),'Bonding Program'!$O$48,0)-IF(AND('Bonding Program'!$R$48&lt;&gt;"",CQ$3='Bonding Program'!$R$48),'Bonding Program'!$Q$48,0),0)</f>
        <v>0</v>
      </c>
      <c r="CR189" s="19" t="n">
        <f aca="false">IF(AND('Bonding Program'!$S$48=1,CR$3='Bonding Program'!$H$48),'Bonding Program'!$AA$48,0)-IF(CR$3&lt;='Bonding Program'!$C$8,IF(AND('Bonding Program'!$K$48&lt;&gt;"",CR$3='Bonding Program'!$K$48),'Bonding Program'!$J$48,0)-IF(AND('Bonding Program'!$M$48&lt;&gt;"",CR$3='Bonding Program'!$M$48),'Bonding Program'!$L$48,0)-IF(AND('Bonding Program'!$P$48&lt;&gt;"",CR$3='Bonding Program'!$P$48),'Bonding Program'!$O$48,0)-IF(AND('Bonding Program'!$R$48&lt;&gt;"",CR$3='Bonding Program'!$R$48),'Bonding Program'!$Q$48,0),0)</f>
        <v>0</v>
      </c>
      <c r="CS189" s="19" t="n">
        <f aca="false">IF(AND('Bonding Program'!$S$48=1,CS$3='Bonding Program'!$H$48),'Bonding Program'!$AA$48,0)-IF(CS$3&lt;='Bonding Program'!$C$8,IF(AND('Bonding Program'!$K$48&lt;&gt;"",CS$3='Bonding Program'!$K$48),'Bonding Program'!$J$48,0)-IF(AND('Bonding Program'!$M$48&lt;&gt;"",CS$3='Bonding Program'!$M$48),'Bonding Program'!$L$48,0)-IF(AND('Bonding Program'!$P$48&lt;&gt;"",CS$3='Bonding Program'!$P$48),'Bonding Program'!$O$48,0)-IF(AND('Bonding Program'!$R$48&lt;&gt;"",CS$3='Bonding Program'!$R$48),'Bonding Program'!$Q$48,0),0)</f>
        <v>0</v>
      </c>
      <c r="CT189" s="19" t="n">
        <f aca="false">IF(AND('Bonding Program'!$S$48=1,CT$3='Bonding Program'!$H$48),'Bonding Program'!$AA$48,0)-IF(CT$3&lt;='Bonding Program'!$C$8,IF(AND('Bonding Program'!$K$48&lt;&gt;"",CT$3='Bonding Program'!$K$48),'Bonding Program'!$J$48,0)-IF(AND('Bonding Program'!$M$48&lt;&gt;"",CT$3='Bonding Program'!$M$48),'Bonding Program'!$L$48,0)-IF(AND('Bonding Program'!$P$48&lt;&gt;"",CT$3='Bonding Program'!$P$48),'Bonding Program'!$O$48,0)-IF(AND('Bonding Program'!$R$48&lt;&gt;"",CT$3='Bonding Program'!$R$48),'Bonding Program'!$Q$48,0),0)</f>
        <v>0</v>
      </c>
      <c r="CU189" s="19" t="n">
        <f aca="false">IF(AND('Bonding Program'!$S$48=1,CU$3='Bonding Program'!$H$48),'Bonding Program'!$AA$48,0)-IF(CU$3&lt;='Bonding Program'!$C$8,IF(AND('Bonding Program'!$K$48&lt;&gt;"",CU$3='Bonding Program'!$K$48),'Bonding Program'!$J$48,0)-IF(AND('Bonding Program'!$M$48&lt;&gt;"",CU$3='Bonding Program'!$M$48),'Bonding Program'!$L$48,0)-IF(AND('Bonding Program'!$P$48&lt;&gt;"",CU$3='Bonding Program'!$P$48),'Bonding Program'!$O$48,0)-IF(AND('Bonding Program'!$R$48&lt;&gt;"",CU$3='Bonding Program'!$R$48),'Bonding Program'!$Q$48,0),0)</f>
        <v>0</v>
      </c>
      <c r="CV189" s="19" t="n">
        <f aca="false">IF(AND('Bonding Program'!$S$48=1,CV$3='Bonding Program'!$H$48),'Bonding Program'!$AA$48,0)-IF(CV$3&lt;='Bonding Program'!$C$8,IF(AND('Bonding Program'!$K$48&lt;&gt;"",CV$3='Bonding Program'!$K$48),'Bonding Program'!$J$48,0)-IF(AND('Bonding Program'!$M$48&lt;&gt;"",CV$3='Bonding Program'!$M$48),'Bonding Program'!$L$48,0)-IF(AND('Bonding Program'!$P$48&lt;&gt;"",CV$3='Bonding Program'!$P$48),'Bonding Program'!$O$48,0)-IF(AND('Bonding Program'!$R$48&lt;&gt;"",CV$3='Bonding Program'!$R$48),'Bonding Program'!$Q$48,0),0)</f>
        <v>0</v>
      </c>
      <c r="CW189" s="19" t="n">
        <f aca="false">IF(AND('Bonding Program'!$S$48=1,CW$3='Bonding Program'!$H$48),'Bonding Program'!$AA$48,0)-IF(CW$3&lt;='Bonding Program'!$C$8,IF(AND('Bonding Program'!$K$48&lt;&gt;"",CW$3='Bonding Program'!$K$48),'Bonding Program'!$J$48,0)-IF(AND('Bonding Program'!$M$48&lt;&gt;"",CW$3='Bonding Program'!$M$48),'Bonding Program'!$L$48,0)-IF(AND('Bonding Program'!$P$48&lt;&gt;"",CW$3='Bonding Program'!$P$48),'Bonding Program'!$O$48,0)-IF(AND('Bonding Program'!$R$48&lt;&gt;"",CW$3='Bonding Program'!$R$48),'Bonding Program'!$Q$48,0),0)</f>
        <v>0</v>
      </c>
      <c r="CX189" s="19" t="n">
        <f aca="false">IF(AND('Bonding Program'!$S$48=1,CX$3='Bonding Program'!$H$48),'Bonding Program'!$AA$48,0)-IF(CX$3&lt;='Bonding Program'!$C$8,IF(AND('Bonding Program'!$K$48&lt;&gt;"",CX$3='Bonding Program'!$K$48),'Bonding Program'!$J$48,0)-IF(AND('Bonding Program'!$M$48&lt;&gt;"",CX$3='Bonding Program'!$M$48),'Bonding Program'!$L$48,0)-IF(AND('Bonding Program'!$P$48&lt;&gt;"",CX$3='Bonding Program'!$P$48),'Bonding Program'!$O$48,0)-IF(AND('Bonding Program'!$R$48&lt;&gt;"",CX$3='Bonding Program'!$R$48),'Bonding Program'!$Q$48,0),0)</f>
        <v>0</v>
      </c>
      <c r="CY189" s="19" t="n">
        <f aca="false">IF(AND('Bonding Program'!$S$48=1,CY$3='Bonding Program'!$H$48),'Bonding Program'!$AA$48,0)-IF(CY$3&lt;='Bonding Program'!$C$8,IF(AND('Bonding Program'!$K$48&lt;&gt;"",CY$3='Bonding Program'!$K$48),'Bonding Program'!$J$48,0)-IF(AND('Bonding Program'!$M$48&lt;&gt;"",CY$3='Bonding Program'!$M$48),'Bonding Program'!$L$48,0)-IF(AND('Bonding Program'!$P$48&lt;&gt;"",CY$3='Bonding Program'!$P$48),'Bonding Program'!$O$48,0)-IF(AND('Bonding Program'!$R$48&lt;&gt;"",CY$3='Bonding Program'!$R$48),'Bonding Program'!$Q$48,0),0)</f>
        <v>0</v>
      </c>
      <c r="CZ189" s="19" t="n">
        <f aca="false">IF(AND('Bonding Program'!$S$48=1,CZ$3='Bonding Program'!$H$48),'Bonding Program'!$AA$48,0)-IF(CZ$3&lt;='Bonding Program'!$C$8,IF(AND('Bonding Program'!$K$48&lt;&gt;"",CZ$3='Bonding Program'!$K$48),'Bonding Program'!$J$48,0)-IF(AND('Bonding Program'!$M$48&lt;&gt;"",CZ$3='Bonding Program'!$M$48),'Bonding Program'!$L$48,0)-IF(AND('Bonding Program'!$P$48&lt;&gt;"",CZ$3='Bonding Program'!$P$48),'Bonding Program'!$O$48,0)-IF(AND('Bonding Program'!$R$48&lt;&gt;"",CZ$3='Bonding Program'!$R$48),'Bonding Program'!$Q$48,0),0)</f>
        <v>0</v>
      </c>
      <c r="DA189" s="19" t="n">
        <f aca="false">IF(AND('Bonding Program'!$S$48=1,DA$3='Bonding Program'!$H$48),'Bonding Program'!$AA$48,0)-IF(DA$3&lt;='Bonding Program'!$C$8,IF(AND('Bonding Program'!$K$48&lt;&gt;"",DA$3='Bonding Program'!$K$48),'Bonding Program'!$J$48,0)-IF(AND('Bonding Program'!$M$48&lt;&gt;"",DA$3='Bonding Program'!$M$48),'Bonding Program'!$L$48,0)-IF(AND('Bonding Program'!$P$48&lt;&gt;"",DA$3='Bonding Program'!$P$48),'Bonding Program'!$O$48,0)-IF(AND('Bonding Program'!$R$48&lt;&gt;"",DA$3='Bonding Program'!$R$48),'Bonding Program'!$Q$48,0),0)</f>
        <v>0</v>
      </c>
      <c r="DB189" s="19" t="n">
        <f aca="false">IF(AND('Bonding Program'!$S$48=1,DB$3='Bonding Program'!$H$48),'Bonding Program'!$AA$48,0)-IF(DB$3&lt;='Bonding Program'!$C$8,IF(AND('Bonding Program'!$K$48&lt;&gt;"",DB$3='Bonding Program'!$K$48),'Bonding Program'!$J$48,0)-IF(AND('Bonding Program'!$M$48&lt;&gt;"",DB$3='Bonding Program'!$M$48),'Bonding Program'!$L$48,0)-IF(AND('Bonding Program'!$P$48&lt;&gt;"",DB$3='Bonding Program'!$P$48),'Bonding Program'!$O$48,0)-IF(AND('Bonding Program'!$R$48&lt;&gt;"",DB$3='Bonding Program'!$R$48),'Bonding Program'!$Q$48,0),0)</f>
        <v>0</v>
      </c>
      <c r="DC189" s="19" t="n">
        <f aca="false">IF(AND('Bonding Program'!$S$48=1,DC$3='Bonding Program'!$H$48),'Bonding Program'!$AA$48,0)-IF(DC$3&lt;='Bonding Program'!$C$8,IF(AND('Bonding Program'!$K$48&lt;&gt;"",DC$3='Bonding Program'!$K$48),'Bonding Program'!$J$48,0)-IF(AND('Bonding Program'!$M$48&lt;&gt;"",DC$3='Bonding Program'!$M$48),'Bonding Program'!$L$48,0)-IF(AND('Bonding Program'!$P$48&lt;&gt;"",DC$3='Bonding Program'!$P$48),'Bonding Program'!$O$48,0)-IF(AND('Bonding Program'!$R$48&lt;&gt;"",DC$3='Bonding Program'!$R$48),'Bonding Program'!$Q$48,0),0)</f>
        <v>0</v>
      </c>
      <c r="DD189" s="19" t="n">
        <f aca="false">IF(AND('Bonding Program'!$S$48=1,DD$3='Bonding Program'!$H$48),'Bonding Program'!$AA$48,0)-IF(DD$3&lt;='Bonding Program'!$C$8,IF(AND('Bonding Program'!$K$48&lt;&gt;"",DD$3='Bonding Program'!$K$48),'Bonding Program'!$J$48,0)-IF(AND('Bonding Program'!$M$48&lt;&gt;"",DD$3='Bonding Program'!$M$48),'Bonding Program'!$L$48,0)-IF(AND('Bonding Program'!$P$48&lt;&gt;"",DD$3='Bonding Program'!$P$48),'Bonding Program'!$O$48,0)-IF(AND('Bonding Program'!$R$48&lt;&gt;"",DD$3='Bonding Program'!$R$48),'Bonding Program'!$Q$48,0),0)</f>
        <v>0</v>
      </c>
      <c r="DE189" s="19" t="n">
        <f aca="false">IF(AND('Bonding Program'!$S$48=1,DE$3='Bonding Program'!$H$48),'Bonding Program'!$AA$48,0)-IF(DE$3&lt;='Bonding Program'!$C$8,IF(AND('Bonding Program'!$K$48&lt;&gt;"",DE$3='Bonding Program'!$K$48),'Bonding Program'!$J$48,0)-IF(AND('Bonding Program'!$M$48&lt;&gt;"",DE$3='Bonding Program'!$M$48),'Bonding Program'!$L$48,0)-IF(AND('Bonding Program'!$P$48&lt;&gt;"",DE$3='Bonding Program'!$P$48),'Bonding Program'!$O$48,0)-IF(AND('Bonding Program'!$R$48&lt;&gt;"",DE$3='Bonding Program'!$R$48),'Bonding Program'!$Q$48,0),0)</f>
        <v>0</v>
      </c>
    </row>
    <row r="190" customFormat="false" ht="15" hidden="false" customHeight="true" outlineLevel="1" collapsed="false">
      <c r="A190" s="28" t="s">
        <v>45</v>
      </c>
      <c r="B190" s="19" t="n">
        <f aca="false">IF(AND('Bonding Program'!$S$49=1,B$3='Bonding Program'!$H$49),'Bonding Program'!$AA$49,0)-IF(B$3&lt;='Bonding Program'!$C$8,IF(AND('Bonding Program'!$K$49&lt;&gt;"",B$3='Bonding Program'!$K$49),'Bonding Program'!$J$49,0)-IF(AND('Bonding Program'!$M$49&lt;&gt;"",B$3='Bonding Program'!$M$49),'Bonding Program'!$L$49,0)-IF(AND('Bonding Program'!$P$49&lt;&gt;"",B$3='Bonding Program'!$P$49),'Bonding Program'!$O$49,0)-IF(AND('Bonding Program'!$R$49&lt;&gt;"",B$3='Bonding Program'!$R$49),'Bonding Program'!$Q$49,0),0)</f>
        <v>0</v>
      </c>
      <c r="C190" s="19" t="n">
        <f aca="false">IF(AND('Bonding Program'!$S$49=1,C$3='Bonding Program'!$H$49),'Bonding Program'!$AA$49,0)-IF(C$3&lt;='Bonding Program'!$C$8,IF(AND('Bonding Program'!$K$49&lt;&gt;"",C$3='Bonding Program'!$K$49),'Bonding Program'!$J$49,0)-IF(AND('Bonding Program'!$M$49&lt;&gt;"",C$3='Bonding Program'!$M$49),'Bonding Program'!$L$49,0)-IF(AND('Bonding Program'!$P$49&lt;&gt;"",C$3='Bonding Program'!$P$49),'Bonding Program'!$O$49,0)-IF(AND('Bonding Program'!$R$49&lt;&gt;"",C$3='Bonding Program'!$R$49),'Bonding Program'!$Q$49,0),0)</f>
        <v>0</v>
      </c>
      <c r="D190" s="19" t="n">
        <f aca="false">IF(AND('Bonding Program'!$S$49=1,D$3='Bonding Program'!$H$49),'Bonding Program'!$AA$49,0)-IF(D$3&lt;='Bonding Program'!$C$8,IF(AND('Bonding Program'!$K$49&lt;&gt;"",D$3='Bonding Program'!$K$49),'Bonding Program'!$J$49,0)-IF(AND('Bonding Program'!$M$49&lt;&gt;"",D$3='Bonding Program'!$M$49),'Bonding Program'!$L$49,0)-IF(AND('Bonding Program'!$P$49&lt;&gt;"",D$3='Bonding Program'!$P$49),'Bonding Program'!$O$49,0)-IF(AND('Bonding Program'!$R$49&lt;&gt;"",D$3='Bonding Program'!$R$49),'Bonding Program'!$Q$49,0),0)</f>
        <v>0</v>
      </c>
      <c r="E190" s="19" t="n">
        <f aca="false">IF(AND('Bonding Program'!$S$49=1,E$3='Bonding Program'!$H$49),'Bonding Program'!$AA$49,0)-IF(E$3&lt;='Bonding Program'!$C$8,IF(AND('Bonding Program'!$K$49&lt;&gt;"",E$3='Bonding Program'!$K$49),'Bonding Program'!$J$49,0)-IF(AND('Bonding Program'!$M$49&lt;&gt;"",E$3='Bonding Program'!$M$49),'Bonding Program'!$L$49,0)-IF(AND('Bonding Program'!$P$49&lt;&gt;"",E$3='Bonding Program'!$P$49),'Bonding Program'!$O$49,0)-IF(AND('Bonding Program'!$R$49&lt;&gt;"",E$3='Bonding Program'!$R$49),'Bonding Program'!$Q$49,0),0)</f>
        <v>0</v>
      </c>
      <c r="F190" s="19" t="n">
        <f aca="false">IF(AND('Bonding Program'!$S$49=1,F$3='Bonding Program'!$H$49),'Bonding Program'!$AA$49,0)-IF(F$3&lt;='Bonding Program'!$C$8,IF(AND('Bonding Program'!$K$49&lt;&gt;"",F$3='Bonding Program'!$K$49),'Bonding Program'!$J$49,0)-IF(AND('Bonding Program'!$M$49&lt;&gt;"",F$3='Bonding Program'!$M$49),'Bonding Program'!$L$49,0)-IF(AND('Bonding Program'!$P$49&lt;&gt;"",F$3='Bonding Program'!$P$49),'Bonding Program'!$O$49,0)-IF(AND('Bonding Program'!$R$49&lt;&gt;"",F$3='Bonding Program'!$R$49),'Bonding Program'!$Q$49,0),0)</f>
        <v>0</v>
      </c>
      <c r="G190" s="19" t="n">
        <f aca="false">IF(AND('Bonding Program'!$S$49=1,G$3='Bonding Program'!$H$49),'Bonding Program'!$AA$49,0)-IF(G$3&lt;='Bonding Program'!$C$8,IF(AND('Bonding Program'!$K$49&lt;&gt;"",G$3='Bonding Program'!$K$49),'Bonding Program'!$J$49,0)-IF(AND('Bonding Program'!$M$49&lt;&gt;"",G$3='Bonding Program'!$M$49),'Bonding Program'!$L$49,0)-IF(AND('Bonding Program'!$P$49&lt;&gt;"",G$3='Bonding Program'!$P$49),'Bonding Program'!$O$49,0)-IF(AND('Bonding Program'!$R$49&lt;&gt;"",G$3='Bonding Program'!$R$49),'Bonding Program'!$Q$49,0),0)</f>
        <v>0</v>
      </c>
      <c r="H190" s="19" t="n">
        <f aca="false">IF(AND('Bonding Program'!$S$49=1,H$3='Bonding Program'!$H$49),'Bonding Program'!$AA$49,0)-IF(H$3&lt;='Bonding Program'!$C$8,IF(AND('Bonding Program'!$K$49&lt;&gt;"",H$3='Bonding Program'!$K$49),'Bonding Program'!$J$49,0)-IF(AND('Bonding Program'!$M$49&lt;&gt;"",H$3='Bonding Program'!$M$49),'Bonding Program'!$L$49,0)-IF(AND('Bonding Program'!$P$49&lt;&gt;"",H$3='Bonding Program'!$P$49),'Bonding Program'!$O$49,0)-IF(AND('Bonding Program'!$R$49&lt;&gt;"",H$3='Bonding Program'!$R$49),'Bonding Program'!$Q$49,0),0)</f>
        <v>0</v>
      </c>
      <c r="I190" s="19" t="n">
        <f aca="false">IF(AND('Bonding Program'!$S$49=1,I$3='Bonding Program'!$H$49),'Bonding Program'!$AA$49,0)-IF(I$3&lt;='Bonding Program'!$C$8,IF(AND('Bonding Program'!$K$49&lt;&gt;"",I$3='Bonding Program'!$K$49),'Bonding Program'!$J$49,0)-IF(AND('Bonding Program'!$M$49&lt;&gt;"",I$3='Bonding Program'!$M$49),'Bonding Program'!$L$49,0)-IF(AND('Bonding Program'!$P$49&lt;&gt;"",I$3='Bonding Program'!$P$49),'Bonding Program'!$O$49,0)-IF(AND('Bonding Program'!$R$49&lt;&gt;"",I$3='Bonding Program'!$R$49),'Bonding Program'!$Q$49,0),0)</f>
        <v>0</v>
      </c>
      <c r="J190" s="19" t="n">
        <f aca="false">IF(AND('Bonding Program'!$S$49=1,J$3='Bonding Program'!$H$49),'Bonding Program'!$AA$49,0)-IF(J$3&lt;='Bonding Program'!$C$8,IF(AND('Bonding Program'!$K$49&lt;&gt;"",J$3='Bonding Program'!$K$49),'Bonding Program'!$J$49,0)-IF(AND('Bonding Program'!$M$49&lt;&gt;"",J$3='Bonding Program'!$M$49),'Bonding Program'!$L$49,0)-IF(AND('Bonding Program'!$P$49&lt;&gt;"",J$3='Bonding Program'!$P$49),'Bonding Program'!$O$49,0)-IF(AND('Bonding Program'!$R$49&lt;&gt;"",J$3='Bonding Program'!$R$49),'Bonding Program'!$Q$49,0),0)</f>
        <v>0</v>
      </c>
      <c r="K190" s="19" t="n">
        <f aca="false">IF(AND('Bonding Program'!$S$49=1,K$3='Bonding Program'!$H$49),'Bonding Program'!$AA$49,0)-IF(K$3&lt;='Bonding Program'!$C$8,IF(AND('Bonding Program'!$K$49&lt;&gt;"",K$3='Bonding Program'!$K$49),'Bonding Program'!$J$49,0)-IF(AND('Bonding Program'!$M$49&lt;&gt;"",K$3='Bonding Program'!$M$49),'Bonding Program'!$L$49,0)-IF(AND('Bonding Program'!$P$49&lt;&gt;"",K$3='Bonding Program'!$P$49),'Bonding Program'!$O$49,0)-IF(AND('Bonding Program'!$R$49&lt;&gt;"",K$3='Bonding Program'!$R$49),'Bonding Program'!$Q$49,0),0)</f>
        <v>0</v>
      </c>
      <c r="L190" s="19" t="n">
        <f aca="false">IF(AND('Bonding Program'!$S$49=1,L$3='Bonding Program'!$H$49),'Bonding Program'!$AA$49,0)-IF(L$3&lt;='Bonding Program'!$C$8,IF(AND('Bonding Program'!$K$49&lt;&gt;"",L$3='Bonding Program'!$K$49),'Bonding Program'!$J$49,0)-IF(AND('Bonding Program'!$M$49&lt;&gt;"",L$3='Bonding Program'!$M$49),'Bonding Program'!$L$49,0)-IF(AND('Bonding Program'!$P$49&lt;&gt;"",L$3='Bonding Program'!$P$49),'Bonding Program'!$O$49,0)-IF(AND('Bonding Program'!$R$49&lt;&gt;"",L$3='Bonding Program'!$R$49),'Bonding Program'!$Q$49,0),0)</f>
        <v>0</v>
      </c>
      <c r="M190" s="19" t="n">
        <f aca="false">IF(AND('Bonding Program'!$S$49=1,M$3='Bonding Program'!$H$49),'Bonding Program'!$AA$49,0)-IF(M$3&lt;='Bonding Program'!$C$8,IF(AND('Bonding Program'!$K$49&lt;&gt;"",M$3='Bonding Program'!$K$49),'Bonding Program'!$J$49,0)-IF(AND('Bonding Program'!$M$49&lt;&gt;"",M$3='Bonding Program'!$M$49),'Bonding Program'!$L$49,0)-IF(AND('Bonding Program'!$P$49&lt;&gt;"",M$3='Bonding Program'!$P$49),'Bonding Program'!$O$49,0)-IF(AND('Bonding Program'!$R$49&lt;&gt;"",M$3='Bonding Program'!$R$49),'Bonding Program'!$Q$49,0),0)</f>
        <v>0</v>
      </c>
      <c r="N190" s="19" t="n">
        <f aca="false">IF(AND('Bonding Program'!$S$49=1,N$3='Bonding Program'!$H$49),'Bonding Program'!$AA$49,0)-IF(N$3&lt;='Bonding Program'!$C$8,IF(AND('Bonding Program'!$K$49&lt;&gt;"",N$3='Bonding Program'!$K$49),'Bonding Program'!$J$49,0)-IF(AND('Bonding Program'!$M$49&lt;&gt;"",N$3='Bonding Program'!$M$49),'Bonding Program'!$L$49,0)-IF(AND('Bonding Program'!$P$49&lt;&gt;"",N$3='Bonding Program'!$P$49),'Bonding Program'!$O$49,0)-IF(AND('Bonding Program'!$R$49&lt;&gt;"",N$3='Bonding Program'!$R$49),'Bonding Program'!$Q$49,0),0)</f>
        <v>0</v>
      </c>
      <c r="O190" s="19" t="n">
        <f aca="false">IF(AND('Bonding Program'!$S$49=1,O$3='Bonding Program'!$H$49),'Bonding Program'!$AA$49,0)-IF(O$3&lt;='Bonding Program'!$C$8,IF(AND('Bonding Program'!$K$49&lt;&gt;"",O$3='Bonding Program'!$K$49),'Bonding Program'!$J$49,0)-IF(AND('Bonding Program'!$M$49&lt;&gt;"",O$3='Bonding Program'!$M$49),'Bonding Program'!$L$49,0)-IF(AND('Bonding Program'!$P$49&lt;&gt;"",O$3='Bonding Program'!$P$49),'Bonding Program'!$O$49,0)-IF(AND('Bonding Program'!$R$49&lt;&gt;"",O$3='Bonding Program'!$R$49),'Bonding Program'!$Q$49,0),0)</f>
        <v>0</v>
      </c>
      <c r="P190" s="19" t="n">
        <f aca="false">IF(AND('Bonding Program'!$S$49=1,P$3='Bonding Program'!$H$49),'Bonding Program'!$AA$49,0)-IF(P$3&lt;='Bonding Program'!$C$8,IF(AND('Bonding Program'!$K$49&lt;&gt;"",P$3='Bonding Program'!$K$49),'Bonding Program'!$J$49,0)-IF(AND('Bonding Program'!$M$49&lt;&gt;"",P$3='Bonding Program'!$M$49),'Bonding Program'!$L$49,0)-IF(AND('Bonding Program'!$P$49&lt;&gt;"",P$3='Bonding Program'!$P$49),'Bonding Program'!$O$49,0)-IF(AND('Bonding Program'!$R$49&lt;&gt;"",P$3='Bonding Program'!$R$49),'Bonding Program'!$Q$49,0),0)</f>
        <v>0</v>
      </c>
      <c r="Q190" s="19" t="n">
        <f aca="false">IF(AND('Bonding Program'!$S$49=1,Q$3='Bonding Program'!$H$49),'Bonding Program'!$AA$49,0)-IF(Q$3&lt;='Bonding Program'!$C$8,IF(AND('Bonding Program'!$K$49&lt;&gt;"",Q$3='Bonding Program'!$K$49),'Bonding Program'!$J$49,0)-IF(AND('Bonding Program'!$M$49&lt;&gt;"",Q$3='Bonding Program'!$M$49),'Bonding Program'!$L$49,0)-IF(AND('Bonding Program'!$P$49&lt;&gt;"",Q$3='Bonding Program'!$P$49),'Bonding Program'!$O$49,0)-IF(AND('Bonding Program'!$R$49&lt;&gt;"",Q$3='Bonding Program'!$R$49),'Bonding Program'!$Q$49,0),0)</f>
        <v>0</v>
      </c>
      <c r="R190" s="19" t="n">
        <f aca="false">IF(AND('Bonding Program'!$S$49=1,R$3='Bonding Program'!$H$49),'Bonding Program'!$AA$49,0)-IF(R$3&lt;='Bonding Program'!$C$8,IF(AND('Bonding Program'!$K$49&lt;&gt;"",R$3='Bonding Program'!$K$49),'Bonding Program'!$J$49,0)-IF(AND('Bonding Program'!$M$49&lt;&gt;"",R$3='Bonding Program'!$M$49),'Bonding Program'!$L$49,0)-IF(AND('Bonding Program'!$P$49&lt;&gt;"",R$3='Bonding Program'!$P$49),'Bonding Program'!$O$49,0)-IF(AND('Bonding Program'!$R$49&lt;&gt;"",R$3='Bonding Program'!$R$49),'Bonding Program'!$Q$49,0),0)</f>
        <v>0</v>
      </c>
      <c r="S190" s="19" t="n">
        <f aca="false">IF(AND('Bonding Program'!$S$49=1,S$3='Bonding Program'!$H$49),'Bonding Program'!$AA$49,0)-IF(S$3&lt;='Bonding Program'!$C$8,IF(AND('Bonding Program'!$K$49&lt;&gt;"",S$3='Bonding Program'!$K$49),'Bonding Program'!$J$49,0)-IF(AND('Bonding Program'!$M$49&lt;&gt;"",S$3='Bonding Program'!$M$49),'Bonding Program'!$L$49,0)-IF(AND('Bonding Program'!$P$49&lt;&gt;"",S$3='Bonding Program'!$P$49),'Bonding Program'!$O$49,0)-IF(AND('Bonding Program'!$R$49&lt;&gt;"",S$3='Bonding Program'!$R$49),'Bonding Program'!$Q$49,0),0)</f>
        <v>0</v>
      </c>
      <c r="T190" s="19" t="n">
        <f aca="false">IF(AND('Bonding Program'!$S$49=1,T$3='Bonding Program'!$H$49),'Bonding Program'!$AA$49,0)-IF(T$3&lt;='Bonding Program'!$C$8,IF(AND('Bonding Program'!$K$49&lt;&gt;"",T$3='Bonding Program'!$K$49),'Bonding Program'!$J$49,0)-IF(AND('Bonding Program'!$M$49&lt;&gt;"",T$3='Bonding Program'!$M$49),'Bonding Program'!$L$49,0)-IF(AND('Bonding Program'!$P$49&lt;&gt;"",T$3='Bonding Program'!$P$49),'Bonding Program'!$O$49,0)-IF(AND('Bonding Program'!$R$49&lt;&gt;"",T$3='Bonding Program'!$R$49),'Bonding Program'!$Q$49,0),0)</f>
        <v>0</v>
      </c>
      <c r="U190" s="19" t="n">
        <f aca="false">IF(AND('Bonding Program'!$S$49=1,U$3='Bonding Program'!$H$49),'Bonding Program'!$AA$49,0)-IF(U$3&lt;='Bonding Program'!$C$8,IF(AND('Bonding Program'!$K$49&lt;&gt;"",U$3='Bonding Program'!$K$49),'Bonding Program'!$J$49,0)-IF(AND('Bonding Program'!$M$49&lt;&gt;"",U$3='Bonding Program'!$M$49),'Bonding Program'!$L$49,0)-IF(AND('Bonding Program'!$P$49&lt;&gt;"",U$3='Bonding Program'!$P$49),'Bonding Program'!$O$49,0)-IF(AND('Bonding Program'!$R$49&lt;&gt;"",U$3='Bonding Program'!$R$49),'Bonding Program'!$Q$49,0),0)</f>
        <v>0</v>
      </c>
      <c r="V190" s="19" t="n">
        <f aca="false">IF(AND('Bonding Program'!$S$49=1,V$3='Bonding Program'!$H$49),'Bonding Program'!$AA$49,0)-IF(V$3&lt;='Bonding Program'!$C$8,IF(AND('Bonding Program'!$K$49&lt;&gt;"",V$3='Bonding Program'!$K$49),'Bonding Program'!$J$49,0)-IF(AND('Bonding Program'!$M$49&lt;&gt;"",V$3='Bonding Program'!$M$49),'Bonding Program'!$L$49,0)-IF(AND('Bonding Program'!$P$49&lt;&gt;"",V$3='Bonding Program'!$P$49),'Bonding Program'!$O$49,0)-IF(AND('Bonding Program'!$R$49&lt;&gt;"",V$3='Bonding Program'!$R$49),'Bonding Program'!$Q$49,0),0)</f>
        <v>0</v>
      </c>
      <c r="W190" s="19" t="n">
        <f aca="false">IF(AND('Bonding Program'!$S$49=1,W$3='Bonding Program'!$H$49),'Bonding Program'!$AA$49,0)-IF(W$3&lt;='Bonding Program'!$C$8,IF(AND('Bonding Program'!$K$49&lt;&gt;"",W$3='Bonding Program'!$K$49),'Bonding Program'!$J$49,0)-IF(AND('Bonding Program'!$M$49&lt;&gt;"",W$3='Bonding Program'!$M$49),'Bonding Program'!$L$49,0)-IF(AND('Bonding Program'!$P$49&lt;&gt;"",W$3='Bonding Program'!$P$49),'Bonding Program'!$O$49,0)-IF(AND('Bonding Program'!$R$49&lt;&gt;"",W$3='Bonding Program'!$R$49),'Bonding Program'!$Q$49,0),0)</f>
        <v>0</v>
      </c>
      <c r="X190" s="19" t="n">
        <f aca="false">IF(AND('Bonding Program'!$S$49=1,X$3='Bonding Program'!$H$49),'Bonding Program'!$AA$49,0)-IF(X$3&lt;='Bonding Program'!$C$8,IF(AND('Bonding Program'!$K$49&lt;&gt;"",X$3='Bonding Program'!$K$49),'Bonding Program'!$J$49,0)-IF(AND('Bonding Program'!$M$49&lt;&gt;"",X$3='Bonding Program'!$M$49),'Bonding Program'!$L$49,0)-IF(AND('Bonding Program'!$P$49&lt;&gt;"",X$3='Bonding Program'!$P$49),'Bonding Program'!$O$49,0)-IF(AND('Bonding Program'!$R$49&lt;&gt;"",X$3='Bonding Program'!$R$49),'Bonding Program'!$Q$49,0),0)</f>
        <v>0</v>
      </c>
      <c r="Y190" s="19" t="n">
        <f aca="false">IF(AND('Bonding Program'!$S$49=1,Y$3='Bonding Program'!$H$49),'Bonding Program'!$AA$49,0)-IF(Y$3&lt;='Bonding Program'!$C$8,IF(AND('Bonding Program'!$K$49&lt;&gt;"",Y$3='Bonding Program'!$K$49),'Bonding Program'!$J$49,0)-IF(AND('Bonding Program'!$M$49&lt;&gt;"",Y$3='Bonding Program'!$M$49),'Bonding Program'!$L$49,0)-IF(AND('Bonding Program'!$P$49&lt;&gt;"",Y$3='Bonding Program'!$P$49),'Bonding Program'!$O$49,0)-IF(AND('Bonding Program'!$R$49&lt;&gt;"",Y$3='Bonding Program'!$R$49),'Bonding Program'!$Q$49,0),0)</f>
        <v>0</v>
      </c>
      <c r="Z190" s="19" t="n">
        <f aca="false">IF(AND('Bonding Program'!$S$49=1,Z$3='Bonding Program'!$H$49),'Bonding Program'!$AA$49,0)-IF(Z$3&lt;='Bonding Program'!$C$8,IF(AND('Bonding Program'!$K$49&lt;&gt;"",Z$3='Bonding Program'!$K$49),'Bonding Program'!$J$49,0)-IF(AND('Bonding Program'!$M$49&lt;&gt;"",Z$3='Bonding Program'!$M$49),'Bonding Program'!$L$49,0)-IF(AND('Bonding Program'!$P$49&lt;&gt;"",Z$3='Bonding Program'!$P$49),'Bonding Program'!$O$49,0)-IF(AND('Bonding Program'!$R$49&lt;&gt;"",Z$3='Bonding Program'!$R$49),'Bonding Program'!$Q$49,0),0)</f>
        <v>0</v>
      </c>
      <c r="AA190" s="19" t="n">
        <f aca="false">IF(AND('Bonding Program'!$S$49=1,AA$3='Bonding Program'!$H$49),'Bonding Program'!$AA$49,0)-IF(AA$3&lt;='Bonding Program'!$C$8,IF(AND('Bonding Program'!$K$49&lt;&gt;"",AA$3='Bonding Program'!$K$49),'Bonding Program'!$J$49,0)-IF(AND('Bonding Program'!$M$49&lt;&gt;"",AA$3='Bonding Program'!$M$49),'Bonding Program'!$L$49,0)-IF(AND('Bonding Program'!$P$49&lt;&gt;"",AA$3='Bonding Program'!$P$49),'Bonding Program'!$O$49,0)-IF(AND('Bonding Program'!$R$49&lt;&gt;"",AA$3='Bonding Program'!$R$49),'Bonding Program'!$Q$49,0),0)</f>
        <v>0</v>
      </c>
      <c r="AB190" s="19" t="n">
        <f aca="false">IF(AND('Bonding Program'!$S$49=1,AB$3='Bonding Program'!$H$49),'Bonding Program'!$AA$49,0)-IF(AB$3&lt;='Bonding Program'!$C$8,IF(AND('Bonding Program'!$K$49&lt;&gt;"",AB$3='Bonding Program'!$K$49),'Bonding Program'!$J$49,0)-IF(AND('Bonding Program'!$M$49&lt;&gt;"",AB$3='Bonding Program'!$M$49),'Bonding Program'!$L$49,0)-IF(AND('Bonding Program'!$P$49&lt;&gt;"",AB$3='Bonding Program'!$P$49),'Bonding Program'!$O$49,0)-IF(AND('Bonding Program'!$R$49&lt;&gt;"",AB$3='Bonding Program'!$R$49),'Bonding Program'!$Q$49,0),0)</f>
        <v>0</v>
      </c>
      <c r="AC190" s="19" t="n">
        <f aca="false">IF(AND('Bonding Program'!$S$49=1,AC$3='Bonding Program'!$H$49),'Bonding Program'!$AA$49,0)-IF(AC$3&lt;='Bonding Program'!$C$8,IF(AND('Bonding Program'!$K$49&lt;&gt;"",AC$3='Bonding Program'!$K$49),'Bonding Program'!$J$49,0)-IF(AND('Bonding Program'!$M$49&lt;&gt;"",AC$3='Bonding Program'!$M$49),'Bonding Program'!$L$49,0)-IF(AND('Bonding Program'!$P$49&lt;&gt;"",AC$3='Bonding Program'!$P$49),'Bonding Program'!$O$49,0)-IF(AND('Bonding Program'!$R$49&lt;&gt;"",AC$3='Bonding Program'!$R$49),'Bonding Program'!$Q$49,0),0)</f>
        <v>0</v>
      </c>
      <c r="AD190" s="19" t="n">
        <f aca="false">IF(AND('Bonding Program'!$S$49=1,AD$3='Bonding Program'!$H$49),'Bonding Program'!$AA$49,0)-IF(AD$3&lt;='Bonding Program'!$C$8,IF(AND('Bonding Program'!$K$49&lt;&gt;"",AD$3='Bonding Program'!$K$49),'Bonding Program'!$J$49,0)-IF(AND('Bonding Program'!$M$49&lt;&gt;"",AD$3='Bonding Program'!$M$49),'Bonding Program'!$L$49,0)-IF(AND('Bonding Program'!$P$49&lt;&gt;"",AD$3='Bonding Program'!$P$49),'Bonding Program'!$O$49,0)-IF(AND('Bonding Program'!$R$49&lt;&gt;"",AD$3='Bonding Program'!$R$49),'Bonding Program'!$Q$49,0),0)</f>
        <v>0</v>
      </c>
      <c r="AE190" s="19" t="n">
        <f aca="false">IF(AND('Bonding Program'!$S$49=1,AE$3='Bonding Program'!$H$49),'Bonding Program'!$AA$49,0)-IF(AE$3&lt;='Bonding Program'!$C$8,IF(AND('Bonding Program'!$K$49&lt;&gt;"",AE$3='Bonding Program'!$K$49),'Bonding Program'!$J$49,0)-IF(AND('Bonding Program'!$M$49&lt;&gt;"",AE$3='Bonding Program'!$M$49),'Bonding Program'!$L$49,0)-IF(AND('Bonding Program'!$P$49&lt;&gt;"",AE$3='Bonding Program'!$P$49),'Bonding Program'!$O$49,0)-IF(AND('Bonding Program'!$R$49&lt;&gt;"",AE$3='Bonding Program'!$R$49),'Bonding Program'!$Q$49,0),0)</f>
        <v>0</v>
      </c>
      <c r="AF190" s="19" t="n">
        <f aca="false">IF(AND('Bonding Program'!$S$49=1,AF$3='Bonding Program'!$H$49),'Bonding Program'!$AA$49,0)-IF(AF$3&lt;='Bonding Program'!$C$8,IF(AND('Bonding Program'!$K$49&lt;&gt;"",AF$3='Bonding Program'!$K$49),'Bonding Program'!$J$49,0)-IF(AND('Bonding Program'!$M$49&lt;&gt;"",AF$3='Bonding Program'!$M$49),'Bonding Program'!$L$49,0)-IF(AND('Bonding Program'!$P$49&lt;&gt;"",AF$3='Bonding Program'!$P$49),'Bonding Program'!$O$49,0)-IF(AND('Bonding Program'!$R$49&lt;&gt;"",AF$3='Bonding Program'!$R$49),'Bonding Program'!$Q$49,0),0)</f>
        <v>0</v>
      </c>
      <c r="AG190" s="19" t="n">
        <f aca="false">IF(AND('Bonding Program'!$S$49=1,AG$3='Bonding Program'!$H$49),'Bonding Program'!$AA$49,0)-IF(AG$3&lt;='Bonding Program'!$C$8,IF(AND('Bonding Program'!$K$49&lt;&gt;"",AG$3='Bonding Program'!$K$49),'Bonding Program'!$J$49,0)-IF(AND('Bonding Program'!$M$49&lt;&gt;"",AG$3='Bonding Program'!$M$49),'Bonding Program'!$L$49,0)-IF(AND('Bonding Program'!$P$49&lt;&gt;"",AG$3='Bonding Program'!$P$49),'Bonding Program'!$O$49,0)-IF(AND('Bonding Program'!$R$49&lt;&gt;"",AG$3='Bonding Program'!$R$49),'Bonding Program'!$Q$49,0),0)</f>
        <v>0</v>
      </c>
      <c r="AH190" s="19" t="n">
        <f aca="false">IF(AND('Bonding Program'!$S$49=1,AH$3='Bonding Program'!$H$49),'Bonding Program'!$AA$49,0)-IF(AH$3&lt;='Bonding Program'!$C$8,IF(AND('Bonding Program'!$K$49&lt;&gt;"",AH$3='Bonding Program'!$K$49),'Bonding Program'!$J$49,0)-IF(AND('Bonding Program'!$M$49&lt;&gt;"",AH$3='Bonding Program'!$M$49),'Bonding Program'!$L$49,0)-IF(AND('Bonding Program'!$P$49&lt;&gt;"",AH$3='Bonding Program'!$P$49),'Bonding Program'!$O$49,0)-IF(AND('Bonding Program'!$R$49&lt;&gt;"",AH$3='Bonding Program'!$R$49),'Bonding Program'!$Q$49,0),0)</f>
        <v>0</v>
      </c>
      <c r="AI190" s="19" t="n">
        <f aca="false">IF(AND('Bonding Program'!$S$49=1,AI$3='Bonding Program'!$H$49),'Bonding Program'!$AA$49,0)-IF(AI$3&lt;='Bonding Program'!$C$8,IF(AND('Bonding Program'!$K$49&lt;&gt;"",AI$3='Bonding Program'!$K$49),'Bonding Program'!$J$49,0)-IF(AND('Bonding Program'!$M$49&lt;&gt;"",AI$3='Bonding Program'!$M$49),'Bonding Program'!$L$49,0)-IF(AND('Bonding Program'!$P$49&lt;&gt;"",AI$3='Bonding Program'!$P$49),'Bonding Program'!$O$49,0)-IF(AND('Bonding Program'!$R$49&lt;&gt;"",AI$3='Bonding Program'!$R$49),'Bonding Program'!$Q$49,0),0)</f>
        <v>0</v>
      </c>
      <c r="AJ190" s="19" t="n">
        <f aca="false">IF(AND('Bonding Program'!$S$49=1,AJ$3='Bonding Program'!$H$49),'Bonding Program'!$AA$49,0)-IF(AJ$3&lt;='Bonding Program'!$C$8,IF(AND('Bonding Program'!$K$49&lt;&gt;"",AJ$3='Bonding Program'!$K$49),'Bonding Program'!$J$49,0)-IF(AND('Bonding Program'!$M$49&lt;&gt;"",AJ$3='Bonding Program'!$M$49),'Bonding Program'!$L$49,0)-IF(AND('Bonding Program'!$P$49&lt;&gt;"",AJ$3='Bonding Program'!$P$49),'Bonding Program'!$O$49,0)-IF(AND('Bonding Program'!$R$49&lt;&gt;"",AJ$3='Bonding Program'!$R$49),'Bonding Program'!$Q$49,0),0)</f>
        <v>0</v>
      </c>
      <c r="AK190" s="19" t="n">
        <f aca="false">IF(AND('Bonding Program'!$S$49=1,AK$3='Bonding Program'!$H$49),'Bonding Program'!$AA$49,0)-IF(AK$3&lt;='Bonding Program'!$C$8,IF(AND('Bonding Program'!$K$49&lt;&gt;"",AK$3='Bonding Program'!$K$49),'Bonding Program'!$J$49,0)-IF(AND('Bonding Program'!$M$49&lt;&gt;"",AK$3='Bonding Program'!$M$49),'Bonding Program'!$L$49,0)-IF(AND('Bonding Program'!$P$49&lt;&gt;"",AK$3='Bonding Program'!$P$49),'Bonding Program'!$O$49,0)-IF(AND('Bonding Program'!$R$49&lt;&gt;"",AK$3='Bonding Program'!$R$49),'Bonding Program'!$Q$49,0),0)</f>
        <v>0</v>
      </c>
      <c r="AL190" s="19" t="n">
        <f aca="false">IF(AND('Bonding Program'!$S$49=1,AL$3='Bonding Program'!$H$49),'Bonding Program'!$AA$49,0)-IF(AL$3&lt;='Bonding Program'!$C$8,IF(AND('Bonding Program'!$K$49&lt;&gt;"",AL$3='Bonding Program'!$K$49),'Bonding Program'!$J$49,0)-IF(AND('Bonding Program'!$M$49&lt;&gt;"",AL$3='Bonding Program'!$M$49),'Bonding Program'!$L$49,0)-IF(AND('Bonding Program'!$P$49&lt;&gt;"",AL$3='Bonding Program'!$P$49),'Bonding Program'!$O$49,0)-IF(AND('Bonding Program'!$R$49&lt;&gt;"",AL$3='Bonding Program'!$R$49),'Bonding Program'!$Q$49,0),0)</f>
        <v>0</v>
      </c>
      <c r="AM190" s="19" t="n">
        <f aca="false">IF(AND('Bonding Program'!$S$49=1,AM$3='Bonding Program'!$H$49),'Bonding Program'!$AA$49,0)-IF(AM$3&lt;='Bonding Program'!$C$8,IF(AND('Bonding Program'!$K$49&lt;&gt;"",AM$3='Bonding Program'!$K$49),'Bonding Program'!$J$49,0)-IF(AND('Bonding Program'!$M$49&lt;&gt;"",AM$3='Bonding Program'!$M$49),'Bonding Program'!$L$49,0)-IF(AND('Bonding Program'!$P$49&lt;&gt;"",AM$3='Bonding Program'!$P$49),'Bonding Program'!$O$49,0)-IF(AND('Bonding Program'!$R$49&lt;&gt;"",AM$3='Bonding Program'!$R$49),'Bonding Program'!$Q$49,0),0)</f>
        <v>0</v>
      </c>
      <c r="AN190" s="19" t="n">
        <f aca="false">IF(AND('Bonding Program'!$S$49=1,AN$3='Bonding Program'!$H$49),'Bonding Program'!$AA$49,0)-IF(AN$3&lt;='Bonding Program'!$C$8,IF(AND('Bonding Program'!$K$49&lt;&gt;"",AN$3='Bonding Program'!$K$49),'Bonding Program'!$J$49,0)-IF(AND('Bonding Program'!$M$49&lt;&gt;"",AN$3='Bonding Program'!$M$49),'Bonding Program'!$L$49,0)-IF(AND('Bonding Program'!$P$49&lt;&gt;"",AN$3='Bonding Program'!$P$49),'Bonding Program'!$O$49,0)-IF(AND('Bonding Program'!$R$49&lt;&gt;"",AN$3='Bonding Program'!$R$49),'Bonding Program'!$Q$49,0),0)</f>
        <v>0</v>
      </c>
      <c r="AO190" s="19" t="n">
        <f aca="false">IF(AND('Bonding Program'!$S$49=1,AO$3='Bonding Program'!$H$49),'Bonding Program'!$AA$49,0)-IF(AO$3&lt;='Bonding Program'!$C$8,IF(AND('Bonding Program'!$K$49&lt;&gt;"",AO$3='Bonding Program'!$K$49),'Bonding Program'!$J$49,0)-IF(AND('Bonding Program'!$M$49&lt;&gt;"",AO$3='Bonding Program'!$M$49),'Bonding Program'!$L$49,0)-IF(AND('Bonding Program'!$P$49&lt;&gt;"",AO$3='Bonding Program'!$P$49),'Bonding Program'!$O$49,0)-IF(AND('Bonding Program'!$R$49&lt;&gt;"",AO$3='Bonding Program'!$R$49),'Bonding Program'!$Q$49,0),0)</f>
        <v>0</v>
      </c>
      <c r="AP190" s="19" t="n">
        <f aca="false">IF(AND('Bonding Program'!$S$49=1,AP$3='Bonding Program'!$H$49),'Bonding Program'!$AA$49,0)-IF(AP$3&lt;='Bonding Program'!$C$8,IF(AND('Bonding Program'!$K$49&lt;&gt;"",AP$3='Bonding Program'!$K$49),'Bonding Program'!$J$49,0)-IF(AND('Bonding Program'!$M$49&lt;&gt;"",AP$3='Bonding Program'!$M$49),'Bonding Program'!$L$49,0)-IF(AND('Bonding Program'!$P$49&lt;&gt;"",AP$3='Bonding Program'!$P$49),'Bonding Program'!$O$49,0)-IF(AND('Bonding Program'!$R$49&lt;&gt;"",AP$3='Bonding Program'!$R$49),'Bonding Program'!$Q$49,0),0)</f>
        <v>0</v>
      </c>
      <c r="AQ190" s="19" t="n">
        <f aca="false">IF(AND('Bonding Program'!$S$49=1,AQ$3='Bonding Program'!$H$49),'Bonding Program'!$AA$49,0)-IF(AQ$3&lt;='Bonding Program'!$C$8,IF(AND('Bonding Program'!$K$49&lt;&gt;"",AQ$3='Bonding Program'!$K$49),'Bonding Program'!$J$49,0)-IF(AND('Bonding Program'!$M$49&lt;&gt;"",AQ$3='Bonding Program'!$M$49),'Bonding Program'!$L$49,0)-IF(AND('Bonding Program'!$P$49&lt;&gt;"",AQ$3='Bonding Program'!$P$49),'Bonding Program'!$O$49,0)-IF(AND('Bonding Program'!$R$49&lt;&gt;"",AQ$3='Bonding Program'!$R$49),'Bonding Program'!$Q$49,0),0)</f>
        <v>0</v>
      </c>
      <c r="AR190" s="19" t="n">
        <f aca="false">IF(AND('Bonding Program'!$S$49=1,AR$3='Bonding Program'!$H$49),'Bonding Program'!$AA$49,0)-IF(AR$3&lt;='Bonding Program'!$C$8,IF(AND('Bonding Program'!$K$49&lt;&gt;"",AR$3='Bonding Program'!$K$49),'Bonding Program'!$J$49,0)-IF(AND('Bonding Program'!$M$49&lt;&gt;"",AR$3='Bonding Program'!$M$49),'Bonding Program'!$L$49,0)-IF(AND('Bonding Program'!$P$49&lt;&gt;"",AR$3='Bonding Program'!$P$49),'Bonding Program'!$O$49,0)-IF(AND('Bonding Program'!$R$49&lt;&gt;"",AR$3='Bonding Program'!$R$49),'Bonding Program'!$Q$49,0),0)</f>
        <v>0</v>
      </c>
      <c r="AS190" s="19" t="n">
        <f aca="false">IF(AND('Bonding Program'!$S$49=1,AS$3='Bonding Program'!$H$49),'Bonding Program'!$AA$49,0)-IF(AS$3&lt;='Bonding Program'!$C$8,IF(AND('Bonding Program'!$K$49&lt;&gt;"",AS$3='Bonding Program'!$K$49),'Bonding Program'!$J$49,0)-IF(AND('Bonding Program'!$M$49&lt;&gt;"",AS$3='Bonding Program'!$M$49),'Bonding Program'!$L$49,0)-IF(AND('Bonding Program'!$P$49&lt;&gt;"",AS$3='Bonding Program'!$P$49),'Bonding Program'!$O$49,0)-IF(AND('Bonding Program'!$R$49&lt;&gt;"",AS$3='Bonding Program'!$R$49),'Bonding Program'!$Q$49,0),0)</f>
        <v>0</v>
      </c>
      <c r="AT190" s="19" t="n">
        <f aca="false">IF(AND('Bonding Program'!$S$49=1,AT$3='Bonding Program'!$H$49),'Bonding Program'!$AA$49,0)-IF(AT$3&lt;='Bonding Program'!$C$8,IF(AND('Bonding Program'!$K$49&lt;&gt;"",AT$3='Bonding Program'!$K$49),'Bonding Program'!$J$49,0)-IF(AND('Bonding Program'!$M$49&lt;&gt;"",AT$3='Bonding Program'!$M$49),'Bonding Program'!$L$49,0)-IF(AND('Bonding Program'!$P$49&lt;&gt;"",AT$3='Bonding Program'!$P$49),'Bonding Program'!$O$49,0)-IF(AND('Bonding Program'!$R$49&lt;&gt;"",AT$3='Bonding Program'!$R$49),'Bonding Program'!$Q$49,0),0)</f>
        <v>0</v>
      </c>
      <c r="AU190" s="19" t="n">
        <f aca="false">IF(AND('Bonding Program'!$S$49=1,AU$3='Bonding Program'!$H$49),'Bonding Program'!$AA$49,0)-IF(AU$3&lt;='Bonding Program'!$C$8,IF(AND('Bonding Program'!$K$49&lt;&gt;"",AU$3='Bonding Program'!$K$49),'Bonding Program'!$J$49,0)-IF(AND('Bonding Program'!$M$49&lt;&gt;"",AU$3='Bonding Program'!$M$49),'Bonding Program'!$L$49,0)-IF(AND('Bonding Program'!$P$49&lt;&gt;"",AU$3='Bonding Program'!$P$49),'Bonding Program'!$O$49,0)-IF(AND('Bonding Program'!$R$49&lt;&gt;"",AU$3='Bonding Program'!$R$49),'Bonding Program'!$Q$49,0),0)</f>
        <v>0</v>
      </c>
      <c r="AV190" s="19" t="n">
        <f aca="false">IF(AND('Bonding Program'!$S$49=1,AV$3='Bonding Program'!$H$49),'Bonding Program'!$AA$49,0)-IF(AV$3&lt;='Bonding Program'!$C$8,IF(AND('Bonding Program'!$K$49&lt;&gt;"",AV$3='Bonding Program'!$K$49),'Bonding Program'!$J$49,0)-IF(AND('Bonding Program'!$M$49&lt;&gt;"",AV$3='Bonding Program'!$M$49),'Bonding Program'!$L$49,0)-IF(AND('Bonding Program'!$P$49&lt;&gt;"",AV$3='Bonding Program'!$P$49),'Bonding Program'!$O$49,0)-IF(AND('Bonding Program'!$R$49&lt;&gt;"",AV$3='Bonding Program'!$R$49),'Bonding Program'!$Q$49,0),0)</f>
        <v>0</v>
      </c>
      <c r="AW190" s="19" t="n">
        <f aca="false">IF(AND('Bonding Program'!$S$49=1,AW$3='Bonding Program'!$H$49),'Bonding Program'!$AA$49,0)-IF(AW$3&lt;='Bonding Program'!$C$8,IF(AND('Bonding Program'!$K$49&lt;&gt;"",AW$3='Bonding Program'!$K$49),'Bonding Program'!$J$49,0)-IF(AND('Bonding Program'!$M$49&lt;&gt;"",AW$3='Bonding Program'!$M$49),'Bonding Program'!$L$49,0)-IF(AND('Bonding Program'!$P$49&lt;&gt;"",AW$3='Bonding Program'!$P$49),'Bonding Program'!$O$49,0)-IF(AND('Bonding Program'!$R$49&lt;&gt;"",AW$3='Bonding Program'!$R$49),'Bonding Program'!$Q$49,0),0)</f>
        <v>0</v>
      </c>
      <c r="AX190" s="19" t="n">
        <f aca="false">IF(AND('Bonding Program'!$S$49=1,AX$3='Bonding Program'!$H$49),'Bonding Program'!$AA$49,0)-IF(AX$3&lt;='Bonding Program'!$C$8,IF(AND('Bonding Program'!$K$49&lt;&gt;"",AX$3='Bonding Program'!$K$49),'Bonding Program'!$J$49,0)-IF(AND('Bonding Program'!$M$49&lt;&gt;"",AX$3='Bonding Program'!$M$49),'Bonding Program'!$L$49,0)-IF(AND('Bonding Program'!$P$49&lt;&gt;"",AX$3='Bonding Program'!$P$49),'Bonding Program'!$O$49,0)-IF(AND('Bonding Program'!$R$49&lt;&gt;"",AX$3='Bonding Program'!$R$49),'Bonding Program'!$Q$49,0),0)</f>
        <v>0</v>
      </c>
      <c r="AY190" s="19" t="n">
        <f aca="false">IF(AND('Bonding Program'!$S$49=1,AY$3='Bonding Program'!$H$49),'Bonding Program'!$AA$49,0)-IF(AY$3&lt;='Bonding Program'!$C$8,IF(AND('Bonding Program'!$K$49&lt;&gt;"",AY$3='Bonding Program'!$K$49),'Bonding Program'!$J$49,0)-IF(AND('Bonding Program'!$M$49&lt;&gt;"",AY$3='Bonding Program'!$M$49),'Bonding Program'!$L$49,0)-IF(AND('Bonding Program'!$P$49&lt;&gt;"",AY$3='Bonding Program'!$P$49),'Bonding Program'!$O$49,0)-IF(AND('Bonding Program'!$R$49&lt;&gt;"",AY$3='Bonding Program'!$R$49),'Bonding Program'!$Q$49,0),0)</f>
        <v>0</v>
      </c>
      <c r="AZ190" s="19" t="n">
        <f aca="false">IF(AND('Bonding Program'!$S$49=1,AZ$3='Bonding Program'!$H$49),'Bonding Program'!$AA$49,0)-IF(AZ$3&lt;='Bonding Program'!$C$8,IF(AND('Bonding Program'!$K$49&lt;&gt;"",AZ$3='Bonding Program'!$K$49),'Bonding Program'!$J$49,0)-IF(AND('Bonding Program'!$M$49&lt;&gt;"",AZ$3='Bonding Program'!$M$49),'Bonding Program'!$L$49,0)-IF(AND('Bonding Program'!$P$49&lt;&gt;"",AZ$3='Bonding Program'!$P$49),'Bonding Program'!$O$49,0)-IF(AND('Bonding Program'!$R$49&lt;&gt;"",AZ$3='Bonding Program'!$R$49),'Bonding Program'!$Q$49,0),0)</f>
        <v>0</v>
      </c>
      <c r="BA190" s="19" t="n">
        <f aca="false">IF(AND('Bonding Program'!$S$49=1,BA$3='Bonding Program'!$H$49),'Bonding Program'!$AA$49,0)-IF(BA$3&lt;='Bonding Program'!$C$8,IF(AND('Bonding Program'!$K$49&lt;&gt;"",BA$3='Bonding Program'!$K$49),'Bonding Program'!$J$49,0)-IF(AND('Bonding Program'!$M$49&lt;&gt;"",BA$3='Bonding Program'!$M$49),'Bonding Program'!$L$49,0)-IF(AND('Bonding Program'!$P$49&lt;&gt;"",BA$3='Bonding Program'!$P$49),'Bonding Program'!$O$49,0)-IF(AND('Bonding Program'!$R$49&lt;&gt;"",BA$3='Bonding Program'!$R$49),'Bonding Program'!$Q$49,0),0)</f>
        <v>0</v>
      </c>
      <c r="BB190" s="19" t="n">
        <f aca="false">IF(AND('Bonding Program'!$S$49=1,BB$3='Bonding Program'!$H$49),'Bonding Program'!$AA$49,0)-IF(BB$3&lt;='Bonding Program'!$C$8,IF(AND('Bonding Program'!$K$49&lt;&gt;"",BB$3='Bonding Program'!$K$49),'Bonding Program'!$J$49,0)-IF(AND('Bonding Program'!$M$49&lt;&gt;"",BB$3='Bonding Program'!$M$49),'Bonding Program'!$L$49,0)-IF(AND('Bonding Program'!$P$49&lt;&gt;"",BB$3='Bonding Program'!$P$49),'Bonding Program'!$O$49,0)-IF(AND('Bonding Program'!$R$49&lt;&gt;"",BB$3='Bonding Program'!$R$49),'Bonding Program'!$Q$49,0),0)</f>
        <v>0</v>
      </c>
      <c r="BC190" s="19" t="n">
        <f aca="false">IF(AND('Bonding Program'!$S$49=1,BC$3='Bonding Program'!$H$49),'Bonding Program'!$AA$49,0)-IF(BC$3&lt;='Bonding Program'!$C$8,IF(AND('Bonding Program'!$K$49&lt;&gt;"",BC$3='Bonding Program'!$K$49),'Bonding Program'!$J$49,0)-IF(AND('Bonding Program'!$M$49&lt;&gt;"",BC$3='Bonding Program'!$M$49),'Bonding Program'!$L$49,0)-IF(AND('Bonding Program'!$P$49&lt;&gt;"",BC$3='Bonding Program'!$P$49),'Bonding Program'!$O$49,0)-IF(AND('Bonding Program'!$R$49&lt;&gt;"",BC$3='Bonding Program'!$R$49),'Bonding Program'!$Q$49,0),0)</f>
        <v>0</v>
      </c>
      <c r="BD190" s="19" t="n">
        <f aca="false">IF(AND('Bonding Program'!$S$49=1,BD$3='Bonding Program'!$H$49),'Bonding Program'!$AA$49,0)-IF(BD$3&lt;='Bonding Program'!$C$8,IF(AND('Bonding Program'!$K$49&lt;&gt;"",BD$3='Bonding Program'!$K$49),'Bonding Program'!$J$49,0)-IF(AND('Bonding Program'!$M$49&lt;&gt;"",BD$3='Bonding Program'!$M$49),'Bonding Program'!$L$49,0)-IF(AND('Bonding Program'!$P$49&lt;&gt;"",BD$3='Bonding Program'!$P$49),'Bonding Program'!$O$49,0)-IF(AND('Bonding Program'!$R$49&lt;&gt;"",BD$3='Bonding Program'!$R$49),'Bonding Program'!$Q$49,0),0)</f>
        <v>0</v>
      </c>
      <c r="BE190" s="19" t="n">
        <f aca="false">IF(AND('Bonding Program'!$S$49=1,BE$3='Bonding Program'!$H$49),'Bonding Program'!$AA$49,0)-IF(BE$3&lt;='Bonding Program'!$C$8,IF(AND('Bonding Program'!$K$49&lt;&gt;"",BE$3='Bonding Program'!$K$49),'Bonding Program'!$J$49,0)-IF(AND('Bonding Program'!$M$49&lt;&gt;"",BE$3='Bonding Program'!$M$49),'Bonding Program'!$L$49,0)-IF(AND('Bonding Program'!$P$49&lt;&gt;"",BE$3='Bonding Program'!$P$49),'Bonding Program'!$O$49,0)-IF(AND('Bonding Program'!$R$49&lt;&gt;"",BE$3='Bonding Program'!$R$49),'Bonding Program'!$Q$49,0),0)</f>
        <v>0</v>
      </c>
      <c r="BF190" s="19" t="n">
        <f aca="false">IF(AND('Bonding Program'!$S$49=1,BF$3='Bonding Program'!$H$49),'Bonding Program'!$AA$49,0)-IF(BF$3&lt;='Bonding Program'!$C$8,IF(AND('Bonding Program'!$K$49&lt;&gt;"",BF$3='Bonding Program'!$K$49),'Bonding Program'!$J$49,0)-IF(AND('Bonding Program'!$M$49&lt;&gt;"",BF$3='Bonding Program'!$M$49),'Bonding Program'!$L$49,0)-IF(AND('Bonding Program'!$P$49&lt;&gt;"",BF$3='Bonding Program'!$P$49),'Bonding Program'!$O$49,0)-IF(AND('Bonding Program'!$R$49&lt;&gt;"",BF$3='Bonding Program'!$R$49),'Bonding Program'!$Q$49,0),0)</f>
        <v>0</v>
      </c>
      <c r="BG190" s="19" t="n">
        <f aca="false">IF(AND('Bonding Program'!$S$49=1,BG$3='Bonding Program'!$H$49),'Bonding Program'!$AA$49,0)-IF(BG$3&lt;='Bonding Program'!$C$8,IF(AND('Bonding Program'!$K$49&lt;&gt;"",BG$3='Bonding Program'!$K$49),'Bonding Program'!$J$49,0)-IF(AND('Bonding Program'!$M$49&lt;&gt;"",BG$3='Bonding Program'!$M$49),'Bonding Program'!$L$49,0)-IF(AND('Bonding Program'!$P$49&lt;&gt;"",BG$3='Bonding Program'!$P$49),'Bonding Program'!$O$49,0)-IF(AND('Bonding Program'!$R$49&lt;&gt;"",BG$3='Bonding Program'!$R$49),'Bonding Program'!$Q$49,0),0)</f>
        <v>0</v>
      </c>
      <c r="BH190" s="19" t="n">
        <f aca="false">IF(AND('Bonding Program'!$S$49=1,BH$3='Bonding Program'!$H$49),'Bonding Program'!$AA$49,0)-IF(BH$3&lt;='Bonding Program'!$C$8,IF(AND('Bonding Program'!$K$49&lt;&gt;"",BH$3='Bonding Program'!$K$49),'Bonding Program'!$J$49,0)-IF(AND('Bonding Program'!$M$49&lt;&gt;"",BH$3='Bonding Program'!$M$49),'Bonding Program'!$L$49,0)-IF(AND('Bonding Program'!$P$49&lt;&gt;"",BH$3='Bonding Program'!$P$49),'Bonding Program'!$O$49,0)-IF(AND('Bonding Program'!$R$49&lt;&gt;"",BH$3='Bonding Program'!$R$49),'Bonding Program'!$Q$49,0),0)</f>
        <v>0</v>
      </c>
      <c r="BI190" s="19" t="n">
        <f aca="false">IF(AND('Bonding Program'!$S$49=1,BI$3='Bonding Program'!$H$49),'Bonding Program'!$AA$49,0)-IF(BI$3&lt;='Bonding Program'!$C$8,IF(AND('Bonding Program'!$K$49&lt;&gt;"",BI$3='Bonding Program'!$K$49),'Bonding Program'!$J$49,0)-IF(AND('Bonding Program'!$M$49&lt;&gt;"",BI$3='Bonding Program'!$M$49),'Bonding Program'!$L$49,0)-IF(AND('Bonding Program'!$P$49&lt;&gt;"",BI$3='Bonding Program'!$P$49),'Bonding Program'!$O$49,0)-IF(AND('Bonding Program'!$R$49&lt;&gt;"",BI$3='Bonding Program'!$R$49),'Bonding Program'!$Q$49,0),0)</f>
        <v>0</v>
      </c>
      <c r="BJ190" s="19" t="n">
        <f aca="false">IF(AND('Bonding Program'!$S$49=1,BJ$3='Bonding Program'!$H$49),'Bonding Program'!$AA$49,0)-IF(BJ$3&lt;='Bonding Program'!$C$8,IF(AND('Bonding Program'!$K$49&lt;&gt;"",BJ$3='Bonding Program'!$K$49),'Bonding Program'!$J$49,0)-IF(AND('Bonding Program'!$M$49&lt;&gt;"",BJ$3='Bonding Program'!$M$49),'Bonding Program'!$L$49,0)-IF(AND('Bonding Program'!$P$49&lt;&gt;"",BJ$3='Bonding Program'!$P$49),'Bonding Program'!$O$49,0)-IF(AND('Bonding Program'!$R$49&lt;&gt;"",BJ$3='Bonding Program'!$R$49),'Bonding Program'!$Q$49,0),0)</f>
        <v>0</v>
      </c>
      <c r="BK190" s="19" t="n">
        <f aca="false">IF(AND('Bonding Program'!$S$49=1,BK$3='Bonding Program'!$H$49),'Bonding Program'!$AA$49,0)-IF(BK$3&lt;='Bonding Program'!$C$8,IF(AND('Bonding Program'!$K$49&lt;&gt;"",BK$3='Bonding Program'!$K$49),'Bonding Program'!$J$49,0)-IF(AND('Bonding Program'!$M$49&lt;&gt;"",BK$3='Bonding Program'!$M$49),'Bonding Program'!$L$49,0)-IF(AND('Bonding Program'!$P$49&lt;&gt;"",BK$3='Bonding Program'!$P$49),'Bonding Program'!$O$49,0)-IF(AND('Bonding Program'!$R$49&lt;&gt;"",BK$3='Bonding Program'!$R$49),'Bonding Program'!$Q$49,0),0)</f>
        <v>0</v>
      </c>
      <c r="BL190" s="19" t="n">
        <f aca="false">IF(AND('Bonding Program'!$S$49=1,BL$3='Bonding Program'!$H$49),'Bonding Program'!$AA$49,0)-IF(BL$3&lt;='Bonding Program'!$C$8,IF(AND('Bonding Program'!$K$49&lt;&gt;"",BL$3='Bonding Program'!$K$49),'Bonding Program'!$J$49,0)-IF(AND('Bonding Program'!$M$49&lt;&gt;"",BL$3='Bonding Program'!$M$49),'Bonding Program'!$L$49,0)-IF(AND('Bonding Program'!$P$49&lt;&gt;"",BL$3='Bonding Program'!$P$49),'Bonding Program'!$O$49,0)-IF(AND('Bonding Program'!$R$49&lt;&gt;"",BL$3='Bonding Program'!$R$49),'Bonding Program'!$Q$49,0),0)</f>
        <v>0</v>
      </c>
      <c r="BM190" s="19" t="n">
        <f aca="false">IF(AND('Bonding Program'!$S$49=1,BM$3='Bonding Program'!$H$49),'Bonding Program'!$AA$49,0)-IF(BM$3&lt;='Bonding Program'!$C$8,IF(AND('Bonding Program'!$K$49&lt;&gt;"",BM$3='Bonding Program'!$K$49),'Bonding Program'!$J$49,0)-IF(AND('Bonding Program'!$M$49&lt;&gt;"",BM$3='Bonding Program'!$M$49),'Bonding Program'!$L$49,0)-IF(AND('Bonding Program'!$P$49&lt;&gt;"",BM$3='Bonding Program'!$P$49),'Bonding Program'!$O$49,0)-IF(AND('Bonding Program'!$R$49&lt;&gt;"",BM$3='Bonding Program'!$R$49),'Bonding Program'!$Q$49,0),0)</f>
        <v>0</v>
      </c>
      <c r="BN190" s="19" t="n">
        <f aca="false">IF(AND('Bonding Program'!$S$49=1,BN$3='Bonding Program'!$H$49),'Bonding Program'!$AA$49,0)-IF(BN$3&lt;='Bonding Program'!$C$8,IF(AND('Bonding Program'!$K$49&lt;&gt;"",BN$3='Bonding Program'!$K$49),'Bonding Program'!$J$49,0)-IF(AND('Bonding Program'!$M$49&lt;&gt;"",BN$3='Bonding Program'!$M$49),'Bonding Program'!$L$49,0)-IF(AND('Bonding Program'!$P$49&lt;&gt;"",BN$3='Bonding Program'!$P$49),'Bonding Program'!$O$49,0)-IF(AND('Bonding Program'!$R$49&lt;&gt;"",BN$3='Bonding Program'!$R$49),'Bonding Program'!$Q$49,0),0)</f>
        <v>0</v>
      </c>
      <c r="BO190" s="19" t="n">
        <f aca="false">IF(AND('Bonding Program'!$S$49=1,BO$3='Bonding Program'!$H$49),'Bonding Program'!$AA$49,0)-IF(BO$3&lt;='Bonding Program'!$C$8,IF(AND('Bonding Program'!$K$49&lt;&gt;"",BO$3='Bonding Program'!$K$49),'Bonding Program'!$J$49,0)-IF(AND('Bonding Program'!$M$49&lt;&gt;"",BO$3='Bonding Program'!$M$49),'Bonding Program'!$L$49,0)-IF(AND('Bonding Program'!$P$49&lt;&gt;"",BO$3='Bonding Program'!$P$49),'Bonding Program'!$O$49,0)-IF(AND('Bonding Program'!$R$49&lt;&gt;"",BO$3='Bonding Program'!$R$49),'Bonding Program'!$Q$49,0),0)</f>
        <v>0</v>
      </c>
      <c r="BP190" s="19" t="n">
        <f aca="false">IF(AND('Bonding Program'!$S$49=1,BP$3='Bonding Program'!$H$49),'Bonding Program'!$AA$49,0)-IF(BP$3&lt;='Bonding Program'!$C$8,IF(AND('Bonding Program'!$K$49&lt;&gt;"",BP$3='Bonding Program'!$K$49),'Bonding Program'!$J$49,0)-IF(AND('Bonding Program'!$M$49&lt;&gt;"",BP$3='Bonding Program'!$M$49),'Bonding Program'!$L$49,0)-IF(AND('Bonding Program'!$P$49&lt;&gt;"",BP$3='Bonding Program'!$P$49),'Bonding Program'!$O$49,0)-IF(AND('Bonding Program'!$R$49&lt;&gt;"",BP$3='Bonding Program'!$R$49),'Bonding Program'!$Q$49,0),0)</f>
        <v>0</v>
      </c>
      <c r="BQ190" s="19" t="n">
        <f aca="false">IF(AND('Bonding Program'!$S$49=1,BQ$3='Bonding Program'!$H$49),'Bonding Program'!$AA$49,0)-IF(BQ$3&lt;='Bonding Program'!$C$8,IF(AND('Bonding Program'!$K$49&lt;&gt;"",BQ$3='Bonding Program'!$K$49),'Bonding Program'!$J$49,0)-IF(AND('Bonding Program'!$M$49&lt;&gt;"",BQ$3='Bonding Program'!$M$49),'Bonding Program'!$L$49,0)-IF(AND('Bonding Program'!$P$49&lt;&gt;"",BQ$3='Bonding Program'!$P$49),'Bonding Program'!$O$49,0)-IF(AND('Bonding Program'!$R$49&lt;&gt;"",BQ$3='Bonding Program'!$R$49),'Bonding Program'!$Q$49,0),0)</f>
        <v>0</v>
      </c>
      <c r="BR190" s="19" t="n">
        <f aca="false">IF(AND('Bonding Program'!$S$49=1,BR$3='Bonding Program'!$H$49),'Bonding Program'!$AA$49,0)-IF(BR$3&lt;='Bonding Program'!$C$8,IF(AND('Bonding Program'!$K$49&lt;&gt;"",BR$3='Bonding Program'!$K$49),'Bonding Program'!$J$49,0)-IF(AND('Bonding Program'!$M$49&lt;&gt;"",BR$3='Bonding Program'!$M$49),'Bonding Program'!$L$49,0)-IF(AND('Bonding Program'!$P$49&lt;&gt;"",BR$3='Bonding Program'!$P$49),'Bonding Program'!$O$49,0)-IF(AND('Bonding Program'!$R$49&lt;&gt;"",BR$3='Bonding Program'!$R$49),'Bonding Program'!$Q$49,0),0)</f>
        <v>0</v>
      </c>
      <c r="BS190" s="19" t="n">
        <f aca="false">IF(AND('Bonding Program'!$S$49=1,BS$3='Bonding Program'!$H$49),'Bonding Program'!$AA$49,0)-IF(BS$3&lt;='Bonding Program'!$C$8,IF(AND('Bonding Program'!$K$49&lt;&gt;"",BS$3='Bonding Program'!$K$49),'Bonding Program'!$J$49,0)-IF(AND('Bonding Program'!$M$49&lt;&gt;"",BS$3='Bonding Program'!$M$49),'Bonding Program'!$L$49,0)-IF(AND('Bonding Program'!$P$49&lt;&gt;"",BS$3='Bonding Program'!$P$49),'Bonding Program'!$O$49,0)-IF(AND('Bonding Program'!$R$49&lt;&gt;"",BS$3='Bonding Program'!$R$49),'Bonding Program'!$Q$49,0),0)</f>
        <v>0</v>
      </c>
      <c r="BT190" s="19" t="n">
        <f aca="false">IF(AND('Bonding Program'!$S$49=1,BT$3='Bonding Program'!$H$49),'Bonding Program'!$AA$49,0)-IF(BT$3&lt;='Bonding Program'!$C$8,IF(AND('Bonding Program'!$K$49&lt;&gt;"",BT$3='Bonding Program'!$K$49),'Bonding Program'!$J$49,0)-IF(AND('Bonding Program'!$M$49&lt;&gt;"",BT$3='Bonding Program'!$M$49),'Bonding Program'!$L$49,0)-IF(AND('Bonding Program'!$P$49&lt;&gt;"",BT$3='Bonding Program'!$P$49),'Bonding Program'!$O$49,0)-IF(AND('Bonding Program'!$R$49&lt;&gt;"",BT$3='Bonding Program'!$R$49),'Bonding Program'!$Q$49,0),0)</f>
        <v>0</v>
      </c>
      <c r="BU190" s="19" t="n">
        <f aca="false">IF(AND('Bonding Program'!$S$49=1,BU$3='Bonding Program'!$H$49),'Bonding Program'!$AA$49,0)-IF(BU$3&lt;='Bonding Program'!$C$8,IF(AND('Bonding Program'!$K$49&lt;&gt;"",BU$3='Bonding Program'!$K$49),'Bonding Program'!$J$49,0)-IF(AND('Bonding Program'!$M$49&lt;&gt;"",BU$3='Bonding Program'!$M$49),'Bonding Program'!$L$49,0)-IF(AND('Bonding Program'!$P$49&lt;&gt;"",BU$3='Bonding Program'!$P$49),'Bonding Program'!$O$49,0)-IF(AND('Bonding Program'!$R$49&lt;&gt;"",BU$3='Bonding Program'!$R$49),'Bonding Program'!$Q$49,0),0)</f>
        <v>0</v>
      </c>
      <c r="BV190" s="19" t="n">
        <f aca="false">IF(AND('Bonding Program'!$S$49=1,BV$3='Bonding Program'!$H$49),'Bonding Program'!$AA$49,0)-IF(BV$3&lt;='Bonding Program'!$C$8,IF(AND('Bonding Program'!$K$49&lt;&gt;"",BV$3='Bonding Program'!$K$49),'Bonding Program'!$J$49,0)-IF(AND('Bonding Program'!$M$49&lt;&gt;"",BV$3='Bonding Program'!$M$49),'Bonding Program'!$L$49,0)-IF(AND('Bonding Program'!$P$49&lt;&gt;"",BV$3='Bonding Program'!$P$49),'Bonding Program'!$O$49,0)-IF(AND('Bonding Program'!$R$49&lt;&gt;"",BV$3='Bonding Program'!$R$49),'Bonding Program'!$Q$49,0),0)</f>
        <v>0</v>
      </c>
      <c r="BW190" s="19" t="n">
        <f aca="false">IF(AND('Bonding Program'!$S$49=1,BW$3='Bonding Program'!$H$49),'Bonding Program'!$AA$49,0)-IF(BW$3&lt;='Bonding Program'!$C$8,IF(AND('Bonding Program'!$K$49&lt;&gt;"",BW$3='Bonding Program'!$K$49),'Bonding Program'!$J$49,0)-IF(AND('Bonding Program'!$M$49&lt;&gt;"",BW$3='Bonding Program'!$M$49),'Bonding Program'!$L$49,0)-IF(AND('Bonding Program'!$P$49&lt;&gt;"",BW$3='Bonding Program'!$P$49),'Bonding Program'!$O$49,0)-IF(AND('Bonding Program'!$R$49&lt;&gt;"",BW$3='Bonding Program'!$R$49),'Bonding Program'!$Q$49,0),0)</f>
        <v>0</v>
      </c>
      <c r="BX190" s="19" t="n">
        <f aca="false">IF(AND('Bonding Program'!$S$49=1,BX$3='Bonding Program'!$H$49),'Bonding Program'!$AA$49,0)-IF(BX$3&lt;='Bonding Program'!$C$8,IF(AND('Bonding Program'!$K$49&lt;&gt;"",BX$3='Bonding Program'!$K$49),'Bonding Program'!$J$49,0)-IF(AND('Bonding Program'!$M$49&lt;&gt;"",BX$3='Bonding Program'!$M$49),'Bonding Program'!$L$49,0)-IF(AND('Bonding Program'!$P$49&lt;&gt;"",BX$3='Bonding Program'!$P$49),'Bonding Program'!$O$49,0)-IF(AND('Bonding Program'!$R$49&lt;&gt;"",BX$3='Bonding Program'!$R$49),'Bonding Program'!$Q$49,0),0)</f>
        <v>0</v>
      </c>
      <c r="BY190" s="19" t="n">
        <f aca="false">IF(AND('Bonding Program'!$S$49=1,BY$3='Bonding Program'!$H$49),'Bonding Program'!$AA$49,0)-IF(BY$3&lt;='Bonding Program'!$C$8,IF(AND('Bonding Program'!$K$49&lt;&gt;"",BY$3='Bonding Program'!$K$49),'Bonding Program'!$J$49,0)-IF(AND('Bonding Program'!$M$49&lt;&gt;"",BY$3='Bonding Program'!$M$49),'Bonding Program'!$L$49,0)-IF(AND('Bonding Program'!$P$49&lt;&gt;"",BY$3='Bonding Program'!$P$49),'Bonding Program'!$O$49,0)-IF(AND('Bonding Program'!$R$49&lt;&gt;"",BY$3='Bonding Program'!$R$49),'Bonding Program'!$Q$49,0),0)</f>
        <v>0</v>
      </c>
      <c r="BZ190" s="19" t="n">
        <f aca="false">IF(AND('Bonding Program'!$S$49=1,BZ$3='Bonding Program'!$H$49),'Bonding Program'!$AA$49,0)-IF(BZ$3&lt;='Bonding Program'!$C$8,IF(AND('Bonding Program'!$K$49&lt;&gt;"",BZ$3='Bonding Program'!$K$49),'Bonding Program'!$J$49,0)-IF(AND('Bonding Program'!$M$49&lt;&gt;"",BZ$3='Bonding Program'!$M$49),'Bonding Program'!$L$49,0)-IF(AND('Bonding Program'!$P$49&lt;&gt;"",BZ$3='Bonding Program'!$P$49),'Bonding Program'!$O$49,0)-IF(AND('Bonding Program'!$R$49&lt;&gt;"",BZ$3='Bonding Program'!$R$49),'Bonding Program'!$Q$49,0),0)</f>
        <v>0</v>
      </c>
      <c r="CA190" s="19" t="n">
        <f aca="false">IF(AND('Bonding Program'!$S$49=1,CA$3='Bonding Program'!$H$49),'Bonding Program'!$AA$49,0)-IF(CA$3&lt;='Bonding Program'!$C$8,IF(AND('Bonding Program'!$K$49&lt;&gt;"",CA$3='Bonding Program'!$K$49),'Bonding Program'!$J$49,0)-IF(AND('Bonding Program'!$M$49&lt;&gt;"",CA$3='Bonding Program'!$M$49),'Bonding Program'!$L$49,0)-IF(AND('Bonding Program'!$P$49&lt;&gt;"",CA$3='Bonding Program'!$P$49),'Bonding Program'!$O$49,0)-IF(AND('Bonding Program'!$R$49&lt;&gt;"",CA$3='Bonding Program'!$R$49),'Bonding Program'!$Q$49,0),0)</f>
        <v>0</v>
      </c>
      <c r="CB190" s="19" t="n">
        <f aca="false">IF(AND('Bonding Program'!$S$49=1,CB$3='Bonding Program'!$H$49),'Bonding Program'!$AA$49,0)-IF(CB$3&lt;='Bonding Program'!$C$8,IF(AND('Bonding Program'!$K$49&lt;&gt;"",CB$3='Bonding Program'!$K$49),'Bonding Program'!$J$49,0)-IF(AND('Bonding Program'!$M$49&lt;&gt;"",CB$3='Bonding Program'!$M$49),'Bonding Program'!$L$49,0)-IF(AND('Bonding Program'!$P$49&lt;&gt;"",CB$3='Bonding Program'!$P$49),'Bonding Program'!$O$49,0)-IF(AND('Bonding Program'!$R$49&lt;&gt;"",CB$3='Bonding Program'!$R$49),'Bonding Program'!$Q$49,0),0)</f>
        <v>0</v>
      </c>
      <c r="CC190" s="19" t="n">
        <f aca="false">IF(AND('Bonding Program'!$S$49=1,CC$3='Bonding Program'!$H$49),'Bonding Program'!$AA$49,0)-IF(CC$3&lt;='Bonding Program'!$C$8,IF(AND('Bonding Program'!$K$49&lt;&gt;"",CC$3='Bonding Program'!$K$49),'Bonding Program'!$J$49,0)-IF(AND('Bonding Program'!$M$49&lt;&gt;"",CC$3='Bonding Program'!$M$49),'Bonding Program'!$L$49,0)-IF(AND('Bonding Program'!$P$49&lt;&gt;"",CC$3='Bonding Program'!$P$49),'Bonding Program'!$O$49,0)-IF(AND('Bonding Program'!$R$49&lt;&gt;"",CC$3='Bonding Program'!$R$49),'Bonding Program'!$Q$49,0),0)</f>
        <v>0</v>
      </c>
      <c r="CD190" s="19" t="n">
        <f aca="false">IF(AND('Bonding Program'!$S$49=1,CD$3='Bonding Program'!$H$49),'Bonding Program'!$AA$49,0)-IF(CD$3&lt;='Bonding Program'!$C$8,IF(AND('Bonding Program'!$K$49&lt;&gt;"",CD$3='Bonding Program'!$K$49),'Bonding Program'!$J$49,0)-IF(AND('Bonding Program'!$M$49&lt;&gt;"",CD$3='Bonding Program'!$M$49),'Bonding Program'!$L$49,0)-IF(AND('Bonding Program'!$P$49&lt;&gt;"",CD$3='Bonding Program'!$P$49),'Bonding Program'!$O$49,0)-IF(AND('Bonding Program'!$R$49&lt;&gt;"",CD$3='Bonding Program'!$R$49),'Bonding Program'!$Q$49,0),0)</f>
        <v>0</v>
      </c>
      <c r="CE190" s="19" t="n">
        <f aca="false">IF(AND('Bonding Program'!$S$49=1,CE$3='Bonding Program'!$H$49),'Bonding Program'!$AA$49,0)-IF(CE$3&lt;='Bonding Program'!$C$8,IF(AND('Bonding Program'!$K$49&lt;&gt;"",CE$3='Bonding Program'!$K$49),'Bonding Program'!$J$49,0)-IF(AND('Bonding Program'!$M$49&lt;&gt;"",CE$3='Bonding Program'!$M$49),'Bonding Program'!$L$49,0)-IF(AND('Bonding Program'!$P$49&lt;&gt;"",CE$3='Bonding Program'!$P$49),'Bonding Program'!$O$49,0)-IF(AND('Bonding Program'!$R$49&lt;&gt;"",CE$3='Bonding Program'!$R$49),'Bonding Program'!$Q$49,0),0)</f>
        <v>0</v>
      </c>
      <c r="CF190" s="19" t="n">
        <f aca="false">IF(AND('Bonding Program'!$S$49=1,CF$3='Bonding Program'!$H$49),'Bonding Program'!$AA$49,0)-IF(CF$3&lt;='Bonding Program'!$C$8,IF(AND('Bonding Program'!$K$49&lt;&gt;"",CF$3='Bonding Program'!$K$49),'Bonding Program'!$J$49,0)-IF(AND('Bonding Program'!$M$49&lt;&gt;"",CF$3='Bonding Program'!$M$49),'Bonding Program'!$L$49,0)-IF(AND('Bonding Program'!$P$49&lt;&gt;"",CF$3='Bonding Program'!$P$49),'Bonding Program'!$O$49,0)-IF(AND('Bonding Program'!$R$49&lt;&gt;"",CF$3='Bonding Program'!$R$49),'Bonding Program'!$Q$49,0),0)</f>
        <v>0</v>
      </c>
      <c r="CG190" s="19" t="n">
        <f aca="false">IF(AND('Bonding Program'!$S$49=1,CG$3='Bonding Program'!$H$49),'Bonding Program'!$AA$49,0)-IF(CG$3&lt;='Bonding Program'!$C$8,IF(AND('Bonding Program'!$K$49&lt;&gt;"",CG$3='Bonding Program'!$K$49),'Bonding Program'!$J$49,0)-IF(AND('Bonding Program'!$M$49&lt;&gt;"",CG$3='Bonding Program'!$M$49),'Bonding Program'!$L$49,0)-IF(AND('Bonding Program'!$P$49&lt;&gt;"",CG$3='Bonding Program'!$P$49),'Bonding Program'!$O$49,0)-IF(AND('Bonding Program'!$R$49&lt;&gt;"",CG$3='Bonding Program'!$R$49),'Bonding Program'!$Q$49,0),0)</f>
        <v>0</v>
      </c>
      <c r="CH190" s="19" t="n">
        <f aca="false">IF(AND('Bonding Program'!$S$49=1,CH$3='Bonding Program'!$H$49),'Bonding Program'!$AA$49,0)-IF(CH$3&lt;='Bonding Program'!$C$8,IF(AND('Bonding Program'!$K$49&lt;&gt;"",CH$3='Bonding Program'!$K$49),'Bonding Program'!$J$49,0)-IF(AND('Bonding Program'!$M$49&lt;&gt;"",CH$3='Bonding Program'!$M$49),'Bonding Program'!$L$49,0)-IF(AND('Bonding Program'!$P$49&lt;&gt;"",CH$3='Bonding Program'!$P$49),'Bonding Program'!$O$49,0)-IF(AND('Bonding Program'!$R$49&lt;&gt;"",CH$3='Bonding Program'!$R$49),'Bonding Program'!$Q$49,0),0)</f>
        <v>0</v>
      </c>
      <c r="CI190" s="19" t="n">
        <f aca="false">IF(AND('Bonding Program'!$S$49=1,CI$3='Bonding Program'!$H$49),'Bonding Program'!$AA$49,0)-IF(CI$3&lt;='Bonding Program'!$C$8,IF(AND('Bonding Program'!$K$49&lt;&gt;"",CI$3='Bonding Program'!$K$49),'Bonding Program'!$J$49,0)-IF(AND('Bonding Program'!$M$49&lt;&gt;"",CI$3='Bonding Program'!$M$49),'Bonding Program'!$L$49,0)-IF(AND('Bonding Program'!$P$49&lt;&gt;"",CI$3='Bonding Program'!$P$49),'Bonding Program'!$O$49,0)-IF(AND('Bonding Program'!$R$49&lt;&gt;"",CI$3='Bonding Program'!$R$49),'Bonding Program'!$Q$49,0),0)</f>
        <v>0</v>
      </c>
      <c r="CJ190" s="19" t="n">
        <f aca="false">IF(AND('Bonding Program'!$S$49=1,CJ$3='Bonding Program'!$H$49),'Bonding Program'!$AA$49,0)-IF(CJ$3&lt;='Bonding Program'!$C$8,IF(AND('Bonding Program'!$K$49&lt;&gt;"",CJ$3='Bonding Program'!$K$49),'Bonding Program'!$J$49,0)-IF(AND('Bonding Program'!$M$49&lt;&gt;"",CJ$3='Bonding Program'!$M$49),'Bonding Program'!$L$49,0)-IF(AND('Bonding Program'!$P$49&lt;&gt;"",CJ$3='Bonding Program'!$P$49),'Bonding Program'!$O$49,0)-IF(AND('Bonding Program'!$R$49&lt;&gt;"",CJ$3='Bonding Program'!$R$49),'Bonding Program'!$Q$49,0),0)</f>
        <v>0</v>
      </c>
      <c r="CK190" s="19" t="n">
        <f aca="false">IF(AND('Bonding Program'!$S$49=1,CK$3='Bonding Program'!$H$49),'Bonding Program'!$AA$49,0)-IF(CK$3&lt;='Bonding Program'!$C$8,IF(AND('Bonding Program'!$K$49&lt;&gt;"",CK$3='Bonding Program'!$K$49),'Bonding Program'!$J$49,0)-IF(AND('Bonding Program'!$M$49&lt;&gt;"",CK$3='Bonding Program'!$M$49),'Bonding Program'!$L$49,0)-IF(AND('Bonding Program'!$P$49&lt;&gt;"",CK$3='Bonding Program'!$P$49),'Bonding Program'!$O$49,0)-IF(AND('Bonding Program'!$R$49&lt;&gt;"",CK$3='Bonding Program'!$R$49),'Bonding Program'!$Q$49,0),0)</f>
        <v>0</v>
      </c>
      <c r="CL190" s="19" t="n">
        <f aca="false">IF(AND('Bonding Program'!$S$49=1,CL$3='Bonding Program'!$H$49),'Bonding Program'!$AA$49,0)-IF(CL$3&lt;='Bonding Program'!$C$8,IF(AND('Bonding Program'!$K$49&lt;&gt;"",CL$3='Bonding Program'!$K$49),'Bonding Program'!$J$49,0)-IF(AND('Bonding Program'!$M$49&lt;&gt;"",CL$3='Bonding Program'!$M$49),'Bonding Program'!$L$49,0)-IF(AND('Bonding Program'!$P$49&lt;&gt;"",CL$3='Bonding Program'!$P$49),'Bonding Program'!$O$49,0)-IF(AND('Bonding Program'!$R$49&lt;&gt;"",CL$3='Bonding Program'!$R$49),'Bonding Program'!$Q$49,0),0)</f>
        <v>0</v>
      </c>
      <c r="CM190" s="19" t="n">
        <f aca="false">IF(AND('Bonding Program'!$S$49=1,CM$3='Bonding Program'!$H$49),'Bonding Program'!$AA$49,0)-IF(CM$3&lt;='Bonding Program'!$C$8,IF(AND('Bonding Program'!$K$49&lt;&gt;"",CM$3='Bonding Program'!$K$49),'Bonding Program'!$J$49,0)-IF(AND('Bonding Program'!$M$49&lt;&gt;"",CM$3='Bonding Program'!$M$49),'Bonding Program'!$L$49,0)-IF(AND('Bonding Program'!$P$49&lt;&gt;"",CM$3='Bonding Program'!$P$49),'Bonding Program'!$O$49,0)-IF(AND('Bonding Program'!$R$49&lt;&gt;"",CM$3='Bonding Program'!$R$49),'Bonding Program'!$Q$49,0),0)</f>
        <v>0</v>
      </c>
      <c r="CN190" s="19" t="n">
        <f aca="false">IF(AND('Bonding Program'!$S$49=1,CN$3='Bonding Program'!$H$49),'Bonding Program'!$AA$49,0)-IF(CN$3&lt;='Bonding Program'!$C$8,IF(AND('Bonding Program'!$K$49&lt;&gt;"",CN$3='Bonding Program'!$K$49),'Bonding Program'!$J$49,0)-IF(AND('Bonding Program'!$M$49&lt;&gt;"",CN$3='Bonding Program'!$M$49),'Bonding Program'!$L$49,0)-IF(AND('Bonding Program'!$P$49&lt;&gt;"",CN$3='Bonding Program'!$P$49),'Bonding Program'!$O$49,0)-IF(AND('Bonding Program'!$R$49&lt;&gt;"",CN$3='Bonding Program'!$R$49),'Bonding Program'!$Q$49,0),0)</f>
        <v>0</v>
      </c>
      <c r="CO190" s="19" t="n">
        <f aca="false">IF(AND('Bonding Program'!$S$49=1,CO$3='Bonding Program'!$H$49),'Bonding Program'!$AA$49,0)-IF(CO$3&lt;='Bonding Program'!$C$8,IF(AND('Bonding Program'!$K$49&lt;&gt;"",CO$3='Bonding Program'!$K$49),'Bonding Program'!$J$49,0)-IF(AND('Bonding Program'!$M$49&lt;&gt;"",CO$3='Bonding Program'!$M$49),'Bonding Program'!$L$49,0)-IF(AND('Bonding Program'!$P$49&lt;&gt;"",CO$3='Bonding Program'!$P$49),'Bonding Program'!$O$49,0)-IF(AND('Bonding Program'!$R$49&lt;&gt;"",CO$3='Bonding Program'!$R$49),'Bonding Program'!$Q$49,0),0)</f>
        <v>0</v>
      </c>
      <c r="CP190" s="19" t="n">
        <f aca="false">IF(AND('Bonding Program'!$S$49=1,CP$3='Bonding Program'!$H$49),'Bonding Program'!$AA$49,0)-IF(CP$3&lt;='Bonding Program'!$C$8,IF(AND('Bonding Program'!$K$49&lt;&gt;"",CP$3='Bonding Program'!$K$49),'Bonding Program'!$J$49,0)-IF(AND('Bonding Program'!$M$49&lt;&gt;"",CP$3='Bonding Program'!$M$49),'Bonding Program'!$L$49,0)-IF(AND('Bonding Program'!$P$49&lt;&gt;"",CP$3='Bonding Program'!$P$49),'Bonding Program'!$O$49,0)-IF(AND('Bonding Program'!$R$49&lt;&gt;"",CP$3='Bonding Program'!$R$49),'Bonding Program'!$Q$49,0),0)</f>
        <v>0</v>
      </c>
      <c r="CQ190" s="19" t="n">
        <f aca="false">IF(AND('Bonding Program'!$S$49=1,CQ$3='Bonding Program'!$H$49),'Bonding Program'!$AA$49,0)-IF(CQ$3&lt;='Bonding Program'!$C$8,IF(AND('Bonding Program'!$K$49&lt;&gt;"",CQ$3='Bonding Program'!$K$49),'Bonding Program'!$J$49,0)-IF(AND('Bonding Program'!$M$49&lt;&gt;"",CQ$3='Bonding Program'!$M$49),'Bonding Program'!$L$49,0)-IF(AND('Bonding Program'!$P$49&lt;&gt;"",CQ$3='Bonding Program'!$P$49),'Bonding Program'!$O$49,0)-IF(AND('Bonding Program'!$R$49&lt;&gt;"",CQ$3='Bonding Program'!$R$49),'Bonding Program'!$Q$49,0),0)</f>
        <v>0</v>
      </c>
      <c r="CR190" s="19" t="n">
        <f aca="false">IF(AND('Bonding Program'!$S$49=1,CR$3='Bonding Program'!$H$49),'Bonding Program'!$AA$49,0)-IF(CR$3&lt;='Bonding Program'!$C$8,IF(AND('Bonding Program'!$K$49&lt;&gt;"",CR$3='Bonding Program'!$K$49),'Bonding Program'!$J$49,0)-IF(AND('Bonding Program'!$M$49&lt;&gt;"",CR$3='Bonding Program'!$M$49),'Bonding Program'!$L$49,0)-IF(AND('Bonding Program'!$P$49&lt;&gt;"",CR$3='Bonding Program'!$P$49),'Bonding Program'!$O$49,0)-IF(AND('Bonding Program'!$R$49&lt;&gt;"",CR$3='Bonding Program'!$R$49),'Bonding Program'!$Q$49,0),0)</f>
        <v>0</v>
      </c>
      <c r="CS190" s="19" t="n">
        <f aca="false">IF(AND('Bonding Program'!$S$49=1,CS$3='Bonding Program'!$H$49),'Bonding Program'!$AA$49,0)-IF(CS$3&lt;='Bonding Program'!$C$8,IF(AND('Bonding Program'!$K$49&lt;&gt;"",CS$3='Bonding Program'!$K$49),'Bonding Program'!$J$49,0)-IF(AND('Bonding Program'!$M$49&lt;&gt;"",CS$3='Bonding Program'!$M$49),'Bonding Program'!$L$49,0)-IF(AND('Bonding Program'!$P$49&lt;&gt;"",CS$3='Bonding Program'!$P$49),'Bonding Program'!$O$49,0)-IF(AND('Bonding Program'!$R$49&lt;&gt;"",CS$3='Bonding Program'!$R$49),'Bonding Program'!$Q$49,0),0)</f>
        <v>0</v>
      </c>
      <c r="CT190" s="19" t="n">
        <f aca="false">IF(AND('Bonding Program'!$S$49=1,CT$3='Bonding Program'!$H$49),'Bonding Program'!$AA$49,0)-IF(CT$3&lt;='Bonding Program'!$C$8,IF(AND('Bonding Program'!$K$49&lt;&gt;"",CT$3='Bonding Program'!$K$49),'Bonding Program'!$J$49,0)-IF(AND('Bonding Program'!$M$49&lt;&gt;"",CT$3='Bonding Program'!$M$49),'Bonding Program'!$L$49,0)-IF(AND('Bonding Program'!$P$49&lt;&gt;"",CT$3='Bonding Program'!$P$49),'Bonding Program'!$O$49,0)-IF(AND('Bonding Program'!$R$49&lt;&gt;"",CT$3='Bonding Program'!$R$49),'Bonding Program'!$Q$49,0),0)</f>
        <v>0</v>
      </c>
      <c r="CU190" s="19" t="n">
        <f aca="false">IF(AND('Bonding Program'!$S$49=1,CU$3='Bonding Program'!$H$49),'Bonding Program'!$AA$49,0)-IF(CU$3&lt;='Bonding Program'!$C$8,IF(AND('Bonding Program'!$K$49&lt;&gt;"",CU$3='Bonding Program'!$K$49),'Bonding Program'!$J$49,0)-IF(AND('Bonding Program'!$M$49&lt;&gt;"",CU$3='Bonding Program'!$M$49),'Bonding Program'!$L$49,0)-IF(AND('Bonding Program'!$P$49&lt;&gt;"",CU$3='Bonding Program'!$P$49),'Bonding Program'!$O$49,0)-IF(AND('Bonding Program'!$R$49&lt;&gt;"",CU$3='Bonding Program'!$R$49),'Bonding Program'!$Q$49,0),0)</f>
        <v>0</v>
      </c>
      <c r="CV190" s="19" t="n">
        <f aca="false">IF(AND('Bonding Program'!$S$49=1,CV$3='Bonding Program'!$H$49),'Bonding Program'!$AA$49,0)-IF(CV$3&lt;='Bonding Program'!$C$8,IF(AND('Bonding Program'!$K$49&lt;&gt;"",CV$3='Bonding Program'!$K$49),'Bonding Program'!$J$49,0)-IF(AND('Bonding Program'!$M$49&lt;&gt;"",CV$3='Bonding Program'!$M$49),'Bonding Program'!$L$49,0)-IF(AND('Bonding Program'!$P$49&lt;&gt;"",CV$3='Bonding Program'!$P$49),'Bonding Program'!$O$49,0)-IF(AND('Bonding Program'!$R$49&lt;&gt;"",CV$3='Bonding Program'!$R$49),'Bonding Program'!$Q$49,0),0)</f>
        <v>0</v>
      </c>
      <c r="CW190" s="19" t="n">
        <f aca="false">IF(AND('Bonding Program'!$S$49=1,CW$3='Bonding Program'!$H$49),'Bonding Program'!$AA$49,0)-IF(CW$3&lt;='Bonding Program'!$C$8,IF(AND('Bonding Program'!$K$49&lt;&gt;"",CW$3='Bonding Program'!$K$49),'Bonding Program'!$J$49,0)-IF(AND('Bonding Program'!$M$49&lt;&gt;"",CW$3='Bonding Program'!$M$49),'Bonding Program'!$L$49,0)-IF(AND('Bonding Program'!$P$49&lt;&gt;"",CW$3='Bonding Program'!$P$49),'Bonding Program'!$O$49,0)-IF(AND('Bonding Program'!$R$49&lt;&gt;"",CW$3='Bonding Program'!$R$49),'Bonding Program'!$Q$49,0),0)</f>
        <v>0</v>
      </c>
      <c r="CX190" s="19" t="n">
        <f aca="false">IF(AND('Bonding Program'!$S$49=1,CX$3='Bonding Program'!$H$49),'Bonding Program'!$AA$49,0)-IF(CX$3&lt;='Bonding Program'!$C$8,IF(AND('Bonding Program'!$K$49&lt;&gt;"",CX$3='Bonding Program'!$K$49),'Bonding Program'!$J$49,0)-IF(AND('Bonding Program'!$M$49&lt;&gt;"",CX$3='Bonding Program'!$M$49),'Bonding Program'!$L$49,0)-IF(AND('Bonding Program'!$P$49&lt;&gt;"",CX$3='Bonding Program'!$P$49),'Bonding Program'!$O$49,0)-IF(AND('Bonding Program'!$R$49&lt;&gt;"",CX$3='Bonding Program'!$R$49),'Bonding Program'!$Q$49,0),0)</f>
        <v>0</v>
      </c>
      <c r="CY190" s="19" t="n">
        <f aca="false">IF(AND('Bonding Program'!$S$49=1,CY$3='Bonding Program'!$H$49),'Bonding Program'!$AA$49,0)-IF(CY$3&lt;='Bonding Program'!$C$8,IF(AND('Bonding Program'!$K$49&lt;&gt;"",CY$3='Bonding Program'!$K$49),'Bonding Program'!$J$49,0)-IF(AND('Bonding Program'!$M$49&lt;&gt;"",CY$3='Bonding Program'!$M$49),'Bonding Program'!$L$49,0)-IF(AND('Bonding Program'!$P$49&lt;&gt;"",CY$3='Bonding Program'!$P$49),'Bonding Program'!$O$49,0)-IF(AND('Bonding Program'!$R$49&lt;&gt;"",CY$3='Bonding Program'!$R$49),'Bonding Program'!$Q$49,0),0)</f>
        <v>0</v>
      </c>
      <c r="CZ190" s="19" t="n">
        <f aca="false">IF(AND('Bonding Program'!$S$49=1,CZ$3='Bonding Program'!$H$49),'Bonding Program'!$AA$49,0)-IF(CZ$3&lt;='Bonding Program'!$C$8,IF(AND('Bonding Program'!$K$49&lt;&gt;"",CZ$3='Bonding Program'!$K$49),'Bonding Program'!$J$49,0)-IF(AND('Bonding Program'!$M$49&lt;&gt;"",CZ$3='Bonding Program'!$M$49),'Bonding Program'!$L$49,0)-IF(AND('Bonding Program'!$P$49&lt;&gt;"",CZ$3='Bonding Program'!$P$49),'Bonding Program'!$O$49,0)-IF(AND('Bonding Program'!$R$49&lt;&gt;"",CZ$3='Bonding Program'!$R$49),'Bonding Program'!$Q$49,0),0)</f>
        <v>0</v>
      </c>
      <c r="DA190" s="19" t="n">
        <f aca="false">IF(AND('Bonding Program'!$S$49=1,DA$3='Bonding Program'!$H$49),'Bonding Program'!$AA$49,0)-IF(DA$3&lt;='Bonding Program'!$C$8,IF(AND('Bonding Program'!$K$49&lt;&gt;"",DA$3='Bonding Program'!$K$49),'Bonding Program'!$J$49,0)-IF(AND('Bonding Program'!$M$49&lt;&gt;"",DA$3='Bonding Program'!$M$49),'Bonding Program'!$L$49,0)-IF(AND('Bonding Program'!$P$49&lt;&gt;"",DA$3='Bonding Program'!$P$49),'Bonding Program'!$O$49,0)-IF(AND('Bonding Program'!$R$49&lt;&gt;"",DA$3='Bonding Program'!$R$49),'Bonding Program'!$Q$49,0),0)</f>
        <v>0</v>
      </c>
      <c r="DB190" s="19" t="n">
        <f aca="false">IF(AND('Bonding Program'!$S$49=1,DB$3='Bonding Program'!$H$49),'Bonding Program'!$AA$49,0)-IF(DB$3&lt;='Bonding Program'!$C$8,IF(AND('Bonding Program'!$K$49&lt;&gt;"",DB$3='Bonding Program'!$K$49),'Bonding Program'!$J$49,0)-IF(AND('Bonding Program'!$M$49&lt;&gt;"",DB$3='Bonding Program'!$M$49),'Bonding Program'!$L$49,0)-IF(AND('Bonding Program'!$P$49&lt;&gt;"",DB$3='Bonding Program'!$P$49),'Bonding Program'!$O$49,0)-IF(AND('Bonding Program'!$R$49&lt;&gt;"",DB$3='Bonding Program'!$R$49),'Bonding Program'!$Q$49,0),0)</f>
        <v>0</v>
      </c>
      <c r="DC190" s="19" t="n">
        <f aca="false">IF(AND('Bonding Program'!$S$49=1,DC$3='Bonding Program'!$H$49),'Bonding Program'!$AA$49,0)-IF(DC$3&lt;='Bonding Program'!$C$8,IF(AND('Bonding Program'!$K$49&lt;&gt;"",DC$3='Bonding Program'!$K$49),'Bonding Program'!$J$49,0)-IF(AND('Bonding Program'!$M$49&lt;&gt;"",DC$3='Bonding Program'!$M$49),'Bonding Program'!$L$49,0)-IF(AND('Bonding Program'!$P$49&lt;&gt;"",DC$3='Bonding Program'!$P$49),'Bonding Program'!$O$49,0)-IF(AND('Bonding Program'!$R$49&lt;&gt;"",DC$3='Bonding Program'!$R$49),'Bonding Program'!$Q$49,0),0)</f>
        <v>0</v>
      </c>
      <c r="DD190" s="19" t="n">
        <f aca="false">IF(AND('Bonding Program'!$S$49=1,DD$3='Bonding Program'!$H$49),'Bonding Program'!$AA$49,0)-IF(DD$3&lt;='Bonding Program'!$C$8,IF(AND('Bonding Program'!$K$49&lt;&gt;"",DD$3='Bonding Program'!$K$49),'Bonding Program'!$J$49,0)-IF(AND('Bonding Program'!$M$49&lt;&gt;"",DD$3='Bonding Program'!$M$49),'Bonding Program'!$L$49,0)-IF(AND('Bonding Program'!$P$49&lt;&gt;"",DD$3='Bonding Program'!$P$49),'Bonding Program'!$O$49,0)-IF(AND('Bonding Program'!$R$49&lt;&gt;"",DD$3='Bonding Program'!$R$49),'Bonding Program'!$Q$49,0),0)</f>
        <v>0</v>
      </c>
      <c r="DE190" s="19" t="n">
        <f aca="false">IF(AND('Bonding Program'!$S$49=1,DE$3='Bonding Program'!$H$49),'Bonding Program'!$AA$49,0)-IF(DE$3&lt;='Bonding Program'!$C$8,IF(AND('Bonding Program'!$K$49&lt;&gt;"",DE$3='Bonding Program'!$K$49),'Bonding Program'!$J$49,0)-IF(AND('Bonding Program'!$M$49&lt;&gt;"",DE$3='Bonding Program'!$M$49),'Bonding Program'!$L$49,0)-IF(AND('Bonding Program'!$P$49&lt;&gt;"",DE$3='Bonding Program'!$P$49),'Bonding Program'!$O$49,0)-IF(AND('Bonding Program'!$R$49&lt;&gt;"",DE$3='Bonding Program'!$R$49),'Bonding Program'!$Q$49,0),0)</f>
        <v>0</v>
      </c>
    </row>
    <row r="191" customFormat="false" ht="15" hidden="false" customHeight="true" outlineLevel="1" collapsed="false">
      <c r="A191" s="28" t="s">
        <v>46</v>
      </c>
      <c r="B191" s="19" t="n">
        <f aca="false">IF(AND('Bonding Program'!$S$50=1,B$3='Bonding Program'!$H$50),'Bonding Program'!$AA$50,0)-IF(B$3&lt;='Bonding Program'!$C$8,IF(AND('Bonding Program'!$K$50&lt;&gt;"",B$3='Bonding Program'!$K$50),'Bonding Program'!$J$50,0)-IF(AND('Bonding Program'!$M$50&lt;&gt;"",B$3='Bonding Program'!$M$50),'Bonding Program'!$L$50,0)-IF(AND('Bonding Program'!$P$50&lt;&gt;"",B$3='Bonding Program'!$P$50),'Bonding Program'!$O$50,0)-IF(AND('Bonding Program'!$R$50&lt;&gt;"",B$3='Bonding Program'!$R$50),'Bonding Program'!$Q$50,0),0)</f>
        <v>0</v>
      </c>
      <c r="C191" s="19" t="n">
        <f aca="false">IF(AND('Bonding Program'!$S$50=1,C$3='Bonding Program'!$H$50),'Bonding Program'!$AA$50,0)-IF(C$3&lt;='Bonding Program'!$C$8,IF(AND('Bonding Program'!$K$50&lt;&gt;"",C$3='Bonding Program'!$K$50),'Bonding Program'!$J$50,0)-IF(AND('Bonding Program'!$M$50&lt;&gt;"",C$3='Bonding Program'!$M$50),'Bonding Program'!$L$50,0)-IF(AND('Bonding Program'!$P$50&lt;&gt;"",C$3='Bonding Program'!$P$50),'Bonding Program'!$O$50,0)-IF(AND('Bonding Program'!$R$50&lt;&gt;"",C$3='Bonding Program'!$R$50),'Bonding Program'!$Q$50,0),0)</f>
        <v>0</v>
      </c>
      <c r="D191" s="19" t="n">
        <f aca="false">IF(AND('Bonding Program'!$S$50=1,D$3='Bonding Program'!$H$50),'Bonding Program'!$AA$50,0)-IF(D$3&lt;='Bonding Program'!$C$8,IF(AND('Bonding Program'!$K$50&lt;&gt;"",D$3='Bonding Program'!$K$50),'Bonding Program'!$J$50,0)-IF(AND('Bonding Program'!$M$50&lt;&gt;"",D$3='Bonding Program'!$M$50),'Bonding Program'!$L$50,0)-IF(AND('Bonding Program'!$P$50&lt;&gt;"",D$3='Bonding Program'!$P$50),'Bonding Program'!$O$50,0)-IF(AND('Bonding Program'!$R$50&lt;&gt;"",D$3='Bonding Program'!$R$50),'Bonding Program'!$Q$50,0),0)</f>
        <v>0</v>
      </c>
      <c r="E191" s="19" t="n">
        <f aca="false">IF(AND('Bonding Program'!$S$50=1,E$3='Bonding Program'!$H$50),'Bonding Program'!$AA$50,0)-IF(E$3&lt;='Bonding Program'!$C$8,IF(AND('Bonding Program'!$K$50&lt;&gt;"",E$3='Bonding Program'!$K$50),'Bonding Program'!$J$50,0)-IF(AND('Bonding Program'!$M$50&lt;&gt;"",E$3='Bonding Program'!$M$50),'Bonding Program'!$L$50,0)-IF(AND('Bonding Program'!$P$50&lt;&gt;"",E$3='Bonding Program'!$P$50),'Bonding Program'!$O$50,0)-IF(AND('Bonding Program'!$R$50&lt;&gt;"",E$3='Bonding Program'!$R$50),'Bonding Program'!$Q$50,0),0)</f>
        <v>0</v>
      </c>
      <c r="F191" s="19" t="n">
        <f aca="false">IF(AND('Bonding Program'!$S$50=1,F$3='Bonding Program'!$H$50),'Bonding Program'!$AA$50,0)-IF(F$3&lt;='Bonding Program'!$C$8,IF(AND('Bonding Program'!$K$50&lt;&gt;"",F$3='Bonding Program'!$K$50),'Bonding Program'!$J$50,0)-IF(AND('Bonding Program'!$M$50&lt;&gt;"",F$3='Bonding Program'!$M$50),'Bonding Program'!$L$50,0)-IF(AND('Bonding Program'!$P$50&lt;&gt;"",F$3='Bonding Program'!$P$50),'Bonding Program'!$O$50,0)-IF(AND('Bonding Program'!$R$50&lt;&gt;"",F$3='Bonding Program'!$R$50),'Bonding Program'!$Q$50,0),0)</f>
        <v>0</v>
      </c>
      <c r="G191" s="19" t="n">
        <f aca="false">IF(AND('Bonding Program'!$S$50=1,G$3='Bonding Program'!$H$50),'Bonding Program'!$AA$50,0)-IF(G$3&lt;='Bonding Program'!$C$8,IF(AND('Bonding Program'!$K$50&lt;&gt;"",G$3='Bonding Program'!$K$50),'Bonding Program'!$J$50,0)-IF(AND('Bonding Program'!$M$50&lt;&gt;"",G$3='Bonding Program'!$M$50),'Bonding Program'!$L$50,0)-IF(AND('Bonding Program'!$P$50&lt;&gt;"",G$3='Bonding Program'!$P$50),'Bonding Program'!$O$50,0)-IF(AND('Bonding Program'!$R$50&lt;&gt;"",G$3='Bonding Program'!$R$50),'Bonding Program'!$Q$50,0),0)</f>
        <v>0</v>
      </c>
      <c r="H191" s="19" t="n">
        <f aca="false">IF(AND('Bonding Program'!$S$50=1,H$3='Bonding Program'!$H$50),'Bonding Program'!$AA$50,0)-IF(H$3&lt;='Bonding Program'!$C$8,IF(AND('Bonding Program'!$K$50&lt;&gt;"",H$3='Bonding Program'!$K$50),'Bonding Program'!$J$50,0)-IF(AND('Bonding Program'!$M$50&lt;&gt;"",H$3='Bonding Program'!$M$50),'Bonding Program'!$L$50,0)-IF(AND('Bonding Program'!$P$50&lt;&gt;"",H$3='Bonding Program'!$P$50),'Bonding Program'!$O$50,0)-IF(AND('Bonding Program'!$R$50&lt;&gt;"",H$3='Bonding Program'!$R$50),'Bonding Program'!$Q$50,0),0)</f>
        <v>0</v>
      </c>
      <c r="I191" s="19" t="n">
        <f aca="false">IF(AND('Bonding Program'!$S$50=1,I$3='Bonding Program'!$H$50),'Bonding Program'!$AA$50,0)-IF(I$3&lt;='Bonding Program'!$C$8,IF(AND('Bonding Program'!$K$50&lt;&gt;"",I$3='Bonding Program'!$K$50),'Bonding Program'!$J$50,0)-IF(AND('Bonding Program'!$M$50&lt;&gt;"",I$3='Bonding Program'!$M$50),'Bonding Program'!$L$50,0)-IF(AND('Bonding Program'!$P$50&lt;&gt;"",I$3='Bonding Program'!$P$50),'Bonding Program'!$O$50,0)-IF(AND('Bonding Program'!$R$50&lt;&gt;"",I$3='Bonding Program'!$R$50),'Bonding Program'!$Q$50,0),0)</f>
        <v>0</v>
      </c>
      <c r="J191" s="19" t="n">
        <f aca="false">IF(AND('Bonding Program'!$S$50=1,J$3='Bonding Program'!$H$50),'Bonding Program'!$AA$50,0)-IF(J$3&lt;='Bonding Program'!$C$8,IF(AND('Bonding Program'!$K$50&lt;&gt;"",J$3='Bonding Program'!$K$50),'Bonding Program'!$J$50,0)-IF(AND('Bonding Program'!$M$50&lt;&gt;"",J$3='Bonding Program'!$M$50),'Bonding Program'!$L$50,0)-IF(AND('Bonding Program'!$P$50&lt;&gt;"",J$3='Bonding Program'!$P$50),'Bonding Program'!$O$50,0)-IF(AND('Bonding Program'!$R$50&lt;&gt;"",J$3='Bonding Program'!$R$50),'Bonding Program'!$Q$50,0),0)</f>
        <v>0</v>
      </c>
      <c r="K191" s="19" t="n">
        <f aca="false">IF(AND('Bonding Program'!$S$50=1,K$3='Bonding Program'!$H$50),'Bonding Program'!$AA$50,0)-IF(K$3&lt;='Bonding Program'!$C$8,IF(AND('Bonding Program'!$K$50&lt;&gt;"",K$3='Bonding Program'!$K$50),'Bonding Program'!$J$50,0)-IF(AND('Bonding Program'!$M$50&lt;&gt;"",K$3='Bonding Program'!$M$50),'Bonding Program'!$L$50,0)-IF(AND('Bonding Program'!$P$50&lt;&gt;"",K$3='Bonding Program'!$P$50),'Bonding Program'!$O$50,0)-IF(AND('Bonding Program'!$R$50&lt;&gt;"",K$3='Bonding Program'!$R$50),'Bonding Program'!$Q$50,0),0)</f>
        <v>0</v>
      </c>
      <c r="L191" s="19" t="n">
        <f aca="false">IF(AND('Bonding Program'!$S$50=1,L$3='Bonding Program'!$H$50),'Bonding Program'!$AA$50,0)-IF(L$3&lt;='Bonding Program'!$C$8,IF(AND('Bonding Program'!$K$50&lt;&gt;"",L$3='Bonding Program'!$K$50),'Bonding Program'!$J$50,0)-IF(AND('Bonding Program'!$M$50&lt;&gt;"",L$3='Bonding Program'!$M$50),'Bonding Program'!$L$50,0)-IF(AND('Bonding Program'!$P$50&lt;&gt;"",L$3='Bonding Program'!$P$50),'Bonding Program'!$O$50,0)-IF(AND('Bonding Program'!$R$50&lt;&gt;"",L$3='Bonding Program'!$R$50),'Bonding Program'!$Q$50,0),0)</f>
        <v>0</v>
      </c>
      <c r="M191" s="19" t="n">
        <f aca="false">IF(AND('Bonding Program'!$S$50=1,M$3='Bonding Program'!$H$50),'Bonding Program'!$AA$50,0)-IF(M$3&lt;='Bonding Program'!$C$8,IF(AND('Bonding Program'!$K$50&lt;&gt;"",M$3='Bonding Program'!$K$50),'Bonding Program'!$J$50,0)-IF(AND('Bonding Program'!$M$50&lt;&gt;"",M$3='Bonding Program'!$M$50),'Bonding Program'!$L$50,0)-IF(AND('Bonding Program'!$P$50&lt;&gt;"",M$3='Bonding Program'!$P$50),'Bonding Program'!$O$50,0)-IF(AND('Bonding Program'!$R$50&lt;&gt;"",M$3='Bonding Program'!$R$50),'Bonding Program'!$Q$50,0),0)</f>
        <v>0</v>
      </c>
      <c r="N191" s="19" t="n">
        <f aca="false">IF(AND('Bonding Program'!$S$50=1,N$3='Bonding Program'!$H$50),'Bonding Program'!$AA$50,0)-IF(N$3&lt;='Bonding Program'!$C$8,IF(AND('Bonding Program'!$K$50&lt;&gt;"",N$3='Bonding Program'!$K$50),'Bonding Program'!$J$50,0)-IF(AND('Bonding Program'!$M$50&lt;&gt;"",N$3='Bonding Program'!$M$50),'Bonding Program'!$L$50,0)-IF(AND('Bonding Program'!$P$50&lt;&gt;"",N$3='Bonding Program'!$P$50),'Bonding Program'!$O$50,0)-IF(AND('Bonding Program'!$R$50&lt;&gt;"",N$3='Bonding Program'!$R$50),'Bonding Program'!$Q$50,0),0)</f>
        <v>0</v>
      </c>
      <c r="O191" s="19" t="n">
        <f aca="false">IF(AND('Bonding Program'!$S$50=1,O$3='Bonding Program'!$H$50),'Bonding Program'!$AA$50,0)-IF(O$3&lt;='Bonding Program'!$C$8,IF(AND('Bonding Program'!$K$50&lt;&gt;"",O$3='Bonding Program'!$K$50),'Bonding Program'!$J$50,0)-IF(AND('Bonding Program'!$M$50&lt;&gt;"",O$3='Bonding Program'!$M$50),'Bonding Program'!$L$50,0)-IF(AND('Bonding Program'!$P$50&lt;&gt;"",O$3='Bonding Program'!$P$50),'Bonding Program'!$O$50,0)-IF(AND('Bonding Program'!$R$50&lt;&gt;"",O$3='Bonding Program'!$R$50),'Bonding Program'!$Q$50,0),0)</f>
        <v>0</v>
      </c>
      <c r="P191" s="19" t="n">
        <f aca="false">IF(AND('Bonding Program'!$S$50=1,P$3='Bonding Program'!$H$50),'Bonding Program'!$AA$50,0)-IF(P$3&lt;='Bonding Program'!$C$8,IF(AND('Bonding Program'!$K$50&lt;&gt;"",P$3='Bonding Program'!$K$50),'Bonding Program'!$J$50,0)-IF(AND('Bonding Program'!$M$50&lt;&gt;"",P$3='Bonding Program'!$M$50),'Bonding Program'!$L$50,0)-IF(AND('Bonding Program'!$P$50&lt;&gt;"",P$3='Bonding Program'!$P$50),'Bonding Program'!$O$50,0)-IF(AND('Bonding Program'!$R$50&lt;&gt;"",P$3='Bonding Program'!$R$50),'Bonding Program'!$Q$50,0),0)</f>
        <v>0</v>
      </c>
      <c r="Q191" s="19" t="n">
        <f aca="false">IF(AND('Bonding Program'!$S$50=1,Q$3='Bonding Program'!$H$50),'Bonding Program'!$AA$50,0)-IF(Q$3&lt;='Bonding Program'!$C$8,IF(AND('Bonding Program'!$K$50&lt;&gt;"",Q$3='Bonding Program'!$K$50),'Bonding Program'!$J$50,0)-IF(AND('Bonding Program'!$M$50&lt;&gt;"",Q$3='Bonding Program'!$M$50),'Bonding Program'!$L$50,0)-IF(AND('Bonding Program'!$P$50&lt;&gt;"",Q$3='Bonding Program'!$P$50),'Bonding Program'!$O$50,0)-IF(AND('Bonding Program'!$R$50&lt;&gt;"",Q$3='Bonding Program'!$R$50),'Bonding Program'!$Q$50,0),0)</f>
        <v>0</v>
      </c>
      <c r="R191" s="19" t="n">
        <f aca="false">IF(AND('Bonding Program'!$S$50=1,R$3='Bonding Program'!$H$50),'Bonding Program'!$AA$50,0)-IF(R$3&lt;='Bonding Program'!$C$8,IF(AND('Bonding Program'!$K$50&lt;&gt;"",R$3='Bonding Program'!$K$50),'Bonding Program'!$J$50,0)-IF(AND('Bonding Program'!$M$50&lt;&gt;"",R$3='Bonding Program'!$M$50),'Bonding Program'!$L$50,0)-IF(AND('Bonding Program'!$P$50&lt;&gt;"",R$3='Bonding Program'!$P$50),'Bonding Program'!$O$50,0)-IF(AND('Bonding Program'!$R$50&lt;&gt;"",R$3='Bonding Program'!$R$50),'Bonding Program'!$Q$50,0),0)</f>
        <v>0</v>
      </c>
      <c r="S191" s="19" t="n">
        <f aca="false">IF(AND('Bonding Program'!$S$50=1,S$3='Bonding Program'!$H$50),'Bonding Program'!$AA$50,0)-IF(S$3&lt;='Bonding Program'!$C$8,IF(AND('Bonding Program'!$K$50&lt;&gt;"",S$3='Bonding Program'!$K$50),'Bonding Program'!$J$50,0)-IF(AND('Bonding Program'!$M$50&lt;&gt;"",S$3='Bonding Program'!$M$50),'Bonding Program'!$L$50,0)-IF(AND('Bonding Program'!$P$50&lt;&gt;"",S$3='Bonding Program'!$P$50),'Bonding Program'!$O$50,0)-IF(AND('Bonding Program'!$R$50&lt;&gt;"",S$3='Bonding Program'!$R$50),'Bonding Program'!$Q$50,0),0)</f>
        <v>0</v>
      </c>
      <c r="T191" s="19" t="n">
        <f aca="false">IF(AND('Bonding Program'!$S$50=1,T$3='Bonding Program'!$H$50),'Bonding Program'!$AA$50,0)-IF(T$3&lt;='Bonding Program'!$C$8,IF(AND('Bonding Program'!$K$50&lt;&gt;"",T$3='Bonding Program'!$K$50),'Bonding Program'!$J$50,0)-IF(AND('Bonding Program'!$M$50&lt;&gt;"",T$3='Bonding Program'!$M$50),'Bonding Program'!$L$50,0)-IF(AND('Bonding Program'!$P$50&lt;&gt;"",T$3='Bonding Program'!$P$50),'Bonding Program'!$O$50,0)-IF(AND('Bonding Program'!$R$50&lt;&gt;"",T$3='Bonding Program'!$R$50),'Bonding Program'!$Q$50,0),0)</f>
        <v>0</v>
      </c>
      <c r="U191" s="19" t="n">
        <f aca="false">IF(AND('Bonding Program'!$S$50=1,U$3='Bonding Program'!$H$50),'Bonding Program'!$AA$50,0)-IF(U$3&lt;='Bonding Program'!$C$8,IF(AND('Bonding Program'!$K$50&lt;&gt;"",U$3='Bonding Program'!$K$50),'Bonding Program'!$J$50,0)-IF(AND('Bonding Program'!$M$50&lt;&gt;"",U$3='Bonding Program'!$M$50),'Bonding Program'!$L$50,0)-IF(AND('Bonding Program'!$P$50&lt;&gt;"",U$3='Bonding Program'!$P$50),'Bonding Program'!$O$50,0)-IF(AND('Bonding Program'!$R$50&lt;&gt;"",U$3='Bonding Program'!$R$50),'Bonding Program'!$Q$50,0),0)</f>
        <v>0</v>
      </c>
      <c r="V191" s="19" t="n">
        <f aca="false">IF(AND('Bonding Program'!$S$50=1,V$3='Bonding Program'!$H$50),'Bonding Program'!$AA$50,0)-IF(V$3&lt;='Bonding Program'!$C$8,IF(AND('Bonding Program'!$K$50&lt;&gt;"",V$3='Bonding Program'!$K$50),'Bonding Program'!$J$50,0)-IF(AND('Bonding Program'!$M$50&lt;&gt;"",V$3='Bonding Program'!$M$50),'Bonding Program'!$L$50,0)-IF(AND('Bonding Program'!$P$50&lt;&gt;"",V$3='Bonding Program'!$P$50),'Bonding Program'!$O$50,0)-IF(AND('Bonding Program'!$R$50&lt;&gt;"",V$3='Bonding Program'!$R$50),'Bonding Program'!$Q$50,0),0)</f>
        <v>0</v>
      </c>
      <c r="W191" s="19" t="n">
        <f aca="false">IF(AND('Bonding Program'!$S$50=1,W$3='Bonding Program'!$H$50),'Bonding Program'!$AA$50,0)-IF(W$3&lt;='Bonding Program'!$C$8,IF(AND('Bonding Program'!$K$50&lt;&gt;"",W$3='Bonding Program'!$K$50),'Bonding Program'!$J$50,0)-IF(AND('Bonding Program'!$M$50&lt;&gt;"",W$3='Bonding Program'!$M$50),'Bonding Program'!$L$50,0)-IF(AND('Bonding Program'!$P$50&lt;&gt;"",W$3='Bonding Program'!$P$50),'Bonding Program'!$O$50,0)-IF(AND('Bonding Program'!$R$50&lt;&gt;"",W$3='Bonding Program'!$R$50),'Bonding Program'!$Q$50,0),0)</f>
        <v>0</v>
      </c>
      <c r="X191" s="19" t="n">
        <f aca="false">IF(AND('Bonding Program'!$S$50=1,X$3='Bonding Program'!$H$50),'Bonding Program'!$AA$50,0)-IF(X$3&lt;='Bonding Program'!$C$8,IF(AND('Bonding Program'!$K$50&lt;&gt;"",X$3='Bonding Program'!$K$50),'Bonding Program'!$J$50,0)-IF(AND('Bonding Program'!$M$50&lt;&gt;"",X$3='Bonding Program'!$M$50),'Bonding Program'!$L$50,0)-IF(AND('Bonding Program'!$P$50&lt;&gt;"",X$3='Bonding Program'!$P$50),'Bonding Program'!$O$50,0)-IF(AND('Bonding Program'!$R$50&lt;&gt;"",X$3='Bonding Program'!$R$50),'Bonding Program'!$Q$50,0),0)</f>
        <v>0</v>
      </c>
      <c r="Y191" s="19" t="n">
        <f aca="false">IF(AND('Bonding Program'!$S$50=1,Y$3='Bonding Program'!$H$50),'Bonding Program'!$AA$50,0)-IF(Y$3&lt;='Bonding Program'!$C$8,IF(AND('Bonding Program'!$K$50&lt;&gt;"",Y$3='Bonding Program'!$K$50),'Bonding Program'!$J$50,0)-IF(AND('Bonding Program'!$M$50&lt;&gt;"",Y$3='Bonding Program'!$M$50),'Bonding Program'!$L$50,0)-IF(AND('Bonding Program'!$P$50&lt;&gt;"",Y$3='Bonding Program'!$P$50),'Bonding Program'!$O$50,0)-IF(AND('Bonding Program'!$R$50&lt;&gt;"",Y$3='Bonding Program'!$R$50),'Bonding Program'!$Q$50,0),0)</f>
        <v>0</v>
      </c>
      <c r="Z191" s="19" t="n">
        <f aca="false">IF(AND('Bonding Program'!$S$50=1,Z$3='Bonding Program'!$H$50),'Bonding Program'!$AA$50,0)-IF(Z$3&lt;='Bonding Program'!$C$8,IF(AND('Bonding Program'!$K$50&lt;&gt;"",Z$3='Bonding Program'!$K$50),'Bonding Program'!$J$50,0)-IF(AND('Bonding Program'!$M$50&lt;&gt;"",Z$3='Bonding Program'!$M$50),'Bonding Program'!$L$50,0)-IF(AND('Bonding Program'!$P$50&lt;&gt;"",Z$3='Bonding Program'!$P$50),'Bonding Program'!$O$50,0)-IF(AND('Bonding Program'!$R$50&lt;&gt;"",Z$3='Bonding Program'!$R$50),'Bonding Program'!$Q$50,0),0)</f>
        <v>0</v>
      </c>
      <c r="AA191" s="19" t="n">
        <f aca="false">IF(AND('Bonding Program'!$S$50=1,AA$3='Bonding Program'!$H$50),'Bonding Program'!$AA$50,0)-IF(AA$3&lt;='Bonding Program'!$C$8,IF(AND('Bonding Program'!$K$50&lt;&gt;"",AA$3='Bonding Program'!$K$50),'Bonding Program'!$J$50,0)-IF(AND('Bonding Program'!$M$50&lt;&gt;"",AA$3='Bonding Program'!$M$50),'Bonding Program'!$L$50,0)-IF(AND('Bonding Program'!$P$50&lt;&gt;"",AA$3='Bonding Program'!$P$50),'Bonding Program'!$O$50,0)-IF(AND('Bonding Program'!$R$50&lt;&gt;"",AA$3='Bonding Program'!$R$50),'Bonding Program'!$Q$50,0),0)</f>
        <v>0</v>
      </c>
      <c r="AB191" s="19" t="n">
        <f aca="false">IF(AND('Bonding Program'!$S$50=1,AB$3='Bonding Program'!$H$50),'Bonding Program'!$AA$50,0)-IF(AB$3&lt;='Bonding Program'!$C$8,IF(AND('Bonding Program'!$K$50&lt;&gt;"",AB$3='Bonding Program'!$K$50),'Bonding Program'!$J$50,0)-IF(AND('Bonding Program'!$M$50&lt;&gt;"",AB$3='Bonding Program'!$M$50),'Bonding Program'!$L$50,0)-IF(AND('Bonding Program'!$P$50&lt;&gt;"",AB$3='Bonding Program'!$P$50),'Bonding Program'!$O$50,0)-IF(AND('Bonding Program'!$R$50&lt;&gt;"",AB$3='Bonding Program'!$R$50),'Bonding Program'!$Q$50,0),0)</f>
        <v>0</v>
      </c>
      <c r="AC191" s="19" t="n">
        <f aca="false">IF(AND('Bonding Program'!$S$50=1,AC$3='Bonding Program'!$H$50),'Bonding Program'!$AA$50,0)-IF(AC$3&lt;='Bonding Program'!$C$8,IF(AND('Bonding Program'!$K$50&lt;&gt;"",AC$3='Bonding Program'!$K$50),'Bonding Program'!$J$50,0)-IF(AND('Bonding Program'!$M$50&lt;&gt;"",AC$3='Bonding Program'!$M$50),'Bonding Program'!$L$50,0)-IF(AND('Bonding Program'!$P$50&lt;&gt;"",AC$3='Bonding Program'!$P$50),'Bonding Program'!$O$50,0)-IF(AND('Bonding Program'!$R$50&lt;&gt;"",AC$3='Bonding Program'!$R$50),'Bonding Program'!$Q$50,0),0)</f>
        <v>0</v>
      </c>
      <c r="AD191" s="19" t="n">
        <f aca="false">IF(AND('Bonding Program'!$S$50=1,AD$3='Bonding Program'!$H$50),'Bonding Program'!$AA$50,0)-IF(AD$3&lt;='Bonding Program'!$C$8,IF(AND('Bonding Program'!$K$50&lt;&gt;"",AD$3='Bonding Program'!$K$50),'Bonding Program'!$J$50,0)-IF(AND('Bonding Program'!$M$50&lt;&gt;"",AD$3='Bonding Program'!$M$50),'Bonding Program'!$L$50,0)-IF(AND('Bonding Program'!$P$50&lt;&gt;"",AD$3='Bonding Program'!$P$50),'Bonding Program'!$O$50,0)-IF(AND('Bonding Program'!$R$50&lt;&gt;"",AD$3='Bonding Program'!$R$50),'Bonding Program'!$Q$50,0),0)</f>
        <v>0</v>
      </c>
      <c r="AE191" s="19" t="n">
        <f aca="false">IF(AND('Bonding Program'!$S$50=1,AE$3='Bonding Program'!$H$50),'Bonding Program'!$AA$50,0)-IF(AE$3&lt;='Bonding Program'!$C$8,IF(AND('Bonding Program'!$K$50&lt;&gt;"",AE$3='Bonding Program'!$K$50),'Bonding Program'!$J$50,0)-IF(AND('Bonding Program'!$M$50&lt;&gt;"",AE$3='Bonding Program'!$M$50),'Bonding Program'!$L$50,0)-IF(AND('Bonding Program'!$P$50&lt;&gt;"",AE$3='Bonding Program'!$P$50),'Bonding Program'!$O$50,0)-IF(AND('Bonding Program'!$R$50&lt;&gt;"",AE$3='Bonding Program'!$R$50),'Bonding Program'!$Q$50,0),0)</f>
        <v>0</v>
      </c>
      <c r="AF191" s="19" t="n">
        <f aca="false">IF(AND('Bonding Program'!$S$50=1,AF$3='Bonding Program'!$H$50),'Bonding Program'!$AA$50,0)-IF(AF$3&lt;='Bonding Program'!$C$8,IF(AND('Bonding Program'!$K$50&lt;&gt;"",AF$3='Bonding Program'!$K$50),'Bonding Program'!$J$50,0)-IF(AND('Bonding Program'!$M$50&lt;&gt;"",AF$3='Bonding Program'!$M$50),'Bonding Program'!$L$50,0)-IF(AND('Bonding Program'!$P$50&lt;&gt;"",AF$3='Bonding Program'!$P$50),'Bonding Program'!$O$50,0)-IF(AND('Bonding Program'!$R$50&lt;&gt;"",AF$3='Bonding Program'!$R$50),'Bonding Program'!$Q$50,0),0)</f>
        <v>0</v>
      </c>
      <c r="AG191" s="19" t="n">
        <f aca="false">IF(AND('Bonding Program'!$S$50=1,AG$3='Bonding Program'!$H$50),'Bonding Program'!$AA$50,0)-IF(AG$3&lt;='Bonding Program'!$C$8,IF(AND('Bonding Program'!$K$50&lt;&gt;"",AG$3='Bonding Program'!$K$50),'Bonding Program'!$J$50,0)-IF(AND('Bonding Program'!$M$50&lt;&gt;"",AG$3='Bonding Program'!$M$50),'Bonding Program'!$L$50,0)-IF(AND('Bonding Program'!$P$50&lt;&gt;"",AG$3='Bonding Program'!$P$50),'Bonding Program'!$O$50,0)-IF(AND('Bonding Program'!$R$50&lt;&gt;"",AG$3='Bonding Program'!$R$50),'Bonding Program'!$Q$50,0),0)</f>
        <v>0</v>
      </c>
      <c r="AH191" s="19" t="n">
        <f aca="false">IF(AND('Bonding Program'!$S$50=1,AH$3='Bonding Program'!$H$50),'Bonding Program'!$AA$50,0)-IF(AH$3&lt;='Bonding Program'!$C$8,IF(AND('Bonding Program'!$K$50&lt;&gt;"",AH$3='Bonding Program'!$K$50),'Bonding Program'!$J$50,0)-IF(AND('Bonding Program'!$M$50&lt;&gt;"",AH$3='Bonding Program'!$M$50),'Bonding Program'!$L$50,0)-IF(AND('Bonding Program'!$P$50&lt;&gt;"",AH$3='Bonding Program'!$P$50),'Bonding Program'!$O$50,0)-IF(AND('Bonding Program'!$R$50&lt;&gt;"",AH$3='Bonding Program'!$R$50),'Bonding Program'!$Q$50,0),0)</f>
        <v>0</v>
      </c>
      <c r="AI191" s="19" t="n">
        <f aca="false">IF(AND('Bonding Program'!$S$50=1,AI$3='Bonding Program'!$H$50),'Bonding Program'!$AA$50,0)-IF(AI$3&lt;='Bonding Program'!$C$8,IF(AND('Bonding Program'!$K$50&lt;&gt;"",AI$3='Bonding Program'!$K$50),'Bonding Program'!$J$50,0)-IF(AND('Bonding Program'!$M$50&lt;&gt;"",AI$3='Bonding Program'!$M$50),'Bonding Program'!$L$50,0)-IF(AND('Bonding Program'!$P$50&lt;&gt;"",AI$3='Bonding Program'!$P$50),'Bonding Program'!$O$50,0)-IF(AND('Bonding Program'!$R$50&lt;&gt;"",AI$3='Bonding Program'!$R$50),'Bonding Program'!$Q$50,0),0)</f>
        <v>0</v>
      </c>
      <c r="AJ191" s="19" t="n">
        <f aca="false">IF(AND('Bonding Program'!$S$50=1,AJ$3='Bonding Program'!$H$50),'Bonding Program'!$AA$50,0)-IF(AJ$3&lt;='Bonding Program'!$C$8,IF(AND('Bonding Program'!$K$50&lt;&gt;"",AJ$3='Bonding Program'!$K$50),'Bonding Program'!$J$50,0)-IF(AND('Bonding Program'!$M$50&lt;&gt;"",AJ$3='Bonding Program'!$M$50),'Bonding Program'!$L$50,0)-IF(AND('Bonding Program'!$P$50&lt;&gt;"",AJ$3='Bonding Program'!$P$50),'Bonding Program'!$O$50,0)-IF(AND('Bonding Program'!$R$50&lt;&gt;"",AJ$3='Bonding Program'!$R$50),'Bonding Program'!$Q$50,0),0)</f>
        <v>0</v>
      </c>
      <c r="AK191" s="19" t="n">
        <f aca="false">IF(AND('Bonding Program'!$S$50=1,AK$3='Bonding Program'!$H$50),'Bonding Program'!$AA$50,0)-IF(AK$3&lt;='Bonding Program'!$C$8,IF(AND('Bonding Program'!$K$50&lt;&gt;"",AK$3='Bonding Program'!$K$50),'Bonding Program'!$J$50,0)-IF(AND('Bonding Program'!$M$50&lt;&gt;"",AK$3='Bonding Program'!$M$50),'Bonding Program'!$L$50,0)-IF(AND('Bonding Program'!$P$50&lt;&gt;"",AK$3='Bonding Program'!$P$50),'Bonding Program'!$O$50,0)-IF(AND('Bonding Program'!$R$50&lt;&gt;"",AK$3='Bonding Program'!$R$50),'Bonding Program'!$Q$50,0),0)</f>
        <v>0</v>
      </c>
      <c r="AL191" s="19" t="n">
        <f aca="false">IF(AND('Bonding Program'!$S$50=1,AL$3='Bonding Program'!$H$50),'Bonding Program'!$AA$50,0)-IF(AL$3&lt;='Bonding Program'!$C$8,IF(AND('Bonding Program'!$K$50&lt;&gt;"",AL$3='Bonding Program'!$K$50),'Bonding Program'!$J$50,0)-IF(AND('Bonding Program'!$M$50&lt;&gt;"",AL$3='Bonding Program'!$M$50),'Bonding Program'!$L$50,0)-IF(AND('Bonding Program'!$P$50&lt;&gt;"",AL$3='Bonding Program'!$P$50),'Bonding Program'!$O$50,0)-IF(AND('Bonding Program'!$R$50&lt;&gt;"",AL$3='Bonding Program'!$R$50),'Bonding Program'!$Q$50,0),0)</f>
        <v>0</v>
      </c>
      <c r="AM191" s="19" t="n">
        <f aca="false">IF(AND('Bonding Program'!$S$50=1,AM$3='Bonding Program'!$H$50),'Bonding Program'!$AA$50,0)-IF(AM$3&lt;='Bonding Program'!$C$8,IF(AND('Bonding Program'!$K$50&lt;&gt;"",AM$3='Bonding Program'!$K$50),'Bonding Program'!$J$50,0)-IF(AND('Bonding Program'!$M$50&lt;&gt;"",AM$3='Bonding Program'!$M$50),'Bonding Program'!$L$50,0)-IF(AND('Bonding Program'!$P$50&lt;&gt;"",AM$3='Bonding Program'!$P$50),'Bonding Program'!$O$50,0)-IF(AND('Bonding Program'!$R$50&lt;&gt;"",AM$3='Bonding Program'!$R$50),'Bonding Program'!$Q$50,0),0)</f>
        <v>0</v>
      </c>
      <c r="AN191" s="19" t="n">
        <f aca="false">IF(AND('Bonding Program'!$S$50=1,AN$3='Bonding Program'!$H$50),'Bonding Program'!$AA$50,0)-IF(AN$3&lt;='Bonding Program'!$C$8,IF(AND('Bonding Program'!$K$50&lt;&gt;"",AN$3='Bonding Program'!$K$50),'Bonding Program'!$J$50,0)-IF(AND('Bonding Program'!$M$50&lt;&gt;"",AN$3='Bonding Program'!$M$50),'Bonding Program'!$L$50,0)-IF(AND('Bonding Program'!$P$50&lt;&gt;"",AN$3='Bonding Program'!$P$50),'Bonding Program'!$O$50,0)-IF(AND('Bonding Program'!$R$50&lt;&gt;"",AN$3='Bonding Program'!$R$50),'Bonding Program'!$Q$50,0),0)</f>
        <v>0</v>
      </c>
      <c r="AO191" s="19" t="n">
        <f aca="false">IF(AND('Bonding Program'!$S$50=1,AO$3='Bonding Program'!$H$50),'Bonding Program'!$AA$50,0)-IF(AO$3&lt;='Bonding Program'!$C$8,IF(AND('Bonding Program'!$K$50&lt;&gt;"",AO$3='Bonding Program'!$K$50),'Bonding Program'!$J$50,0)-IF(AND('Bonding Program'!$M$50&lt;&gt;"",AO$3='Bonding Program'!$M$50),'Bonding Program'!$L$50,0)-IF(AND('Bonding Program'!$P$50&lt;&gt;"",AO$3='Bonding Program'!$P$50),'Bonding Program'!$O$50,0)-IF(AND('Bonding Program'!$R$50&lt;&gt;"",AO$3='Bonding Program'!$R$50),'Bonding Program'!$Q$50,0),0)</f>
        <v>0</v>
      </c>
      <c r="AP191" s="19" t="n">
        <f aca="false">IF(AND('Bonding Program'!$S$50=1,AP$3='Bonding Program'!$H$50),'Bonding Program'!$AA$50,0)-IF(AP$3&lt;='Bonding Program'!$C$8,IF(AND('Bonding Program'!$K$50&lt;&gt;"",AP$3='Bonding Program'!$K$50),'Bonding Program'!$J$50,0)-IF(AND('Bonding Program'!$M$50&lt;&gt;"",AP$3='Bonding Program'!$M$50),'Bonding Program'!$L$50,0)-IF(AND('Bonding Program'!$P$50&lt;&gt;"",AP$3='Bonding Program'!$P$50),'Bonding Program'!$O$50,0)-IF(AND('Bonding Program'!$R$50&lt;&gt;"",AP$3='Bonding Program'!$R$50),'Bonding Program'!$Q$50,0),0)</f>
        <v>0</v>
      </c>
      <c r="AQ191" s="19" t="n">
        <f aca="false">IF(AND('Bonding Program'!$S$50=1,AQ$3='Bonding Program'!$H$50),'Bonding Program'!$AA$50,0)-IF(AQ$3&lt;='Bonding Program'!$C$8,IF(AND('Bonding Program'!$K$50&lt;&gt;"",AQ$3='Bonding Program'!$K$50),'Bonding Program'!$J$50,0)-IF(AND('Bonding Program'!$M$50&lt;&gt;"",AQ$3='Bonding Program'!$M$50),'Bonding Program'!$L$50,0)-IF(AND('Bonding Program'!$P$50&lt;&gt;"",AQ$3='Bonding Program'!$P$50),'Bonding Program'!$O$50,0)-IF(AND('Bonding Program'!$R$50&lt;&gt;"",AQ$3='Bonding Program'!$R$50),'Bonding Program'!$Q$50,0),0)</f>
        <v>0</v>
      </c>
      <c r="AR191" s="19" t="n">
        <f aca="false">IF(AND('Bonding Program'!$S$50=1,AR$3='Bonding Program'!$H$50),'Bonding Program'!$AA$50,0)-IF(AR$3&lt;='Bonding Program'!$C$8,IF(AND('Bonding Program'!$K$50&lt;&gt;"",AR$3='Bonding Program'!$K$50),'Bonding Program'!$J$50,0)-IF(AND('Bonding Program'!$M$50&lt;&gt;"",AR$3='Bonding Program'!$M$50),'Bonding Program'!$L$50,0)-IF(AND('Bonding Program'!$P$50&lt;&gt;"",AR$3='Bonding Program'!$P$50),'Bonding Program'!$O$50,0)-IF(AND('Bonding Program'!$R$50&lt;&gt;"",AR$3='Bonding Program'!$R$50),'Bonding Program'!$Q$50,0),0)</f>
        <v>0</v>
      </c>
      <c r="AS191" s="19" t="n">
        <f aca="false">IF(AND('Bonding Program'!$S$50=1,AS$3='Bonding Program'!$H$50),'Bonding Program'!$AA$50,0)-IF(AS$3&lt;='Bonding Program'!$C$8,IF(AND('Bonding Program'!$K$50&lt;&gt;"",AS$3='Bonding Program'!$K$50),'Bonding Program'!$J$50,0)-IF(AND('Bonding Program'!$M$50&lt;&gt;"",AS$3='Bonding Program'!$M$50),'Bonding Program'!$L$50,0)-IF(AND('Bonding Program'!$P$50&lt;&gt;"",AS$3='Bonding Program'!$P$50),'Bonding Program'!$O$50,0)-IF(AND('Bonding Program'!$R$50&lt;&gt;"",AS$3='Bonding Program'!$R$50),'Bonding Program'!$Q$50,0),0)</f>
        <v>0</v>
      </c>
      <c r="AT191" s="19" t="n">
        <f aca="false">IF(AND('Bonding Program'!$S$50=1,AT$3='Bonding Program'!$H$50),'Bonding Program'!$AA$50,0)-IF(AT$3&lt;='Bonding Program'!$C$8,IF(AND('Bonding Program'!$K$50&lt;&gt;"",AT$3='Bonding Program'!$K$50),'Bonding Program'!$J$50,0)-IF(AND('Bonding Program'!$M$50&lt;&gt;"",AT$3='Bonding Program'!$M$50),'Bonding Program'!$L$50,0)-IF(AND('Bonding Program'!$P$50&lt;&gt;"",AT$3='Bonding Program'!$P$50),'Bonding Program'!$O$50,0)-IF(AND('Bonding Program'!$R$50&lt;&gt;"",AT$3='Bonding Program'!$R$50),'Bonding Program'!$Q$50,0),0)</f>
        <v>0</v>
      </c>
      <c r="AU191" s="19" t="n">
        <f aca="false">IF(AND('Bonding Program'!$S$50=1,AU$3='Bonding Program'!$H$50),'Bonding Program'!$AA$50,0)-IF(AU$3&lt;='Bonding Program'!$C$8,IF(AND('Bonding Program'!$K$50&lt;&gt;"",AU$3='Bonding Program'!$K$50),'Bonding Program'!$J$50,0)-IF(AND('Bonding Program'!$M$50&lt;&gt;"",AU$3='Bonding Program'!$M$50),'Bonding Program'!$L$50,0)-IF(AND('Bonding Program'!$P$50&lt;&gt;"",AU$3='Bonding Program'!$P$50),'Bonding Program'!$O$50,0)-IF(AND('Bonding Program'!$R$50&lt;&gt;"",AU$3='Bonding Program'!$R$50),'Bonding Program'!$Q$50,0),0)</f>
        <v>0</v>
      </c>
      <c r="AV191" s="19" t="n">
        <f aca="false">IF(AND('Bonding Program'!$S$50=1,AV$3='Bonding Program'!$H$50),'Bonding Program'!$AA$50,0)-IF(AV$3&lt;='Bonding Program'!$C$8,IF(AND('Bonding Program'!$K$50&lt;&gt;"",AV$3='Bonding Program'!$K$50),'Bonding Program'!$J$50,0)-IF(AND('Bonding Program'!$M$50&lt;&gt;"",AV$3='Bonding Program'!$M$50),'Bonding Program'!$L$50,0)-IF(AND('Bonding Program'!$P$50&lt;&gt;"",AV$3='Bonding Program'!$P$50),'Bonding Program'!$O$50,0)-IF(AND('Bonding Program'!$R$50&lt;&gt;"",AV$3='Bonding Program'!$R$50),'Bonding Program'!$Q$50,0),0)</f>
        <v>0</v>
      </c>
      <c r="AW191" s="19" t="n">
        <f aca="false">IF(AND('Bonding Program'!$S$50=1,AW$3='Bonding Program'!$H$50),'Bonding Program'!$AA$50,0)-IF(AW$3&lt;='Bonding Program'!$C$8,IF(AND('Bonding Program'!$K$50&lt;&gt;"",AW$3='Bonding Program'!$K$50),'Bonding Program'!$J$50,0)-IF(AND('Bonding Program'!$M$50&lt;&gt;"",AW$3='Bonding Program'!$M$50),'Bonding Program'!$L$50,0)-IF(AND('Bonding Program'!$P$50&lt;&gt;"",AW$3='Bonding Program'!$P$50),'Bonding Program'!$O$50,0)-IF(AND('Bonding Program'!$R$50&lt;&gt;"",AW$3='Bonding Program'!$R$50),'Bonding Program'!$Q$50,0),0)</f>
        <v>0</v>
      </c>
      <c r="AX191" s="19" t="n">
        <f aca="false">IF(AND('Bonding Program'!$S$50=1,AX$3='Bonding Program'!$H$50),'Bonding Program'!$AA$50,0)-IF(AX$3&lt;='Bonding Program'!$C$8,IF(AND('Bonding Program'!$K$50&lt;&gt;"",AX$3='Bonding Program'!$K$50),'Bonding Program'!$J$50,0)-IF(AND('Bonding Program'!$M$50&lt;&gt;"",AX$3='Bonding Program'!$M$50),'Bonding Program'!$L$50,0)-IF(AND('Bonding Program'!$P$50&lt;&gt;"",AX$3='Bonding Program'!$P$50),'Bonding Program'!$O$50,0)-IF(AND('Bonding Program'!$R$50&lt;&gt;"",AX$3='Bonding Program'!$R$50),'Bonding Program'!$Q$50,0),0)</f>
        <v>0</v>
      </c>
      <c r="AY191" s="19" t="n">
        <f aca="false">IF(AND('Bonding Program'!$S$50=1,AY$3='Bonding Program'!$H$50),'Bonding Program'!$AA$50,0)-IF(AY$3&lt;='Bonding Program'!$C$8,IF(AND('Bonding Program'!$K$50&lt;&gt;"",AY$3='Bonding Program'!$K$50),'Bonding Program'!$J$50,0)-IF(AND('Bonding Program'!$M$50&lt;&gt;"",AY$3='Bonding Program'!$M$50),'Bonding Program'!$L$50,0)-IF(AND('Bonding Program'!$P$50&lt;&gt;"",AY$3='Bonding Program'!$P$50),'Bonding Program'!$O$50,0)-IF(AND('Bonding Program'!$R$50&lt;&gt;"",AY$3='Bonding Program'!$R$50),'Bonding Program'!$Q$50,0),0)</f>
        <v>0</v>
      </c>
      <c r="AZ191" s="19" t="n">
        <f aca="false">IF(AND('Bonding Program'!$S$50=1,AZ$3='Bonding Program'!$H$50),'Bonding Program'!$AA$50,0)-IF(AZ$3&lt;='Bonding Program'!$C$8,IF(AND('Bonding Program'!$K$50&lt;&gt;"",AZ$3='Bonding Program'!$K$50),'Bonding Program'!$J$50,0)-IF(AND('Bonding Program'!$M$50&lt;&gt;"",AZ$3='Bonding Program'!$M$50),'Bonding Program'!$L$50,0)-IF(AND('Bonding Program'!$P$50&lt;&gt;"",AZ$3='Bonding Program'!$P$50),'Bonding Program'!$O$50,0)-IF(AND('Bonding Program'!$R$50&lt;&gt;"",AZ$3='Bonding Program'!$R$50),'Bonding Program'!$Q$50,0),0)</f>
        <v>0</v>
      </c>
      <c r="BA191" s="19" t="n">
        <f aca="false">IF(AND('Bonding Program'!$S$50=1,BA$3='Bonding Program'!$H$50),'Bonding Program'!$AA$50,0)-IF(BA$3&lt;='Bonding Program'!$C$8,IF(AND('Bonding Program'!$K$50&lt;&gt;"",BA$3='Bonding Program'!$K$50),'Bonding Program'!$J$50,0)-IF(AND('Bonding Program'!$M$50&lt;&gt;"",BA$3='Bonding Program'!$M$50),'Bonding Program'!$L$50,0)-IF(AND('Bonding Program'!$P$50&lt;&gt;"",BA$3='Bonding Program'!$P$50),'Bonding Program'!$O$50,0)-IF(AND('Bonding Program'!$R$50&lt;&gt;"",BA$3='Bonding Program'!$R$50),'Bonding Program'!$Q$50,0),0)</f>
        <v>0</v>
      </c>
      <c r="BB191" s="19" t="n">
        <f aca="false">IF(AND('Bonding Program'!$S$50=1,BB$3='Bonding Program'!$H$50),'Bonding Program'!$AA$50,0)-IF(BB$3&lt;='Bonding Program'!$C$8,IF(AND('Bonding Program'!$K$50&lt;&gt;"",BB$3='Bonding Program'!$K$50),'Bonding Program'!$J$50,0)-IF(AND('Bonding Program'!$M$50&lt;&gt;"",BB$3='Bonding Program'!$M$50),'Bonding Program'!$L$50,0)-IF(AND('Bonding Program'!$P$50&lt;&gt;"",BB$3='Bonding Program'!$P$50),'Bonding Program'!$O$50,0)-IF(AND('Bonding Program'!$R$50&lt;&gt;"",BB$3='Bonding Program'!$R$50),'Bonding Program'!$Q$50,0),0)</f>
        <v>0</v>
      </c>
      <c r="BC191" s="19" t="n">
        <f aca="false">IF(AND('Bonding Program'!$S$50=1,BC$3='Bonding Program'!$H$50),'Bonding Program'!$AA$50,0)-IF(BC$3&lt;='Bonding Program'!$C$8,IF(AND('Bonding Program'!$K$50&lt;&gt;"",BC$3='Bonding Program'!$K$50),'Bonding Program'!$J$50,0)-IF(AND('Bonding Program'!$M$50&lt;&gt;"",BC$3='Bonding Program'!$M$50),'Bonding Program'!$L$50,0)-IF(AND('Bonding Program'!$P$50&lt;&gt;"",BC$3='Bonding Program'!$P$50),'Bonding Program'!$O$50,0)-IF(AND('Bonding Program'!$R$50&lt;&gt;"",BC$3='Bonding Program'!$R$50),'Bonding Program'!$Q$50,0),0)</f>
        <v>0</v>
      </c>
      <c r="BD191" s="19" t="n">
        <f aca="false">IF(AND('Bonding Program'!$S$50=1,BD$3='Bonding Program'!$H$50),'Bonding Program'!$AA$50,0)-IF(BD$3&lt;='Bonding Program'!$C$8,IF(AND('Bonding Program'!$K$50&lt;&gt;"",BD$3='Bonding Program'!$K$50),'Bonding Program'!$J$50,0)-IF(AND('Bonding Program'!$M$50&lt;&gt;"",BD$3='Bonding Program'!$M$50),'Bonding Program'!$L$50,0)-IF(AND('Bonding Program'!$P$50&lt;&gt;"",BD$3='Bonding Program'!$P$50),'Bonding Program'!$O$50,0)-IF(AND('Bonding Program'!$R$50&lt;&gt;"",BD$3='Bonding Program'!$R$50),'Bonding Program'!$Q$50,0),0)</f>
        <v>0</v>
      </c>
      <c r="BE191" s="19" t="n">
        <f aca="false">IF(AND('Bonding Program'!$S$50=1,BE$3='Bonding Program'!$H$50),'Bonding Program'!$AA$50,0)-IF(BE$3&lt;='Bonding Program'!$C$8,IF(AND('Bonding Program'!$K$50&lt;&gt;"",BE$3='Bonding Program'!$K$50),'Bonding Program'!$J$50,0)-IF(AND('Bonding Program'!$M$50&lt;&gt;"",BE$3='Bonding Program'!$M$50),'Bonding Program'!$L$50,0)-IF(AND('Bonding Program'!$P$50&lt;&gt;"",BE$3='Bonding Program'!$P$50),'Bonding Program'!$O$50,0)-IF(AND('Bonding Program'!$R$50&lt;&gt;"",BE$3='Bonding Program'!$R$50),'Bonding Program'!$Q$50,0),0)</f>
        <v>0</v>
      </c>
      <c r="BF191" s="19" t="n">
        <f aca="false">IF(AND('Bonding Program'!$S$50=1,BF$3='Bonding Program'!$H$50),'Bonding Program'!$AA$50,0)-IF(BF$3&lt;='Bonding Program'!$C$8,IF(AND('Bonding Program'!$K$50&lt;&gt;"",BF$3='Bonding Program'!$K$50),'Bonding Program'!$J$50,0)-IF(AND('Bonding Program'!$M$50&lt;&gt;"",BF$3='Bonding Program'!$M$50),'Bonding Program'!$L$50,0)-IF(AND('Bonding Program'!$P$50&lt;&gt;"",BF$3='Bonding Program'!$P$50),'Bonding Program'!$O$50,0)-IF(AND('Bonding Program'!$R$50&lt;&gt;"",BF$3='Bonding Program'!$R$50),'Bonding Program'!$Q$50,0),0)</f>
        <v>0</v>
      </c>
      <c r="BG191" s="19" t="n">
        <f aca="false">IF(AND('Bonding Program'!$S$50=1,BG$3='Bonding Program'!$H$50),'Bonding Program'!$AA$50,0)-IF(BG$3&lt;='Bonding Program'!$C$8,IF(AND('Bonding Program'!$K$50&lt;&gt;"",BG$3='Bonding Program'!$K$50),'Bonding Program'!$J$50,0)-IF(AND('Bonding Program'!$M$50&lt;&gt;"",BG$3='Bonding Program'!$M$50),'Bonding Program'!$L$50,0)-IF(AND('Bonding Program'!$P$50&lt;&gt;"",BG$3='Bonding Program'!$P$50),'Bonding Program'!$O$50,0)-IF(AND('Bonding Program'!$R$50&lt;&gt;"",BG$3='Bonding Program'!$R$50),'Bonding Program'!$Q$50,0),0)</f>
        <v>0</v>
      </c>
      <c r="BH191" s="19" t="n">
        <f aca="false">IF(AND('Bonding Program'!$S$50=1,BH$3='Bonding Program'!$H$50),'Bonding Program'!$AA$50,0)-IF(BH$3&lt;='Bonding Program'!$C$8,IF(AND('Bonding Program'!$K$50&lt;&gt;"",BH$3='Bonding Program'!$K$50),'Bonding Program'!$J$50,0)-IF(AND('Bonding Program'!$M$50&lt;&gt;"",BH$3='Bonding Program'!$M$50),'Bonding Program'!$L$50,0)-IF(AND('Bonding Program'!$P$50&lt;&gt;"",BH$3='Bonding Program'!$P$50),'Bonding Program'!$O$50,0)-IF(AND('Bonding Program'!$R$50&lt;&gt;"",BH$3='Bonding Program'!$R$50),'Bonding Program'!$Q$50,0),0)</f>
        <v>0</v>
      </c>
      <c r="BI191" s="19" t="n">
        <f aca="false">IF(AND('Bonding Program'!$S$50=1,BI$3='Bonding Program'!$H$50),'Bonding Program'!$AA$50,0)-IF(BI$3&lt;='Bonding Program'!$C$8,IF(AND('Bonding Program'!$K$50&lt;&gt;"",BI$3='Bonding Program'!$K$50),'Bonding Program'!$J$50,0)-IF(AND('Bonding Program'!$M$50&lt;&gt;"",BI$3='Bonding Program'!$M$50),'Bonding Program'!$L$50,0)-IF(AND('Bonding Program'!$P$50&lt;&gt;"",BI$3='Bonding Program'!$P$50),'Bonding Program'!$O$50,0)-IF(AND('Bonding Program'!$R$50&lt;&gt;"",BI$3='Bonding Program'!$R$50),'Bonding Program'!$Q$50,0),0)</f>
        <v>0</v>
      </c>
      <c r="BJ191" s="19" t="n">
        <f aca="false">IF(AND('Bonding Program'!$S$50=1,BJ$3='Bonding Program'!$H$50),'Bonding Program'!$AA$50,0)-IF(BJ$3&lt;='Bonding Program'!$C$8,IF(AND('Bonding Program'!$K$50&lt;&gt;"",BJ$3='Bonding Program'!$K$50),'Bonding Program'!$J$50,0)-IF(AND('Bonding Program'!$M$50&lt;&gt;"",BJ$3='Bonding Program'!$M$50),'Bonding Program'!$L$50,0)-IF(AND('Bonding Program'!$P$50&lt;&gt;"",BJ$3='Bonding Program'!$P$50),'Bonding Program'!$O$50,0)-IF(AND('Bonding Program'!$R$50&lt;&gt;"",BJ$3='Bonding Program'!$R$50),'Bonding Program'!$Q$50,0),0)</f>
        <v>0</v>
      </c>
      <c r="BK191" s="19" t="n">
        <f aca="false">IF(AND('Bonding Program'!$S$50=1,BK$3='Bonding Program'!$H$50),'Bonding Program'!$AA$50,0)-IF(BK$3&lt;='Bonding Program'!$C$8,IF(AND('Bonding Program'!$K$50&lt;&gt;"",BK$3='Bonding Program'!$K$50),'Bonding Program'!$J$50,0)-IF(AND('Bonding Program'!$M$50&lt;&gt;"",BK$3='Bonding Program'!$M$50),'Bonding Program'!$L$50,0)-IF(AND('Bonding Program'!$P$50&lt;&gt;"",BK$3='Bonding Program'!$P$50),'Bonding Program'!$O$50,0)-IF(AND('Bonding Program'!$R$50&lt;&gt;"",BK$3='Bonding Program'!$R$50),'Bonding Program'!$Q$50,0),0)</f>
        <v>0</v>
      </c>
      <c r="BL191" s="19" t="n">
        <f aca="false">IF(AND('Bonding Program'!$S$50=1,BL$3='Bonding Program'!$H$50),'Bonding Program'!$AA$50,0)-IF(BL$3&lt;='Bonding Program'!$C$8,IF(AND('Bonding Program'!$K$50&lt;&gt;"",BL$3='Bonding Program'!$K$50),'Bonding Program'!$J$50,0)-IF(AND('Bonding Program'!$M$50&lt;&gt;"",BL$3='Bonding Program'!$M$50),'Bonding Program'!$L$50,0)-IF(AND('Bonding Program'!$P$50&lt;&gt;"",BL$3='Bonding Program'!$P$50),'Bonding Program'!$O$50,0)-IF(AND('Bonding Program'!$R$50&lt;&gt;"",BL$3='Bonding Program'!$R$50),'Bonding Program'!$Q$50,0),0)</f>
        <v>0</v>
      </c>
      <c r="BM191" s="19" t="n">
        <f aca="false">IF(AND('Bonding Program'!$S$50=1,BM$3='Bonding Program'!$H$50),'Bonding Program'!$AA$50,0)-IF(BM$3&lt;='Bonding Program'!$C$8,IF(AND('Bonding Program'!$K$50&lt;&gt;"",BM$3='Bonding Program'!$K$50),'Bonding Program'!$J$50,0)-IF(AND('Bonding Program'!$M$50&lt;&gt;"",BM$3='Bonding Program'!$M$50),'Bonding Program'!$L$50,0)-IF(AND('Bonding Program'!$P$50&lt;&gt;"",BM$3='Bonding Program'!$P$50),'Bonding Program'!$O$50,0)-IF(AND('Bonding Program'!$R$50&lt;&gt;"",BM$3='Bonding Program'!$R$50),'Bonding Program'!$Q$50,0),0)</f>
        <v>0</v>
      </c>
      <c r="BN191" s="19" t="n">
        <f aca="false">IF(AND('Bonding Program'!$S$50=1,BN$3='Bonding Program'!$H$50),'Bonding Program'!$AA$50,0)-IF(BN$3&lt;='Bonding Program'!$C$8,IF(AND('Bonding Program'!$K$50&lt;&gt;"",BN$3='Bonding Program'!$K$50),'Bonding Program'!$J$50,0)-IF(AND('Bonding Program'!$M$50&lt;&gt;"",BN$3='Bonding Program'!$M$50),'Bonding Program'!$L$50,0)-IF(AND('Bonding Program'!$P$50&lt;&gt;"",BN$3='Bonding Program'!$P$50),'Bonding Program'!$O$50,0)-IF(AND('Bonding Program'!$R$50&lt;&gt;"",BN$3='Bonding Program'!$R$50),'Bonding Program'!$Q$50,0),0)</f>
        <v>0</v>
      </c>
      <c r="BO191" s="19" t="n">
        <f aca="false">IF(AND('Bonding Program'!$S$50=1,BO$3='Bonding Program'!$H$50),'Bonding Program'!$AA$50,0)-IF(BO$3&lt;='Bonding Program'!$C$8,IF(AND('Bonding Program'!$K$50&lt;&gt;"",BO$3='Bonding Program'!$K$50),'Bonding Program'!$J$50,0)-IF(AND('Bonding Program'!$M$50&lt;&gt;"",BO$3='Bonding Program'!$M$50),'Bonding Program'!$L$50,0)-IF(AND('Bonding Program'!$P$50&lt;&gt;"",BO$3='Bonding Program'!$P$50),'Bonding Program'!$O$50,0)-IF(AND('Bonding Program'!$R$50&lt;&gt;"",BO$3='Bonding Program'!$R$50),'Bonding Program'!$Q$50,0),0)</f>
        <v>0</v>
      </c>
      <c r="BP191" s="19" t="n">
        <f aca="false">IF(AND('Bonding Program'!$S$50=1,BP$3='Bonding Program'!$H$50),'Bonding Program'!$AA$50,0)-IF(BP$3&lt;='Bonding Program'!$C$8,IF(AND('Bonding Program'!$K$50&lt;&gt;"",BP$3='Bonding Program'!$K$50),'Bonding Program'!$J$50,0)-IF(AND('Bonding Program'!$M$50&lt;&gt;"",BP$3='Bonding Program'!$M$50),'Bonding Program'!$L$50,0)-IF(AND('Bonding Program'!$P$50&lt;&gt;"",BP$3='Bonding Program'!$P$50),'Bonding Program'!$O$50,0)-IF(AND('Bonding Program'!$R$50&lt;&gt;"",BP$3='Bonding Program'!$R$50),'Bonding Program'!$Q$50,0),0)</f>
        <v>0</v>
      </c>
      <c r="BQ191" s="19" t="n">
        <f aca="false">IF(AND('Bonding Program'!$S$50=1,BQ$3='Bonding Program'!$H$50),'Bonding Program'!$AA$50,0)-IF(BQ$3&lt;='Bonding Program'!$C$8,IF(AND('Bonding Program'!$K$50&lt;&gt;"",BQ$3='Bonding Program'!$K$50),'Bonding Program'!$J$50,0)-IF(AND('Bonding Program'!$M$50&lt;&gt;"",BQ$3='Bonding Program'!$M$50),'Bonding Program'!$L$50,0)-IF(AND('Bonding Program'!$P$50&lt;&gt;"",BQ$3='Bonding Program'!$P$50),'Bonding Program'!$O$50,0)-IF(AND('Bonding Program'!$R$50&lt;&gt;"",BQ$3='Bonding Program'!$R$50),'Bonding Program'!$Q$50,0),0)</f>
        <v>0</v>
      </c>
      <c r="BR191" s="19" t="n">
        <f aca="false">IF(AND('Bonding Program'!$S$50=1,BR$3='Bonding Program'!$H$50),'Bonding Program'!$AA$50,0)-IF(BR$3&lt;='Bonding Program'!$C$8,IF(AND('Bonding Program'!$K$50&lt;&gt;"",BR$3='Bonding Program'!$K$50),'Bonding Program'!$J$50,0)-IF(AND('Bonding Program'!$M$50&lt;&gt;"",BR$3='Bonding Program'!$M$50),'Bonding Program'!$L$50,0)-IF(AND('Bonding Program'!$P$50&lt;&gt;"",BR$3='Bonding Program'!$P$50),'Bonding Program'!$O$50,0)-IF(AND('Bonding Program'!$R$50&lt;&gt;"",BR$3='Bonding Program'!$R$50),'Bonding Program'!$Q$50,0),0)</f>
        <v>0</v>
      </c>
      <c r="BS191" s="19" t="n">
        <f aca="false">IF(AND('Bonding Program'!$S$50=1,BS$3='Bonding Program'!$H$50),'Bonding Program'!$AA$50,0)-IF(BS$3&lt;='Bonding Program'!$C$8,IF(AND('Bonding Program'!$K$50&lt;&gt;"",BS$3='Bonding Program'!$K$50),'Bonding Program'!$J$50,0)-IF(AND('Bonding Program'!$M$50&lt;&gt;"",BS$3='Bonding Program'!$M$50),'Bonding Program'!$L$50,0)-IF(AND('Bonding Program'!$P$50&lt;&gt;"",BS$3='Bonding Program'!$P$50),'Bonding Program'!$O$50,0)-IF(AND('Bonding Program'!$R$50&lt;&gt;"",BS$3='Bonding Program'!$R$50),'Bonding Program'!$Q$50,0),0)</f>
        <v>0</v>
      </c>
      <c r="BT191" s="19" t="n">
        <f aca="false">IF(AND('Bonding Program'!$S$50=1,BT$3='Bonding Program'!$H$50),'Bonding Program'!$AA$50,0)-IF(BT$3&lt;='Bonding Program'!$C$8,IF(AND('Bonding Program'!$K$50&lt;&gt;"",BT$3='Bonding Program'!$K$50),'Bonding Program'!$J$50,0)-IF(AND('Bonding Program'!$M$50&lt;&gt;"",BT$3='Bonding Program'!$M$50),'Bonding Program'!$L$50,0)-IF(AND('Bonding Program'!$P$50&lt;&gt;"",BT$3='Bonding Program'!$P$50),'Bonding Program'!$O$50,0)-IF(AND('Bonding Program'!$R$50&lt;&gt;"",BT$3='Bonding Program'!$R$50),'Bonding Program'!$Q$50,0),0)</f>
        <v>0</v>
      </c>
      <c r="BU191" s="19" t="n">
        <f aca="false">IF(AND('Bonding Program'!$S$50=1,BU$3='Bonding Program'!$H$50),'Bonding Program'!$AA$50,0)-IF(BU$3&lt;='Bonding Program'!$C$8,IF(AND('Bonding Program'!$K$50&lt;&gt;"",BU$3='Bonding Program'!$K$50),'Bonding Program'!$J$50,0)-IF(AND('Bonding Program'!$M$50&lt;&gt;"",BU$3='Bonding Program'!$M$50),'Bonding Program'!$L$50,0)-IF(AND('Bonding Program'!$P$50&lt;&gt;"",BU$3='Bonding Program'!$P$50),'Bonding Program'!$O$50,0)-IF(AND('Bonding Program'!$R$50&lt;&gt;"",BU$3='Bonding Program'!$R$50),'Bonding Program'!$Q$50,0),0)</f>
        <v>0</v>
      </c>
      <c r="BV191" s="19" t="n">
        <f aca="false">IF(AND('Bonding Program'!$S$50=1,BV$3='Bonding Program'!$H$50),'Bonding Program'!$AA$50,0)-IF(BV$3&lt;='Bonding Program'!$C$8,IF(AND('Bonding Program'!$K$50&lt;&gt;"",BV$3='Bonding Program'!$K$50),'Bonding Program'!$J$50,0)-IF(AND('Bonding Program'!$M$50&lt;&gt;"",BV$3='Bonding Program'!$M$50),'Bonding Program'!$L$50,0)-IF(AND('Bonding Program'!$P$50&lt;&gt;"",BV$3='Bonding Program'!$P$50),'Bonding Program'!$O$50,0)-IF(AND('Bonding Program'!$R$50&lt;&gt;"",BV$3='Bonding Program'!$R$50),'Bonding Program'!$Q$50,0),0)</f>
        <v>0</v>
      </c>
      <c r="BW191" s="19" t="n">
        <f aca="false">IF(AND('Bonding Program'!$S$50=1,BW$3='Bonding Program'!$H$50),'Bonding Program'!$AA$50,0)-IF(BW$3&lt;='Bonding Program'!$C$8,IF(AND('Bonding Program'!$K$50&lt;&gt;"",BW$3='Bonding Program'!$K$50),'Bonding Program'!$J$50,0)-IF(AND('Bonding Program'!$M$50&lt;&gt;"",BW$3='Bonding Program'!$M$50),'Bonding Program'!$L$50,0)-IF(AND('Bonding Program'!$P$50&lt;&gt;"",BW$3='Bonding Program'!$P$50),'Bonding Program'!$O$50,0)-IF(AND('Bonding Program'!$R$50&lt;&gt;"",BW$3='Bonding Program'!$R$50),'Bonding Program'!$Q$50,0),0)</f>
        <v>0</v>
      </c>
      <c r="BX191" s="19" t="n">
        <f aca="false">IF(AND('Bonding Program'!$S$50=1,BX$3='Bonding Program'!$H$50),'Bonding Program'!$AA$50,0)-IF(BX$3&lt;='Bonding Program'!$C$8,IF(AND('Bonding Program'!$K$50&lt;&gt;"",BX$3='Bonding Program'!$K$50),'Bonding Program'!$J$50,0)-IF(AND('Bonding Program'!$M$50&lt;&gt;"",BX$3='Bonding Program'!$M$50),'Bonding Program'!$L$50,0)-IF(AND('Bonding Program'!$P$50&lt;&gt;"",BX$3='Bonding Program'!$P$50),'Bonding Program'!$O$50,0)-IF(AND('Bonding Program'!$R$50&lt;&gt;"",BX$3='Bonding Program'!$R$50),'Bonding Program'!$Q$50,0),0)</f>
        <v>0</v>
      </c>
      <c r="BY191" s="19" t="n">
        <f aca="false">IF(AND('Bonding Program'!$S$50=1,BY$3='Bonding Program'!$H$50),'Bonding Program'!$AA$50,0)-IF(BY$3&lt;='Bonding Program'!$C$8,IF(AND('Bonding Program'!$K$50&lt;&gt;"",BY$3='Bonding Program'!$K$50),'Bonding Program'!$J$50,0)-IF(AND('Bonding Program'!$M$50&lt;&gt;"",BY$3='Bonding Program'!$M$50),'Bonding Program'!$L$50,0)-IF(AND('Bonding Program'!$P$50&lt;&gt;"",BY$3='Bonding Program'!$P$50),'Bonding Program'!$O$50,0)-IF(AND('Bonding Program'!$R$50&lt;&gt;"",BY$3='Bonding Program'!$R$50),'Bonding Program'!$Q$50,0),0)</f>
        <v>0</v>
      </c>
      <c r="BZ191" s="19" t="n">
        <f aca="false">IF(AND('Bonding Program'!$S$50=1,BZ$3='Bonding Program'!$H$50),'Bonding Program'!$AA$50,0)-IF(BZ$3&lt;='Bonding Program'!$C$8,IF(AND('Bonding Program'!$K$50&lt;&gt;"",BZ$3='Bonding Program'!$K$50),'Bonding Program'!$J$50,0)-IF(AND('Bonding Program'!$M$50&lt;&gt;"",BZ$3='Bonding Program'!$M$50),'Bonding Program'!$L$50,0)-IF(AND('Bonding Program'!$P$50&lt;&gt;"",BZ$3='Bonding Program'!$P$50),'Bonding Program'!$O$50,0)-IF(AND('Bonding Program'!$R$50&lt;&gt;"",BZ$3='Bonding Program'!$R$50),'Bonding Program'!$Q$50,0),0)</f>
        <v>0</v>
      </c>
      <c r="CA191" s="19" t="n">
        <f aca="false">IF(AND('Bonding Program'!$S$50=1,CA$3='Bonding Program'!$H$50),'Bonding Program'!$AA$50,0)-IF(CA$3&lt;='Bonding Program'!$C$8,IF(AND('Bonding Program'!$K$50&lt;&gt;"",CA$3='Bonding Program'!$K$50),'Bonding Program'!$J$50,0)-IF(AND('Bonding Program'!$M$50&lt;&gt;"",CA$3='Bonding Program'!$M$50),'Bonding Program'!$L$50,0)-IF(AND('Bonding Program'!$P$50&lt;&gt;"",CA$3='Bonding Program'!$P$50),'Bonding Program'!$O$50,0)-IF(AND('Bonding Program'!$R$50&lt;&gt;"",CA$3='Bonding Program'!$R$50),'Bonding Program'!$Q$50,0),0)</f>
        <v>0</v>
      </c>
      <c r="CB191" s="19" t="n">
        <f aca="false">IF(AND('Bonding Program'!$S$50=1,CB$3='Bonding Program'!$H$50),'Bonding Program'!$AA$50,0)-IF(CB$3&lt;='Bonding Program'!$C$8,IF(AND('Bonding Program'!$K$50&lt;&gt;"",CB$3='Bonding Program'!$K$50),'Bonding Program'!$J$50,0)-IF(AND('Bonding Program'!$M$50&lt;&gt;"",CB$3='Bonding Program'!$M$50),'Bonding Program'!$L$50,0)-IF(AND('Bonding Program'!$P$50&lt;&gt;"",CB$3='Bonding Program'!$P$50),'Bonding Program'!$O$50,0)-IF(AND('Bonding Program'!$R$50&lt;&gt;"",CB$3='Bonding Program'!$R$50),'Bonding Program'!$Q$50,0),0)</f>
        <v>0</v>
      </c>
      <c r="CC191" s="19" t="n">
        <f aca="false">IF(AND('Bonding Program'!$S$50=1,CC$3='Bonding Program'!$H$50),'Bonding Program'!$AA$50,0)-IF(CC$3&lt;='Bonding Program'!$C$8,IF(AND('Bonding Program'!$K$50&lt;&gt;"",CC$3='Bonding Program'!$K$50),'Bonding Program'!$J$50,0)-IF(AND('Bonding Program'!$M$50&lt;&gt;"",CC$3='Bonding Program'!$M$50),'Bonding Program'!$L$50,0)-IF(AND('Bonding Program'!$P$50&lt;&gt;"",CC$3='Bonding Program'!$P$50),'Bonding Program'!$O$50,0)-IF(AND('Bonding Program'!$R$50&lt;&gt;"",CC$3='Bonding Program'!$R$50),'Bonding Program'!$Q$50,0),0)</f>
        <v>0</v>
      </c>
      <c r="CD191" s="19" t="n">
        <f aca="false">IF(AND('Bonding Program'!$S$50=1,CD$3='Bonding Program'!$H$50),'Bonding Program'!$AA$50,0)-IF(CD$3&lt;='Bonding Program'!$C$8,IF(AND('Bonding Program'!$K$50&lt;&gt;"",CD$3='Bonding Program'!$K$50),'Bonding Program'!$J$50,0)-IF(AND('Bonding Program'!$M$50&lt;&gt;"",CD$3='Bonding Program'!$M$50),'Bonding Program'!$L$50,0)-IF(AND('Bonding Program'!$P$50&lt;&gt;"",CD$3='Bonding Program'!$P$50),'Bonding Program'!$O$50,0)-IF(AND('Bonding Program'!$R$50&lt;&gt;"",CD$3='Bonding Program'!$R$50),'Bonding Program'!$Q$50,0),0)</f>
        <v>0</v>
      </c>
      <c r="CE191" s="19" t="n">
        <f aca="false">IF(AND('Bonding Program'!$S$50=1,CE$3='Bonding Program'!$H$50),'Bonding Program'!$AA$50,0)-IF(CE$3&lt;='Bonding Program'!$C$8,IF(AND('Bonding Program'!$K$50&lt;&gt;"",CE$3='Bonding Program'!$K$50),'Bonding Program'!$J$50,0)-IF(AND('Bonding Program'!$M$50&lt;&gt;"",CE$3='Bonding Program'!$M$50),'Bonding Program'!$L$50,0)-IF(AND('Bonding Program'!$P$50&lt;&gt;"",CE$3='Bonding Program'!$P$50),'Bonding Program'!$O$50,0)-IF(AND('Bonding Program'!$R$50&lt;&gt;"",CE$3='Bonding Program'!$R$50),'Bonding Program'!$Q$50,0),0)</f>
        <v>0</v>
      </c>
      <c r="CF191" s="19" t="n">
        <f aca="false">IF(AND('Bonding Program'!$S$50=1,CF$3='Bonding Program'!$H$50),'Bonding Program'!$AA$50,0)-IF(CF$3&lt;='Bonding Program'!$C$8,IF(AND('Bonding Program'!$K$50&lt;&gt;"",CF$3='Bonding Program'!$K$50),'Bonding Program'!$J$50,0)-IF(AND('Bonding Program'!$M$50&lt;&gt;"",CF$3='Bonding Program'!$M$50),'Bonding Program'!$L$50,0)-IF(AND('Bonding Program'!$P$50&lt;&gt;"",CF$3='Bonding Program'!$P$50),'Bonding Program'!$O$50,0)-IF(AND('Bonding Program'!$R$50&lt;&gt;"",CF$3='Bonding Program'!$R$50),'Bonding Program'!$Q$50,0),0)</f>
        <v>0</v>
      </c>
      <c r="CG191" s="19" t="n">
        <f aca="false">IF(AND('Bonding Program'!$S$50=1,CG$3='Bonding Program'!$H$50),'Bonding Program'!$AA$50,0)-IF(CG$3&lt;='Bonding Program'!$C$8,IF(AND('Bonding Program'!$K$50&lt;&gt;"",CG$3='Bonding Program'!$K$50),'Bonding Program'!$J$50,0)-IF(AND('Bonding Program'!$M$50&lt;&gt;"",CG$3='Bonding Program'!$M$50),'Bonding Program'!$L$50,0)-IF(AND('Bonding Program'!$P$50&lt;&gt;"",CG$3='Bonding Program'!$P$50),'Bonding Program'!$O$50,0)-IF(AND('Bonding Program'!$R$50&lt;&gt;"",CG$3='Bonding Program'!$R$50),'Bonding Program'!$Q$50,0),0)</f>
        <v>0</v>
      </c>
      <c r="CH191" s="19" t="n">
        <f aca="false">IF(AND('Bonding Program'!$S$50=1,CH$3='Bonding Program'!$H$50),'Bonding Program'!$AA$50,0)-IF(CH$3&lt;='Bonding Program'!$C$8,IF(AND('Bonding Program'!$K$50&lt;&gt;"",CH$3='Bonding Program'!$K$50),'Bonding Program'!$J$50,0)-IF(AND('Bonding Program'!$M$50&lt;&gt;"",CH$3='Bonding Program'!$M$50),'Bonding Program'!$L$50,0)-IF(AND('Bonding Program'!$P$50&lt;&gt;"",CH$3='Bonding Program'!$P$50),'Bonding Program'!$O$50,0)-IF(AND('Bonding Program'!$R$50&lt;&gt;"",CH$3='Bonding Program'!$R$50),'Bonding Program'!$Q$50,0),0)</f>
        <v>0</v>
      </c>
      <c r="CI191" s="19" t="n">
        <f aca="false">IF(AND('Bonding Program'!$S$50=1,CI$3='Bonding Program'!$H$50),'Bonding Program'!$AA$50,0)-IF(CI$3&lt;='Bonding Program'!$C$8,IF(AND('Bonding Program'!$K$50&lt;&gt;"",CI$3='Bonding Program'!$K$50),'Bonding Program'!$J$50,0)-IF(AND('Bonding Program'!$M$50&lt;&gt;"",CI$3='Bonding Program'!$M$50),'Bonding Program'!$L$50,0)-IF(AND('Bonding Program'!$P$50&lt;&gt;"",CI$3='Bonding Program'!$P$50),'Bonding Program'!$O$50,0)-IF(AND('Bonding Program'!$R$50&lt;&gt;"",CI$3='Bonding Program'!$R$50),'Bonding Program'!$Q$50,0),0)</f>
        <v>0</v>
      </c>
      <c r="CJ191" s="19" t="n">
        <f aca="false">IF(AND('Bonding Program'!$S$50=1,CJ$3='Bonding Program'!$H$50),'Bonding Program'!$AA$50,0)-IF(CJ$3&lt;='Bonding Program'!$C$8,IF(AND('Bonding Program'!$K$50&lt;&gt;"",CJ$3='Bonding Program'!$K$50),'Bonding Program'!$J$50,0)-IF(AND('Bonding Program'!$M$50&lt;&gt;"",CJ$3='Bonding Program'!$M$50),'Bonding Program'!$L$50,0)-IF(AND('Bonding Program'!$P$50&lt;&gt;"",CJ$3='Bonding Program'!$P$50),'Bonding Program'!$O$50,0)-IF(AND('Bonding Program'!$R$50&lt;&gt;"",CJ$3='Bonding Program'!$R$50),'Bonding Program'!$Q$50,0),0)</f>
        <v>0</v>
      </c>
      <c r="CK191" s="19" t="n">
        <f aca="false">IF(AND('Bonding Program'!$S$50=1,CK$3='Bonding Program'!$H$50),'Bonding Program'!$AA$50,0)-IF(CK$3&lt;='Bonding Program'!$C$8,IF(AND('Bonding Program'!$K$50&lt;&gt;"",CK$3='Bonding Program'!$K$50),'Bonding Program'!$J$50,0)-IF(AND('Bonding Program'!$M$50&lt;&gt;"",CK$3='Bonding Program'!$M$50),'Bonding Program'!$L$50,0)-IF(AND('Bonding Program'!$P$50&lt;&gt;"",CK$3='Bonding Program'!$P$50),'Bonding Program'!$O$50,0)-IF(AND('Bonding Program'!$R$50&lt;&gt;"",CK$3='Bonding Program'!$R$50),'Bonding Program'!$Q$50,0),0)</f>
        <v>0</v>
      </c>
      <c r="CL191" s="19" t="n">
        <f aca="false">IF(AND('Bonding Program'!$S$50=1,CL$3='Bonding Program'!$H$50),'Bonding Program'!$AA$50,0)-IF(CL$3&lt;='Bonding Program'!$C$8,IF(AND('Bonding Program'!$K$50&lt;&gt;"",CL$3='Bonding Program'!$K$50),'Bonding Program'!$J$50,0)-IF(AND('Bonding Program'!$M$50&lt;&gt;"",CL$3='Bonding Program'!$M$50),'Bonding Program'!$L$50,0)-IF(AND('Bonding Program'!$P$50&lt;&gt;"",CL$3='Bonding Program'!$P$50),'Bonding Program'!$O$50,0)-IF(AND('Bonding Program'!$R$50&lt;&gt;"",CL$3='Bonding Program'!$R$50),'Bonding Program'!$Q$50,0),0)</f>
        <v>0</v>
      </c>
      <c r="CM191" s="19" t="n">
        <f aca="false">IF(AND('Bonding Program'!$S$50=1,CM$3='Bonding Program'!$H$50),'Bonding Program'!$AA$50,0)-IF(CM$3&lt;='Bonding Program'!$C$8,IF(AND('Bonding Program'!$K$50&lt;&gt;"",CM$3='Bonding Program'!$K$50),'Bonding Program'!$J$50,0)-IF(AND('Bonding Program'!$M$50&lt;&gt;"",CM$3='Bonding Program'!$M$50),'Bonding Program'!$L$50,0)-IF(AND('Bonding Program'!$P$50&lt;&gt;"",CM$3='Bonding Program'!$P$50),'Bonding Program'!$O$50,0)-IF(AND('Bonding Program'!$R$50&lt;&gt;"",CM$3='Bonding Program'!$R$50),'Bonding Program'!$Q$50,0),0)</f>
        <v>0</v>
      </c>
      <c r="CN191" s="19" t="n">
        <f aca="false">IF(AND('Bonding Program'!$S$50=1,CN$3='Bonding Program'!$H$50),'Bonding Program'!$AA$50,0)-IF(CN$3&lt;='Bonding Program'!$C$8,IF(AND('Bonding Program'!$K$50&lt;&gt;"",CN$3='Bonding Program'!$K$50),'Bonding Program'!$J$50,0)-IF(AND('Bonding Program'!$M$50&lt;&gt;"",CN$3='Bonding Program'!$M$50),'Bonding Program'!$L$50,0)-IF(AND('Bonding Program'!$P$50&lt;&gt;"",CN$3='Bonding Program'!$P$50),'Bonding Program'!$O$50,0)-IF(AND('Bonding Program'!$R$50&lt;&gt;"",CN$3='Bonding Program'!$R$50),'Bonding Program'!$Q$50,0),0)</f>
        <v>0</v>
      </c>
      <c r="CO191" s="19" t="n">
        <f aca="false">IF(AND('Bonding Program'!$S$50=1,CO$3='Bonding Program'!$H$50),'Bonding Program'!$AA$50,0)-IF(CO$3&lt;='Bonding Program'!$C$8,IF(AND('Bonding Program'!$K$50&lt;&gt;"",CO$3='Bonding Program'!$K$50),'Bonding Program'!$J$50,0)-IF(AND('Bonding Program'!$M$50&lt;&gt;"",CO$3='Bonding Program'!$M$50),'Bonding Program'!$L$50,0)-IF(AND('Bonding Program'!$P$50&lt;&gt;"",CO$3='Bonding Program'!$P$50),'Bonding Program'!$O$50,0)-IF(AND('Bonding Program'!$R$50&lt;&gt;"",CO$3='Bonding Program'!$R$50),'Bonding Program'!$Q$50,0),0)</f>
        <v>0</v>
      </c>
      <c r="CP191" s="19" t="n">
        <f aca="false">IF(AND('Bonding Program'!$S$50=1,CP$3='Bonding Program'!$H$50),'Bonding Program'!$AA$50,0)-IF(CP$3&lt;='Bonding Program'!$C$8,IF(AND('Bonding Program'!$K$50&lt;&gt;"",CP$3='Bonding Program'!$K$50),'Bonding Program'!$J$50,0)-IF(AND('Bonding Program'!$M$50&lt;&gt;"",CP$3='Bonding Program'!$M$50),'Bonding Program'!$L$50,0)-IF(AND('Bonding Program'!$P$50&lt;&gt;"",CP$3='Bonding Program'!$P$50),'Bonding Program'!$O$50,0)-IF(AND('Bonding Program'!$R$50&lt;&gt;"",CP$3='Bonding Program'!$R$50),'Bonding Program'!$Q$50,0),0)</f>
        <v>0</v>
      </c>
      <c r="CQ191" s="19" t="n">
        <f aca="false">IF(AND('Bonding Program'!$S$50=1,CQ$3='Bonding Program'!$H$50),'Bonding Program'!$AA$50,0)-IF(CQ$3&lt;='Bonding Program'!$C$8,IF(AND('Bonding Program'!$K$50&lt;&gt;"",CQ$3='Bonding Program'!$K$50),'Bonding Program'!$J$50,0)-IF(AND('Bonding Program'!$M$50&lt;&gt;"",CQ$3='Bonding Program'!$M$50),'Bonding Program'!$L$50,0)-IF(AND('Bonding Program'!$P$50&lt;&gt;"",CQ$3='Bonding Program'!$P$50),'Bonding Program'!$O$50,0)-IF(AND('Bonding Program'!$R$50&lt;&gt;"",CQ$3='Bonding Program'!$R$50),'Bonding Program'!$Q$50,0),0)</f>
        <v>0</v>
      </c>
      <c r="CR191" s="19" t="n">
        <f aca="false">IF(AND('Bonding Program'!$S$50=1,CR$3='Bonding Program'!$H$50),'Bonding Program'!$AA$50,0)-IF(CR$3&lt;='Bonding Program'!$C$8,IF(AND('Bonding Program'!$K$50&lt;&gt;"",CR$3='Bonding Program'!$K$50),'Bonding Program'!$J$50,0)-IF(AND('Bonding Program'!$M$50&lt;&gt;"",CR$3='Bonding Program'!$M$50),'Bonding Program'!$L$50,0)-IF(AND('Bonding Program'!$P$50&lt;&gt;"",CR$3='Bonding Program'!$P$50),'Bonding Program'!$O$50,0)-IF(AND('Bonding Program'!$R$50&lt;&gt;"",CR$3='Bonding Program'!$R$50),'Bonding Program'!$Q$50,0),0)</f>
        <v>0</v>
      </c>
      <c r="CS191" s="19" t="n">
        <f aca="false">IF(AND('Bonding Program'!$S$50=1,CS$3='Bonding Program'!$H$50),'Bonding Program'!$AA$50,0)-IF(CS$3&lt;='Bonding Program'!$C$8,IF(AND('Bonding Program'!$K$50&lt;&gt;"",CS$3='Bonding Program'!$K$50),'Bonding Program'!$J$50,0)-IF(AND('Bonding Program'!$M$50&lt;&gt;"",CS$3='Bonding Program'!$M$50),'Bonding Program'!$L$50,0)-IF(AND('Bonding Program'!$P$50&lt;&gt;"",CS$3='Bonding Program'!$P$50),'Bonding Program'!$O$50,0)-IF(AND('Bonding Program'!$R$50&lt;&gt;"",CS$3='Bonding Program'!$R$50),'Bonding Program'!$Q$50,0),0)</f>
        <v>0</v>
      </c>
      <c r="CT191" s="19" t="n">
        <f aca="false">IF(AND('Bonding Program'!$S$50=1,CT$3='Bonding Program'!$H$50),'Bonding Program'!$AA$50,0)-IF(CT$3&lt;='Bonding Program'!$C$8,IF(AND('Bonding Program'!$K$50&lt;&gt;"",CT$3='Bonding Program'!$K$50),'Bonding Program'!$J$50,0)-IF(AND('Bonding Program'!$M$50&lt;&gt;"",CT$3='Bonding Program'!$M$50),'Bonding Program'!$L$50,0)-IF(AND('Bonding Program'!$P$50&lt;&gt;"",CT$3='Bonding Program'!$P$50),'Bonding Program'!$O$50,0)-IF(AND('Bonding Program'!$R$50&lt;&gt;"",CT$3='Bonding Program'!$R$50),'Bonding Program'!$Q$50,0),0)</f>
        <v>0</v>
      </c>
      <c r="CU191" s="19" t="n">
        <f aca="false">IF(AND('Bonding Program'!$S$50=1,CU$3='Bonding Program'!$H$50),'Bonding Program'!$AA$50,0)-IF(CU$3&lt;='Bonding Program'!$C$8,IF(AND('Bonding Program'!$K$50&lt;&gt;"",CU$3='Bonding Program'!$K$50),'Bonding Program'!$J$50,0)-IF(AND('Bonding Program'!$M$50&lt;&gt;"",CU$3='Bonding Program'!$M$50),'Bonding Program'!$L$50,0)-IF(AND('Bonding Program'!$P$50&lt;&gt;"",CU$3='Bonding Program'!$P$50),'Bonding Program'!$O$50,0)-IF(AND('Bonding Program'!$R$50&lt;&gt;"",CU$3='Bonding Program'!$R$50),'Bonding Program'!$Q$50,0),0)</f>
        <v>0</v>
      </c>
      <c r="CV191" s="19" t="n">
        <f aca="false">IF(AND('Bonding Program'!$S$50=1,CV$3='Bonding Program'!$H$50),'Bonding Program'!$AA$50,0)-IF(CV$3&lt;='Bonding Program'!$C$8,IF(AND('Bonding Program'!$K$50&lt;&gt;"",CV$3='Bonding Program'!$K$50),'Bonding Program'!$J$50,0)-IF(AND('Bonding Program'!$M$50&lt;&gt;"",CV$3='Bonding Program'!$M$50),'Bonding Program'!$L$50,0)-IF(AND('Bonding Program'!$P$50&lt;&gt;"",CV$3='Bonding Program'!$P$50),'Bonding Program'!$O$50,0)-IF(AND('Bonding Program'!$R$50&lt;&gt;"",CV$3='Bonding Program'!$R$50),'Bonding Program'!$Q$50,0),0)</f>
        <v>0</v>
      </c>
      <c r="CW191" s="19" t="n">
        <f aca="false">IF(AND('Bonding Program'!$S$50=1,CW$3='Bonding Program'!$H$50),'Bonding Program'!$AA$50,0)-IF(CW$3&lt;='Bonding Program'!$C$8,IF(AND('Bonding Program'!$K$50&lt;&gt;"",CW$3='Bonding Program'!$K$50),'Bonding Program'!$J$50,0)-IF(AND('Bonding Program'!$M$50&lt;&gt;"",CW$3='Bonding Program'!$M$50),'Bonding Program'!$L$50,0)-IF(AND('Bonding Program'!$P$50&lt;&gt;"",CW$3='Bonding Program'!$P$50),'Bonding Program'!$O$50,0)-IF(AND('Bonding Program'!$R$50&lt;&gt;"",CW$3='Bonding Program'!$R$50),'Bonding Program'!$Q$50,0),0)</f>
        <v>0</v>
      </c>
      <c r="CX191" s="19" t="n">
        <f aca="false">IF(AND('Bonding Program'!$S$50=1,CX$3='Bonding Program'!$H$50),'Bonding Program'!$AA$50,0)-IF(CX$3&lt;='Bonding Program'!$C$8,IF(AND('Bonding Program'!$K$50&lt;&gt;"",CX$3='Bonding Program'!$K$50),'Bonding Program'!$J$50,0)-IF(AND('Bonding Program'!$M$50&lt;&gt;"",CX$3='Bonding Program'!$M$50),'Bonding Program'!$L$50,0)-IF(AND('Bonding Program'!$P$50&lt;&gt;"",CX$3='Bonding Program'!$P$50),'Bonding Program'!$O$50,0)-IF(AND('Bonding Program'!$R$50&lt;&gt;"",CX$3='Bonding Program'!$R$50),'Bonding Program'!$Q$50,0),0)</f>
        <v>0</v>
      </c>
      <c r="CY191" s="19" t="n">
        <f aca="false">IF(AND('Bonding Program'!$S$50=1,CY$3='Bonding Program'!$H$50),'Bonding Program'!$AA$50,0)-IF(CY$3&lt;='Bonding Program'!$C$8,IF(AND('Bonding Program'!$K$50&lt;&gt;"",CY$3='Bonding Program'!$K$50),'Bonding Program'!$J$50,0)-IF(AND('Bonding Program'!$M$50&lt;&gt;"",CY$3='Bonding Program'!$M$50),'Bonding Program'!$L$50,0)-IF(AND('Bonding Program'!$P$50&lt;&gt;"",CY$3='Bonding Program'!$P$50),'Bonding Program'!$O$50,0)-IF(AND('Bonding Program'!$R$50&lt;&gt;"",CY$3='Bonding Program'!$R$50),'Bonding Program'!$Q$50,0),0)</f>
        <v>0</v>
      </c>
      <c r="CZ191" s="19" t="n">
        <f aca="false">IF(AND('Bonding Program'!$S$50=1,CZ$3='Bonding Program'!$H$50),'Bonding Program'!$AA$50,0)-IF(CZ$3&lt;='Bonding Program'!$C$8,IF(AND('Bonding Program'!$K$50&lt;&gt;"",CZ$3='Bonding Program'!$K$50),'Bonding Program'!$J$50,0)-IF(AND('Bonding Program'!$M$50&lt;&gt;"",CZ$3='Bonding Program'!$M$50),'Bonding Program'!$L$50,0)-IF(AND('Bonding Program'!$P$50&lt;&gt;"",CZ$3='Bonding Program'!$P$50),'Bonding Program'!$O$50,0)-IF(AND('Bonding Program'!$R$50&lt;&gt;"",CZ$3='Bonding Program'!$R$50),'Bonding Program'!$Q$50,0),0)</f>
        <v>0</v>
      </c>
      <c r="DA191" s="19" t="n">
        <f aca="false">IF(AND('Bonding Program'!$S$50=1,DA$3='Bonding Program'!$H$50),'Bonding Program'!$AA$50,0)-IF(DA$3&lt;='Bonding Program'!$C$8,IF(AND('Bonding Program'!$K$50&lt;&gt;"",DA$3='Bonding Program'!$K$50),'Bonding Program'!$J$50,0)-IF(AND('Bonding Program'!$M$50&lt;&gt;"",DA$3='Bonding Program'!$M$50),'Bonding Program'!$L$50,0)-IF(AND('Bonding Program'!$P$50&lt;&gt;"",DA$3='Bonding Program'!$P$50),'Bonding Program'!$O$50,0)-IF(AND('Bonding Program'!$R$50&lt;&gt;"",DA$3='Bonding Program'!$R$50),'Bonding Program'!$Q$50,0),0)</f>
        <v>0</v>
      </c>
      <c r="DB191" s="19" t="n">
        <f aca="false">IF(AND('Bonding Program'!$S$50=1,DB$3='Bonding Program'!$H$50),'Bonding Program'!$AA$50,0)-IF(DB$3&lt;='Bonding Program'!$C$8,IF(AND('Bonding Program'!$K$50&lt;&gt;"",DB$3='Bonding Program'!$K$50),'Bonding Program'!$J$50,0)-IF(AND('Bonding Program'!$M$50&lt;&gt;"",DB$3='Bonding Program'!$M$50),'Bonding Program'!$L$50,0)-IF(AND('Bonding Program'!$P$50&lt;&gt;"",DB$3='Bonding Program'!$P$50),'Bonding Program'!$O$50,0)-IF(AND('Bonding Program'!$R$50&lt;&gt;"",DB$3='Bonding Program'!$R$50),'Bonding Program'!$Q$50,0),0)</f>
        <v>0</v>
      </c>
      <c r="DC191" s="19" t="n">
        <f aca="false">IF(AND('Bonding Program'!$S$50=1,DC$3='Bonding Program'!$H$50),'Bonding Program'!$AA$50,0)-IF(DC$3&lt;='Bonding Program'!$C$8,IF(AND('Bonding Program'!$K$50&lt;&gt;"",DC$3='Bonding Program'!$K$50),'Bonding Program'!$J$50,0)-IF(AND('Bonding Program'!$M$50&lt;&gt;"",DC$3='Bonding Program'!$M$50),'Bonding Program'!$L$50,0)-IF(AND('Bonding Program'!$P$50&lt;&gt;"",DC$3='Bonding Program'!$P$50),'Bonding Program'!$O$50,0)-IF(AND('Bonding Program'!$R$50&lt;&gt;"",DC$3='Bonding Program'!$R$50),'Bonding Program'!$Q$50,0),0)</f>
        <v>0</v>
      </c>
      <c r="DD191" s="19" t="n">
        <f aca="false">IF(AND('Bonding Program'!$S$50=1,DD$3='Bonding Program'!$H$50),'Bonding Program'!$AA$50,0)-IF(DD$3&lt;='Bonding Program'!$C$8,IF(AND('Bonding Program'!$K$50&lt;&gt;"",DD$3='Bonding Program'!$K$50),'Bonding Program'!$J$50,0)-IF(AND('Bonding Program'!$M$50&lt;&gt;"",DD$3='Bonding Program'!$M$50),'Bonding Program'!$L$50,0)-IF(AND('Bonding Program'!$P$50&lt;&gt;"",DD$3='Bonding Program'!$P$50),'Bonding Program'!$O$50,0)-IF(AND('Bonding Program'!$R$50&lt;&gt;"",DD$3='Bonding Program'!$R$50),'Bonding Program'!$Q$50,0),0)</f>
        <v>0</v>
      </c>
      <c r="DE191" s="19" t="n">
        <f aca="false">IF(AND('Bonding Program'!$S$50=1,DE$3='Bonding Program'!$H$50),'Bonding Program'!$AA$50,0)-IF(DE$3&lt;='Bonding Program'!$C$8,IF(AND('Bonding Program'!$K$50&lt;&gt;"",DE$3='Bonding Program'!$K$50),'Bonding Program'!$J$50,0)-IF(AND('Bonding Program'!$M$50&lt;&gt;"",DE$3='Bonding Program'!$M$50),'Bonding Program'!$L$50,0)-IF(AND('Bonding Program'!$P$50&lt;&gt;"",DE$3='Bonding Program'!$P$50),'Bonding Program'!$O$50,0)-IF(AND('Bonding Program'!$R$50&lt;&gt;"",DE$3='Bonding Program'!$R$50),'Bonding Program'!$Q$50,0),0)</f>
        <v>0</v>
      </c>
    </row>
    <row r="192" customFormat="false" ht="15" hidden="false" customHeight="true" outlineLevel="1" collapsed="false">
      <c r="A192" s="28" t="s">
        <v>47</v>
      </c>
      <c r="B192" s="19" t="n">
        <f aca="false">IF(AND('Bonding Program'!$S$51=1,B$3='Bonding Program'!$H$51),'Bonding Program'!$AA$51,0)-IF(B$3&lt;='Bonding Program'!$C$8,IF(AND('Bonding Program'!$K$51&lt;&gt;"",B$3='Bonding Program'!$K$51),'Bonding Program'!$J$51,0)-IF(AND('Bonding Program'!$M$51&lt;&gt;"",B$3='Bonding Program'!$M$51),'Bonding Program'!$L$51,0)-IF(AND('Bonding Program'!$P$51&lt;&gt;"",B$3='Bonding Program'!$P$51),'Bonding Program'!$O$51,0)-IF(AND('Bonding Program'!$R$51&lt;&gt;"",B$3='Bonding Program'!$R$51),'Bonding Program'!$Q$51,0),0)</f>
        <v>0</v>
      </c>
      <c r="C192" s="19" t="n">
        <f aca="false">IF(AND('Bonding Program'!$S$51=1,C$3='Bonding Program'!$H$51),'Bonding Program'!$AA$51,0)-IF(C$3&lt;='Bonding Program'!$C$8,IF(AND('Bonding Program'!$K$51&lt;&gt;"",C$3='Bonding Program'!$K$51),'Bonding Program'!$J$51,0)-IF(AND('Bonding Program'!$M$51&lt;&gt;"",C$3='Bonding Program'!$M$51),'Bonding Program'!$L$51,0)-IF(AND('Bonding Program'!$P$51&lt;&gt;"",C$3='Bonding Program'!$P$51),'Bonding Program'!$O$51,0)-IF(AND('Bonding Program'!$R$51&lt;&gt;"",C$3='Bonding Program'!$R$51),'Bonding Program'!$Q$51,0),0)</f>
        <v>0</v>
      </c>
      <c r="D192" s="19" t="n">
        <f aca="false">IF(AND('Bonding Program'!$S$51=1,D$3='Bonding Program'!$H$51),'Bonding Program'!$AA$51,0)-IF(D$3&lt;='Bonding Program'!$C$8,IF(AND('Bonding Program'!$K$51&lt;&gt;"",D$3='Bonding Program'!$K$51),'Bonding Program'!$J$51,0)-IF(AND('Bonding Program'!$M$51&lt;&gt;"",D$3='Bonding Program'!$M$51),'Bonding Program'!$L$51,0)-IF(AND('Bonding Program'!$P$51&lt;&gt;"",D$3='Bonding Program'!$P$51),'Bonding Program'!$O$51,0)-IF(AND('Bonding Program'!$R$51&lt;&gt;"",D$3='Bonding Program'!$R$51),'Bonding Program'!$Q$51,0),0)</f>
        <v>0</v>
      </c>
      <c r="E192" s="19" t="n">
        <f aca="false">IF(AND('Bonding Program'!$S$51=1,E$3='Bonding Program'!$H$51),'Bonding Program'!$AA$51,0)-IF(E$3&lt;='Bonding Program'!$C$8,IF(AND('Bonding Program'!$K$51&lt;&gt;"",E$3='Bonding Program'!$K$51),'Bonding Program'!$J$51,0)-IF(AND('Bonding Program'!$M$51&lt;&gt;"",E$3='Bonding Program'!$M$51),'Bonding Program'!$L$51,0)-IF(AND('Bonding Program'!$P$51&lt;&gt;"",E$3='Bonding Program'!$P$51),'Bonding Program'!$O$51,0)-IF(AND('Bonding Program'!$R$51&lt;&gt;"",E$3='Bonding Program'!$R$51),'Bonding Program'!$Q$51,0),0)</f>
        <v>0</v>
      </c>
      <c r="F192" s="19" t="n">
        <f aca="false">IF(AND('Bonding Program'!$S$51=1,F$3='Bonding Program'!$H$51),'Bonding Program'!$AA$51,0)-IF(F$3&lt;='Bonding Program'!$C$8,IF(AND('Bonding Program'!$K$51&lt;&gt;"",F$3='Bonding Program'!$K$51),'Bonding Program'!$J$51,0)-IF(AND('Bonding Program'!$M$51&lt;&gt;"",F$3='Bonding Program'!$M$51),'Bonding Program'!$L$51,0)-IF(AND('Bonding Program'!$P$51&lt;&gt;"",F$3='Bonding Program'!$P$51),'Bonding Program'!$O$51,0)-IF(AND('Bonding Program'!$R$51&lt;&gt;"",F$3='Bonding Program'!$R$51),'Bonding Program'!$Q$51,0),0)</f>
        <v>0</v>
      </c>
      <c r="G192" s="19" t="n">
        <f aca="false">IF(AND('Bonding Program'!$S$51=1,G$3='Bonding Program'!$H$51),'Bonding Program'!$AA$51,0)-IF(G$3&lt;='Bonding Program'!$C$8,IF(AND('Bonding Program'!$K$51&lt;&gt;"",G$3='Bonding Program'!$K$51),'Bonding Program'!$J$51,0)-IF(AND('Bonding Program'!$M$51&lt;&gt;"",G$3='Bonding Program'!$M$51),'Bonding Program'!$L$51,0)-IF(AND('Bonding Program'!$P$51&lt;&gt;"",G$3='Bonding Program'!$P$51),'Bonding Program'!$O$51,0)-IF(AND('Bonding Program'!$R$51&lt;&gt;"",G$3='Bonding Program'!$R$51),'Bonding Program'!$Q$51,0),0)</f>
        <v>0</v>
      </c>
      <c r="H192" s="19" t="n">
        <f aca="false">IF(AND('Bonding Program'!$S$51=1,H$3='Bonding Program'!$H$51),'Bonding Program'!$AA$51,0)-IF(H$3&lt;='Bonding Program'!$C$8,IF(AND('Bonding Program'!$K$51&lt;&gt;"",H$3='Bonding Program'!$K$51),'Bonding Program'!$J$51,0)-IF(AND('Bonding Program'!$M$51&lt;&gt;"",H$3='Bonding Program'!$M$51),'Bonding Program'!$L$51,0)-IF(AND('Bonding Program'!$P$51&lt;&gt;"",H$3='Bonding Program'!$P$51),'Bonding Program'!$O$51,0)-IF(AND('Bonding Program'!$R$51&lt;&gt;"",H$3='Bonding Program'!$R$51),'Bonding Program'!$Q$51,0),0)</f>
        <v>0</v>
      </c>
      <c r="I192" s="19" t="n">
        <f aca="false">IF(AND('Bonding Program'!$S$51=1,I$3='Bonding Program'!$H$51),'Bonding Program'!$AA$51,0)-IF(I$3&lt;='Bonding Program'!$C$8,IF(AND('Bonding Program'!$K$51&lt;&gt;"",I$3='Bonding Program'!$K$51),'Bonding Program'!$J$51,0)-IF(AND('Bonding Program'!$M$51&lt;&gt;"",I$3='Bonding Program'!$M$51),'Bonding Program'!$L$51,0)-IF(AND('Bonding Program'!$P$51&lt;&gt;"",I$3='Bonding Program'!$P$51),'Bonding Program'!$O$51,0)-IF(AND('Bonding Program'!$R$51&lt;&gt;"",I$3='Bonding Program'!$R$51),'Bonding Program'!$Q$51,0),0)</f>
        <v>0</v>
      </c>
      <c r="J192" s="19" t="n">
        <f aca="false">IF(AND('Bonding Program'!$S$51=1,J$3='Bonding Program'!$H$51),'Bonding Program'!$AA$51,0)-IF(J$3&lt;='Bonding Program'!$C$8,IF(AND('Bonding Program'!$K$51&lt;&gt;"",J$3='Bonding Program'!$K$51),'Bonding Program'!$J$51,0)-IF(AND('Bonding Program'!$M$51&lt;&gt;"",J$3='Bonding Program'!$M$51),'Bonding Program'!$L$51,0)-IF(AND('Bonding Program'!$P$51&lt;&gt;"",J$3='Bonding Program'!$P$51),'Bonding Program'!$O$51,0)-IF(AND('Bonding Program'!$R$51&lt;&gt;"",J$3='Bonding Program'!$R$51),'Bonding Program'!$Q$51,0),0)</f>
        <v>0</v>
      </c>
      <c r="K192" s="19" t="n">
        <f aca="false">IF(AND('Bonding Program'!$S$51=1,K$3='Bonding Program'!$H$51),'Bonding Program'!$AA$51,0)-IF(K$3&lt;='Bonding Program'!$C$8,IF(AND('Bonding Program'!$K$51&lt;&gt;"",K$3='Bonding Program'!$K$51),'Bonding Program'!$J$51,0)-IF(AND('Bonding Program'!$M$51&lt;&gt;"",K$3='Bonding Program'!$M$51),'Bonding Program'!$L$51,0)-IF(AND('Bonding Program'!$P$51&lt;&gt;"",K$3='Bonding Program'!$P$51),'Bonding Program'!$O$51,0)-IF(AND('Bonding Program'!$R$51&lt;&gt;"",K$3='Bonding Program'!$R$51),'Bonding Program'!$Q$51,0),0)</f>
        <v>0</v>
      </c>
      <c r="L192" s="19" t="n">
        <f aca="false">IF(AND('Bonding Program'!$S$51=1,L$3='Bonding Program'!$H$51),'Bonding Program'!$AA$51,0)-IF(L$3&lt;='Bonding Program'!$C$8,IF(AND('Bonding Program'!$K$51&lt;&gt;"",L$3='Bonding Program'!$K$51),'Bonding Program'!$J$51,0)-IF(AND('Bonding Program'!$M$51&lt;&gt;"",L$3='Bonding Program'!$M$51),'Bonding Program'!$L$51,0)-IF(AND('Bonding Program'!$P$51&lt;&gt;"",L$3='Bonding Program'!$P$51),'Bonding Program'!$O$51,0)-IF(AND('Bonding Program'!$R$51&lt;&gt;"",L$3='Bonding Program'!$R$51),'Bonding Program'!$Q$51,0),0)</f>
        <v>0</v>
      </c>
      <c r="M192" s="19" t="n">
        <f aca="false">IF(AND('Bonding Program'!$S$51=1,M$3='Bonding Program'!$H$51),'Bonding Program'!$AA$51,0)-IF(M$3&lt;='Bonding Program'!$C$8,IF(AND('Bonding Program'!$K$51&lt;&gt;"",M$3='Bonding Program'!$K$51),'Bonding Program'!$J$51,0)-IF(AND('Bonding Program'!$M$51&lt;&gt;"",M$3='Bonding Program'!$M$51),'Bonding Program'!$L$51,0)-IF(AND('Bonding Program'!$P$51&lt;&gt;"",M$3='Bonding Program'!$P$51),'Bonding Program'!$O$51,0)-IF(AND('Bonding Program'!$R$51&lt;&gt;"",M$3='Bonding Program'!$R$51),'Bonding Program'!$Q$51,0),0)</f>
        <v>0</v>
      </c>
      <c r="N192" s="19" t="n">
        <f aca="false">IF(AND('Bonding Program'!$S$51=1,N$3='Bonding Program'!$H$51),'Bonding Program'!$AA$51,0)-IF(N$3&lt;='Bonding Program'!$C$8,IF(AND('Bonding Program'!$K$51&lt;&gt;"",N$3='Bonding Program'!$K$51),'Bonding Program'!$J$51,0)-IF(AND('Bonding Program'!$M$51&lt;&gt;"",N$3='Bonding Program'!$M$51),'Bonding Program'!$L$51,0)-IF(AND('Bonding Program'!$P$51&lt;&gt;"",N$3='Bonding Program'!$P$51),'Bonding Program'!$O$51,0)-IF(AND('Bonding Program'!$R$51&lt;&gt;"",N$3='Bonding Program'!$R$51),'Bonding Program'!$Q$51,0),0)</f>
        <v>0</v>
      </c>
      <c r="O192" s="19" t="n">
        <f aca="false">IF(AND('Bonding Program'!$S$51=1,O$3='Bonding Program'!$H$51),'Bonding Program'!$AA$51,0)-IF(O$3&lt;='Bonding Program'!$C$8,IF(AND('Bonding Program'!$K$51&lt;&gt;"",O$3='Bonding Program'!$K$51),'Bonding Program'!$J$51,0)-IF(AND('Bonding Program'!$M$51&lt;&gt;"",O$3='Bonding Program'!$M$51),'Bonding Program'!$L$51,0)-IF(AND('Bonding Program'!$P$51&lt;&gt;"",O$3='Bonding Program'!$P$51),'Bonding Program'!$O$51,0)-IF(AND('Bonding Program'!$R$51&lt;&gt;"",O$3='Bonding Program'!$R$51),'Bonding Program'!$Q$51,0),0)</f>
        <v>0</v>
      </c>
      <c r="P192" s="19" t="n">
        <f aca="false">IF(AND('Bonding Program'!$S$51=1,P$3='Bonding Program'!$H$51),'Bonding Program'!$AA$51,0)-IF(P$3&lt;='Bonding Program'!$C$8,IF(AND('Bonding Program'!$K$51&lt;&gt;"",P$3='Bonding Program'!$K$51),'Bonding Program'!$J$51,0)-IF(AND('Bonding Program'!$M$51&lt;&gt;"",P$3='Bonding Program'!$M$51),'Bonding Program'!$L$51,0)-IF(AND('Bonding Program'!$P$51&lt;&gt;"",P$3='Bonding Program'!$P$51),'Bonding Program'!$O$51,0)-IF(AND('Bonding Program'!$R$51&lt;&gt;"",P$3='Bonding Program'!$R$51),'Bonding Program'!$Q$51,0),0)</f>
        <v>0</v>
      </c>
      <c r="Q192" s="19" t="n">
        <f aca="false">IF(AND('Bonding Program'!$S$51=1,Q$3='Bonding Program'!$H$51),'Bonding Program'!$AA$51,0)-IF(Q$3&lt;='Bonding Program'!$C$8,IF(AND('Bonding Program'!$K$51&lt;&gt;"",Q$3='Bonding Program'!$K$51),'Bonding Program'!$J$51,0)-IF(AND('Bonding Program'!$M$51&lt;&gt;"",Q$3='Bonding Program'!$M$51),'Bonding Program'!$L$51,0)-IF(AND('Bonding Program'!$P$51&lt;&gt;"",Q$3='Bonding Program'!$P$51),'Bonding Program'!$O$51,0)-IF(AND('Bonding Program'!$R$51&lt;&gt;"",Q$3='Bonding Program'!$R$51),'Bonding Program'!$Q$51,0),0)</f>
        <v>0</v>
      </c>
      <c r="R192" s="19" t="n">
        <f aca="false">IF(AND('Bonding Program'!$S$51=1,R$3='Bonding Program'!$H$51),'Bonding Program'!$AA$51,0)-IF(R$3&lt;='Bonding Program'!$C$8,IF(AND('Bonding Program'!$K$51&lt;&gt;"",R$3='Bonding Program'!$K$51),'Bonding Program'!$J$51,0)-IF(AND('Bonding Program'!$M$51&lt;&gt;"",R$3='Bonding Program'!$M$51),'Bonding Program'!$L$51,0)-IF(AND('Bonding Program'!$P$51&lt;&gt;"",R$3='Bonding Program'!$P$51),'Bonding Program'!$O$51,0)-IF(AND('Bonding Program'!$R$51&lt;&gt;"",R$3='Bonding Program'!$R$51),'Bonding Program'!$Q$51,0),0)</f>
        <v>0</v>
      </c>
      <c r="S192" s="19" t="n">
        <f aca="false">IF(AND('Bonding Program'!$S$51=1,S$3='Bonding Program'!$H$51),'Bonding Program'!$AA$51,0)-IF(S$3&lt;='Bonding Program'!$C$8,IF(AND('Bonding Program'!$K$51&lt;&gt;"",S$3='Bonding Program'!$K$51),'Bonding Program'!$J$51,0)-IF(AND('Bonding Program'!$M$51&lt;&gt;"",S$3='Bonding Program'!$M$51),'Bonding Program'!$L$51,0)-IF(AND('Bonding Program'!$P$51&lt;&gt;"",S$3='Bonding Program'!$P$51),'Bonding Program'!$O$51,0)-IF(AND('Bonding Program'!$R$51&lt;&gt;"",S$3='Bonding Program'!$R$51),'Bonding Program'!$Q$51,0),0)</f>
        <v>0</v>
      </c>
      <c r="T192" s="19" t="n">
        <f aca="false">IF(AND('Bonding Program'!$S$51=1,T$3='Bonding Program'!$H$51),'Bonding Program'!$AA$51,0)-IF(T$3&lt;='Bonding Program'!$C$8,IF(AND('Bonding Program'!$K$51&lt;&gt;"",T$3='Bonding Program'!$K$51),'Bonding Program'!$J$51,0)-IF(AND('Bonding Program'!$M$51&lt;&gt;"",T$3='Bonding Program'!$M$51),'Bonding Program'!$L$51,0)-IF(AND('Bonding Program'!$P$51&lt;&gt;"",T$3='Bonding Program'!$P$51),'Bonding Program'!$O$51,0)-IF(AND('Bonding Program'!$R$51&lt;&gt;"",T$3='Bonding Program'!$R$51),'Bonding Program'!$Q$51,0),0)</f>
        <v>0</v>
      </c>
      <c r="U192" s="19" t="n">
        <f aca="false">IF(AND('Bonding Program'!$S$51=1,U$3='Bonding Program'!$H$51),'Bonding Program'!$AA$51,0)-IF(U$3&lt;='Bonding Program'!$C$8,IF(AND('Bonding Program'!$K$51&lt;&gt;"",U$3='Bonding Program'!$K$51),'Bonding Program'!$J$51,0)-IF(AND('Bonding Program'!$M$51&lt;&gt;"",U$3='Bonding Program'!$M$51),'Bonding Program'!$L$51,0)-IF(AND('Bonding Program'!$P$51&lt;&gt;"",U$3='Bonding Program'!$P$51),'Bonding Program'!$O$51,0)-IF(AND('Bonding Program'!$R$51&lt;&gt;"",U$3='Bonding Program'!$R$51),'Bonding Program'!$Q$51,0),0)</f>
        <v>0</v>
      </c>
      <c r="V192" s="19" t="n">
        <f aca="false">IF(AND('Bonding Program'!$S$51=1,V$3='Bonding Program'!$H$51),'Bonding Program'!$AA$51,0)-IF(V$3&lt;='Bonding Program'!$C$8,IF(AND('Bonding Program'!$K$51&lt;&gt;"",V$3='Bonding Program'!$K$51),'Bonding Program'!$J$51,0)-IF(AND('Bonding Program'!$M$51&lt;&gt;"",V$3='Bonding Program'!$M$51),'Bonding Program'!$L$51,0)-IF(AND('Bonding Program'!$P$51&lt;&gt;"",V$3='Bonding Program'!$P$51),'Bonding Program'!$O$51,0)-IF(AND('Bonding Program'!$R$51&lt;&gt;"",V$3='Bonding Program'!$R$51),'Bonding Program'!$Q$51,0),0)</f>
        <v>0</v>
      </c>
      <c r="W192" s="19" t="n">
        <f aca="false">IF(AND('Bonding Program'!$S$51=1,W$3='Bonding Program'!$H$51),'Bonding Program'!$AA$51,0)-IF(W$3&lt;='Bonding Program'!$C$8,IF(AND('Bonding Program'!$K$51&lt;&gt;"",W$3='Bonding Program'!$K$51),'Bonding Program'!$J$51,0)-IF(AND('Bonding Program'!$M$51&lt;&gt;"",W$3='Bonding Program'!$M$51),'Bonding Program'!$L$51,0)-IF(AND('Bonding Program'!$P$51&lt;&gt;"",W$3='Bonding Program'!$P$51),'Bonding Program'!$O$51,0)-IF(AND('Bonding Program'!$R$51&lt;&gt;"",W$3='Bonding Program'!$R$51),'Bonding Program'!$Q$51,0),0)</f>
        <v>0</v>
      </c>
      <c r="X192" s="19" t="n">
        <f aca="false">IF(AND('Bonding Program'!$S$51=1,X$3='Bonding Program'!$H$51),'Bonding Program'!$AA$51,0)-IF(X$3&lt;='Bonding Program'!$C$8,IF(AND('Bonding Program'!$K$51&lt;&gt;"",X$3='Bonding Program'!$K$51),'Bonding Program'!$J$51,0)-IF(AND('Bonding Program'!$M$51&lt;&gt;"",X$3='Bonding Program'!$M$51),'Bonding Program'!$L$51,0)-IF(AND('Bonding Program'!$P$51&lt;&gt;"",X$3='Bonding Program'!$P$51),'Bonding Program'!$O$51,0)-IF(AND('Bonding Program'!$R$51&lt;&gt;"",X$3='Bonding Program'!$R$51),'Bonding Program'!$Q$51,0),0)</f>
        <v>0</v>
      </c>
      <c r="Y192" s="19" t="n">
        <f aca="false">IF(AND('Bonding Program'!$S$51=1,Y$3='Bonding Program'!$H$51),'Bonding Program'!$AA$51,0)-IF(Y$3&lt;='Bonding Program'!$C$8,IF(AND('Bonding Program'!$K$51&lt;&gt;"",Y$3='Bonding Program'!$K$51),'Bonding Program'!$J$51,0)-IF(AND('Bonding Program'!$M$51&lt;&gt;"",Y$3='Bonding Program'!$M$51),'Bonding Program'!$L$51,0)-IF(AND('Bonding Program'!$P$51&lt;&gt;"",Y$3='Bonding Program'!$P$51),'Bonding Program'!$O$51,0)-IF(AND('Bonding Program'!$R$51&lt;&gt;"",Y$3='Bonding Program'!$R$51),'Bonding Program'!$Q$51,0),0)</f>
        <v>0</v>
      </c>
      <c r="Z192" s="19" t="n">
        <f aca="false">IF(AND('Bonding Program'!$S$51=1,Z$3='Bonding Program'!$H$51),'Bonding Program'!$AA$51,0)-IF(Z$3&lt;='Bonding Program'!$C$8,IF(AND('Bonding Program'!$K$51&lt;&gt;"",Z$3='Bonding Program'!$K$51),'Bonding Program'!$J$51,0)-IF(AND('Bonding Program'!$M$51&lt;&gt;"",Z$3='Bonding Program'!$M$51),'Bonding Program'!$L$51,0)-IF(AND('Bonding Program'!$P$51&lt;&gt;"",Z$3='Bonding Program'!$P$51),'Bonding Program'!$O$51,0)-IF(AND('Bonding Program'!$R$51&lt;&gt;"",Z$3='Bonding Program'!$R$51),'Bonding Program'!$Q$51,0),0)</f>
        <v>0</v>
      </c>
      <c r="AA192" s="19" t="n">
        <f aca="false">IF(AND('Bonding Program'!$S$51=1,AA$3='Bonding Program'!$H$51),'Bonding Program'!$AA$51,0)-IF(AA$3&lt;='Bonding Program'!$C$8,IF(AND('Bonding Program'!$K$51&lt;&gt;"",AA$3='Bonding Program'!$K$51),'Bonding Program'!$J$51,0)-IF(AND('Bonding Program'!$M$51&lt;&gt;"",AA$3='Bonding Program'!$M$51),'Bonding Program'!$L$51,0)-IF(AND('Bonding Program'!$P$51&lt;&gt;"",AA$3='Bonding Program'!$P$51),'Bonding Program'!$O$51,0)-IF(AND('Bonding Program'!$R$51&lt;&gt;"",AA$3='Bonding Program'!$R$51),'Bonding Program'!$Q$51,0),0)</f>
        <v>0</v>
      </c>
      <c r="AB192" s="19" t="n">
        <f aca="false">IF(AND('Bonding Program'!$S$51=1,AB$3='Bonding Program'!$H$51),'Bonding Program'!$AA$51,0)-IF(AB$3&lt;='Bonding Program'!$C$8,IF(AND('Bonding Program'!$K$51&lt;&gt;"",AB$3='Bonding Program'!$K$51),'Bonding Program'!$J$51,0)-IF(AND('Bonding Program'!$M$51&lt;&gt;"",AB$3='Bonding Program'!$M$51),'Bonding Program'!$L$51,0)-IF(AND('Bonding Program'!$P$51&lt;&gt;"",AB$3='Bonding Program'!$P$51),'Bonding Program'!$O$51,0)-IF(AND('Bonding Program'!$R$51&lt;&gt;"",AB$3='Bonding Program'!$R$51),'Bonding Program'!$Q$51,0),0)</f>
        <v>0</v>
      </c>
      <c r="AC192" s="19" t="n">
        <f aca="false">IF(AND('Bonding Program'!$S$51=1,AC$3='Bonding Program'!$H$51),'Bonding Program'!$AA$51,0)-IF(AC$3&lt;='Bonding Program'!$C$8,IF(AND('Bonding Program'!$K$51&lt;&gt;"",AC$3='Bonding Program'!$K$51),'Bonding Program'!$J$51,0)-IF(AND('Bonding Program'!$M$51&lt;&gt;"",AC$3='Bonding Program'!$M$51),'Bonding Program'!$L$51,0)-IF(AND('Bonding Program'!$P$51&lt;&gt;"",AC$3='Bonding Program'!$P$51),'Bonding Program'!$O$51,0)-IF(AND('Bonding Program'!$R$51&lt;&gt;"",AC$3='Bonding Program'!$R$51),'Bonding Program'!$Q$51,0),0)</f>
        <v>0</v>
      </c>
      <c r="AD192" s="19" t="n">
        <f aca="false">IF(AND('Bonding Program'!$S$51=1,AD$3='Bonding Program'!$H$51),'Bonding Program'!$AA$51,0)-IF(AD$3&lt;='Bonding Program'!$C$8,IF(AND('Bonding Program'!$K$51&lt;&gt;"",AD$3='Bonding Program'!$K$51),'Bonding Program'!$J$51,0)-IF(AND('Bonding Program'!$M$51&lt;&gt;"",AD$3='Bonding Program'!$M$51),'Bonding Program'!$L$51,0)-IF(AND('Bonding Program'!$P$51&lt;&gt;"",AD$3='Bonding Program'!$P$51),'Bonding Program'!$O$51,0)-IF(AND('Bonding Program'!$R$51&lt;&gt;"",AD$3='Bonding Program'!$R$51),'Bonding Program'!$Q$51,0),0)</f>
        <v>0</v>
      </c>
      <c r="AE192" s="19" t="n">
        <f aca="false">IF(AND('Bonding Program'!$S$51=1,AE$3='Bonding Program'!$H$51),'Bonding Program'!$AA$51,0)-IF(AE$3&lt;='Bonding Program'!$C$8,IF(AND('Bonding Program'!$K$51&lt;&gt;"",AE$3='Bonding Program'!$K$51),'Bonding Program'!$J$51,0)-IF(AND('Bonding Program'!$M$51&lt;&gt;"",AE$3='Bonding Program'!$M$51),'Bonding Program'!$L$51,0)-IF(AND('Bonding Program'!$P$51&lt;&gt;"",AE$3='Bonding Program'!$P$51),'Bonding Program'!$O$51,0)-IF(AND('Bonding Program'!$R$51&lt;&gt;"",AE$3='Bonding Program'!$R$51),'Bonding Program'!$Q$51,0),0)</f>
        <v>0</v>
      </c>
      <c r="AF192" s="19" t="n">
        <f aca="false">IF(AND('Bonding Program'!$S$51=1,AF$3='Bonding Program'!$H$51),'Bonding Program'!$AA$51,0)-IF(AF$3&lt;='Bonding Program'!$C$8,IF(AND('Bonding Program'!$K$51&lt;&gt;"",AF$3='Bonding Program'!$K$51),'Bonding Program'!$J$51,0)-IF(AND('Bonding Program'!$M$51&lt;&gt;"",AF$3='Bonding Program'!$M$51),'Bonding Program'!$L$51,0)-IF(AND('Bonding Program'!$P$51&lt;&gt;"",AF$3='Bonding Program'!$P$51),'Bonding Program'!$O$51,0)-IF(AND('Bonding Program'!$R$51&lt;&gt;"",AF$3='Bonding Program'!$R$51),'Bonding Program'!$Q$51,0),0)</f>
        <v>0</v>
      </c>
      <c r="AG192" s="19" t="n">
        <f aca="false">IF(AND('Bonding Program'!$S$51=1,AG$3='Bonding Program'!$H$51),'Bonding Program'!$AA$51,0)-IF(AG$3&lt;='Bonding Program'!$C$8,IF(AND('Bonding Program'!$K$51&lt;&gt;"",AG$3='Bonding Program'!$K$51),'Bonding Program'!$J$51,0)-IF(AND('Bonding Program'!$M$51&lt;&gt;"",AG$3='Bonding Program'!$M$51),'Bonding Program'!$L$51,0)-IF(AND('Bonding Program'!$P$51&lt;&gt;"",AG$3='Bonding Program'!$P$51),'Bonding Program'!$O$51,0)-IF(AND('Bonding Program'!$R$51&lt;&gt;"",AG$3='Bonding Program'!$R$51),'Bonding Program'!$Q$51,0),0)</f>
        <v>0</v>
      </c>
      <c r="AH192" s="19" t="n">
        <f aca="false">IF(AND('Bonding Program'!$S$51=1,AH$3='Bonding Program'!$H$51),'Bonding Program'!$AA$51,0)-IF(AH$3&lt;='Bonding Program'!$C$8,IF(AND('Bonding Program'!$K$51&lt;&gt;"",AH$3='Bonding Program'!$K$51),'Bonding Program'!$J$51,0)-IF(AND('Bonding Program'!$M$51&lt;&gt;"",AH$3='Bonding Program'!$M$51),'Bonding Program'!$L$51,0)-IF(AND('Bonding Program'!$P$51&lt;&gt;"",AH$3='Bonding Program'!$P$51),'Bonding Program'!$O$51,0)-IF(AND('Bonding Program'!$R$51&lt;&gt;"",AH$3='Bonding Program'!$R$51),'Bonding Program'!$Q$51,0),0)</f>
        <v>0</v>
      </c>
      <c r="AI192" s="19" t="n">
        <f aca="false">IF(AND('Bonding Program'!$S$51=1,AI$3='Bonding Program'!$H$51),'Bonding Program'!$AA$51,0)-IF(AI$3&lt;='Bonding Program'!$C$8,IF(AND('Bonding Program'!$K$51&lt;&gt;"",AI$3='Bonding Program'!$K$51),'Bonding Program'!$J$51,0)-IF(AND('Bonding Program'!$M$51&lt;&gt;"",AI$3='Bonding Program'!$M$51),'Bonding Program'!$L$51,0)-IF(AND('Bonding Program'!$P$51&lt;&gt;"",AI$3='Bonding Program'!$P$51),'Bonding Program'!$O$51,0)-IF(AND('Bonding Program'!$R$51&lt;&gt;"",AI$3='Bonding Program'!$R$51),'Bonding Program'!$Q$51,0),0)</f>
        <v>0</v>
      </c>
      <c r="AJ192" s="19" t="n">
        <f aca="false">IF(AND('Bonding Program'!$S$51=1,AJ$3='Bonding Program'!$H$51),'Bonding Program'!$AA$51,0)-IF(AJ$3&lt;='Bonding Program'!$C$8,IF(AND('Bonding Program'!$K$51&lt;&gt;"",AJ$3='Bonding Program'!$K$51),'Bonding Program'!$J$51,0)-IF(AND('Bonding Program'!$M$51&lt;&gt;"",AJ$3='Bonding Program'!$M$51),'Bonding Program'!$L$51,0)-IF(AND('Bonding Program'!$P$51&lt;&gt;"",AJ$3='Bonding Program'!$P$51),'Bonding Program'!$O$51,0)-IF(AND('Bonding Program'!$R$51&lt;&gt;"",AJ$3='Bonding Program'!$R$51),'Bonding Program'!$Q$51,0),0)</f>
        <v>0</v>
      </c>
      <c r="AK192" s="19" t="n">
        <f aca="false">IF(AND('Bonding Program'!$S$51=1,AK$3='Bonding Program'!$H$51),'Bonding Program'!$AA$51,0)-IF(AK$3&lt;='Bonding Program'!$C$8,IF(AND('Bonding Program'!$K$51&lt;&gt;"",AK$3='Bonding Program'!$K$51),'Bonding Program'!$J$51,0)-IF(AND('Bonding Program'!$M$51&lt;&gt;"",AK$3='Bonding Program'!$M$51),'Bonding Program'!$L$51,0)-IF(AND('Bonding Program'!$P$51&lt;&gt;"",AK$3='Bonding Program'!$P$51),'Bonding Program'!$O$51,0)-IF(AND('Bonding Program'!$R$51&lt;&gt;"",AK$3='Bonding Program'!$R$51),'Bonding Program'!$Q$51,0),0)</f>
        <v>0</v>
      </c>
      <c r="AL192" s="19" t="n">
        <f aca="false">IF(AND('Bonding Program'!$S$51=1,AL$3='Bonding Program'!$H$51),'Bonding Program'!$AA$51,0)-IF(AL$3&lt;='Bonding Program'!$C$8,IF(AND('Bonding Program'!$K$51&lt;&gt;"",AL$3='Bonding Program'!$K$51),'Bonding Program'!$J$51,0)-IF(AND('Bonding Program'!$M$51&lt;&gt;"",AL$3='Bonding Program'!$M$51),'Bonding Program'!$L$51,0)-IF(AND('Bonding Program'!$P$51&lt;&gt;"",AL$3='Bonding Program'!$P$51),'Bonding Program'!$O$51,0)-IF(AND('Bonding Program'!$R$51&lt;&gt;"",AL$3='Bonding Program'!$R$51),'Bonding Program'!$Q$51,0),0)</f>
        <v>0</v>
      </c>
      <c r="AM192" s="19" t="n">
        <f aca="false">IF(AND('Bonding Program'!$S$51=1,AM$3='Bonding Program'!$H$51),'Bonding Program'!$AA$51,0)-IF(AM$3&lt;='Bonding Program'!$C$8,IF(AND('Bonding Program'!$K$51&lt;&gt;"",AM$3='Bonding Program'!$K$51),'Bonding Program'!$J$51,0)-IF(AND('Bonding Program'!$M$51&lt;&gt;"",AM$3='Bonding Program'!$M$51),'Bonding Program'!$L$51,0)-IF(AND('Bonding Program'!$P$51&lt;&gt;"",AM$3='Bonding Program'!$P$51),'Bonding Program'!$O$51,0)-IF(AND('Bonding Program'!$R$51&lt;&gt;"",AM$3='Bonding Program'!$R$51),'Bonding Program'!$Q$51,0),0)</f>
        <v>0</v>
      </c>
      <c r="AN192" s="19" t="n">
        <f aca="false">IF(AND('Bonding Program'!$S$51=1,AN$3='Bonding Program'!$H$51),'Bonding Program'!$AA$51,0)-IF(AN$3&lt;='Bonding Program'!$C$8,IF(AND('Bonding Program'!$K$51&lt;&gt;"",AN$3='Bonding Program'!$K$51),'Bonding Program'!$J$51,0)-IF(AND('Bonding Program'!$M$51&lt;&gt;"",AN$3='Bonding Program'!$M$51),'Bonding Program'!$L$51,0)-IF(AND('Bonding Program'!$P$51&lt;&gt;"",AN$3='Bonding Program'!$P$51),'Bonding Program'!$O$51,0)-IF(AND('Bonding Program'!$R$51&lt;&gt;"",AN$3='Bonding Program'!$R$51),'Bonding Program'!$Q$51,0),0)</f>
        <v>0</v>
      </c>
      <c r="AO192" s="19" t="n">
        <f aca="false">IF(AND('Bonding Program'!$S$51=1,AO$3='Bonding Program'!$H$51),'Bonding Program'!$AA$51,0)-IF(AO$3&lt;='Bonding Program'!$C$8,IF(AND('Bonding Program'!$K$51&lt;&gt;"",AO$3='Bonding Program'!$K$51),'Bonding Program'!$J$51,0)-IF(AND('Bonding Program'!$M$51&lt;&gt;"",AO$3='Bonding Program'!$M$51),'Bonding Program'!$L$51,0)-IF(AND('Bonding Program'!$P$51&lt;&gt;"",AO$3='Bonding Program'!$P$51),'Bonding Program'!$O$51,0)-IF(AND('Bonding Program'!$R$51&lt;&gt;"",AO$3='Bonding Program'!$R$51),'Bonding Program'!$Q$51,0),0)</f>
        <v>0</v>
      </c>
      <c r="AP192" s="19" t="n">
        <f aca="false">IF(AND('Bonding Program'!$S$51=1,AP$3='Bonding Program'!$H$51),'Bonding Program'!$AA$51,0)-IF(AP$3&lt;='Bonding Program'!$C$8,IF(AND('Bonding Program'!$K$51&lt;&gt;"",AP$3='Bonding Program'!$K$51),'Bonding Program'!$J$51,0)-IF(AND('Bonding Program'!$M$51&lt;&gt;"",AP$3='Bonding Program'!$M$51),'Bonding Program'!$L$51,0)-IF(AND('Bonding Program'!$P$51&lt;&gt;"",AP$3='Bonding Program'!$P$51),'Bonding Program'!$O$51,0)-IF(AND('Bonding Program'!$R$51&lt;&gt;"",AP$3='Bonding Program'!$R$51),'Bonding Program'!$Q$51,0),0)</f>
        <v>0</v>
      </c>
      <c r="AQ192" s="19" t="n">
        <f aca="false">IF(AND('Bonding Program'!$S$51=1,AQ$3='Bonding Program'!$H$51),'Bonding Program'!$AA$51,0)-IF(AQ$3&lt;='Bonding Program'!$C$8,IF(AND('Bonding Program'!$K$51&lt;&gt;"",AQ$3='Bonding Program'!$K$51),'Bonding Program'!$J$51,0)-IF(AND('Bonding Program'!$M$51&lt;&gt;"",AQ$3='Bonding Program'!$M$51),'Bonding Program'!$L$51,0)-IF(AND('Bonding Program'!$P$51&lt;&gt;"",AQ$3='Bonding Program'!$P$51),'Bonding Program'!$O$51,0)-IF(AND('Bonding Program'!$R$51&lt;&gt;"",AQ$3='Bonding Program'!$R$51),'Bonding Program'!$Q$51,0),0)</f>
        <v>0</v>
      </c>
      <c r="AR192" s="19" t="n">
        <f aca="false">IF(AND('Bonding Program'!$S$51=1,AR$3='Bonding Program'!$H$51),'Bonding Program'!$AA$51,0)-IF(AR$3&lt;='Bonding Program'!$C$8,IF(AND('Bonding Program'!$K$51&lt;&gt;"",AR$3='Bonding Program'!$K$51),'Bonding Program'!$J$51,0)-IF(AND('Bonding Program'!$M$51&lt;&gt;"",AR$3='Bonding Program'!$M$51),'Bonding Program'!$L$51,0)-IF(AND('Bonding Program'!$P$51&lt;&gt;"",AR$3='Bonding Program'!$P$51),'Bonding Program'!$O$51,0)-IF(AND('Bonding Program'!$R$51&lt;&gt;"",AR$3='Bonding Program'!$R$51),'Bonding Program'!$Q$51,0),0)</f>
        <v>0</v>
      </c>
      <c r="AS192" s="19" t="n">
        <f aca="false">IF(AND('Bonding Program'!$S$51=1,AS$3='Bonding Program'!$H$51),'Bonding Program'!$AA$51,0)-IF(AS$3&lt;='Bonding Program'!$C$8,IF(AND('Bonding Program'!$K$51&lt;&gt;"",AS$3='Bonding Program'!$K$51),'Bonding Program'!$J$51,0)-IF(AND('Bonding Program'!$M$51&lt;&gt;"",AS$3='Bonding Program'!$M$51),'Bonding Program'!$L$51,0)-IF(AND('Bonding Program'!$P$51&lt;&gt;"",AS$3='Bonding Program'!$P$51),'Bonding Program'!$O$51,0)-IF(AND('Bonding Program'!$R$51&lt;&gt;"",AS$3='Bonding Program'!$R$51),'Bonding Program'!$Q$51,0),0)</f>
        <v>0</v>
      </c>
      <c r="AT192" s="19" t="n">
        <f aca="false">IF(AND('Bonding Program'!$S$51=1,AT$3='Bonding Program'!$H$51),'Bonding Program'!$AA$51,0)-IF(AT$3&lt;='Bonding Program'!$C$8,IF(AND('Bonding Program'!$K$51&lt;&gt;"",AT$3='Bonding Program'!$K$51),'Bonding Program'!$J$51,0)-IF(AND('Bonding Program'!$M$51&lt;&gt;"",AT$3='Bonding Program'!$M$51),'Bonding Program'!$L$51,0)-IF(AND('Bonding Program'!$P$51&lt;&gt;"",AT$3='Bonding Program'!$P$51),'Bonding Program'!$O$51,0)-IF(AND('Bonding Program'!$R$51&lt;&gt;"",AT$3='Bonding Program'!$R$51),'Bonding Program'!$Q$51,0),0)</f>
        <v>0</v>
      </c>
      <c r="AU192" s="19" t="n">
        <f aca="false">IF(AND('Bonding Program'!$S$51=1,AU$3='Bonding Program'!$H$51),'Bonding Program'!$AA$51,0)-IF(AU$3&lt;='Bonding Program'!$C$8,IF(AND('Bonding Program'!$K$51&lt;&gt;"",AU$3='Bonding Program'!$K$51),'Bonding Program'!$J$51,0)-IF(AND('Bonding Program'!$M$51&lt;&gt;"",AU$3='Bonding Program'!$M$51),'Bonding Program'!$L$51,0)-IF(AND('Bonding Program'!$P$51&lt;&gt;"",AU$3='Bonding Program'!$P$51),'Bonding Program'!$O$51,0)-IF(AND('Bonding Program'!$R$51&lt;&gt;"",AU$3='Bonding Program'!$R$51),'Bonding Program'!$Q$51,0),0)</f>
        <v>0</v>
      </c>
      <c r="AV192" s="19" t="n">
        <f aca="false">IF(AND('Bonding Program'!$S$51=1,AV$3='Bonding Program'!$H$51),'Bonding Program'!$AA$51,0)-IF(AV$3&lt;='Bonding Program'!$C$8,IF(AND('Bonding Program'!$K$51&lt;&gt;"",AV$3='Bonding Program'!$K$51),'Bonding Program'!$J$51,0)-IF(AND('Bonding Program'!$M$51&lt;&gt;"",AV$3='Bonding Program'!$M$51),'Bonding Program'!$L$51,0)-IF(AND('Bonding Program'!$P$51&lt;&gt;"",AV$3='Bonding Program'!$P$51),'Bonding Program'!$O$51,0)-IF(AND('Bonding Program'!$R$51&lt;&gt;"",AV$3='Bonding Program'!$R$51),'Bonding Program'!$Q$51,0),0)</f>
        <v>0</v>
      </c>
      <c r="AW192" s="19" t="n">
        <f aca="false">IF(AND('Bonding Program'!$S$51=1,AW$3='Bonding Program'!$H$51),'Bonding Program'!$AA$51,0)-IF(AW$3&lt;='Bonding Program'!$C$8,IF(AND('Bonding Program'!$K$51&lt;&gt;"",AW$3='Bonding Program'!$K$51),'Bonding Program'!$J$51,0)-IF(AND('Bonding Program'!$M$51&lt;&gt;"",AW$3='Bonding Program'!$M$51),'Bonding Program'!$L$51,0)-IF(AND('Bonding Program'!$P$51&lt;&gt;"",AW$3='Bonding Program'!$P$51),'Bonding Program'!$O$51,0)-IF(AND('Bonding Program'!$R$51&lt;&gt;"",AW$3='Bonding Program'!$R$51),'Bonding Program'!$Q$51,0),0)</f>
        <v>0</v>
      </c>
      <c r="AX192" s="19" t="n">
        <f aca="false">IF(AND('Bonding Program'!$S$51=1,AX$3='Bonding Program'!$H$51),'Bonding Program'!$AA$51,0)-IF(AX$3&lt;='Bonding Program'!$C$8,IF(AND('Bonding Program'!$K$51&lt;&gt;"",AX$3='Bonding Program'!$K$51),'Bonding Program'!$J$51,0)-IF(AND('Bonding Program'!$M$51&lt;&gt;"",AX$3='Bonding Program'!$M$51),'Bonding Program'!$L$51,0)-IF(AND('Bonding Program'!$P$51&lt;&gt;"",AX$3='Bonding Program'!$P$51),'Bonding Program'!$O$51,0)-IF(AND('Bonding Program'!$R$51&lt;&gt;"",AX$3='Bonding Program'!$R$51),'Bonding Program'!$Q$51,0),0)</f>
        <v>0</v>
      </c>
      <c r="AY192" s="19" t="n">
        <f aca="false">IF(AND('Bonding Program'!$S$51=1,AY$3='Bonding Program'!$H$51),'Bonding Program'!$AA$51,0)-IF(AY$3&lt;='Bonding Program'!$C$8,IF(AND('Bonding Program'!$K$51&lt;&gt;"",AY$3='Bonding Program'!$K$51),'Bonding Program'!$J$51,0)-IF(AND('Bonding Program'!$M$51&lt;&gt;"",AY$3='Bonding Program'!$M$51),'Bonding Program'!$L$51,0)-IF(AND('Bonding Program'!$P$51&lt;&gt;"",AY$3='Bonding Program'!$P$51),'Bonding Program'!$O$51,0)-IF(AND('Bonding Program'!$R$51&lt;&gt;"",AY$3='Bonding Program'!$R$51),'Bonding Program'!$Q$51,0),0)</f>
        <v>0</v>
      </c>
      <c r="AZ192" s="19" t="n">
        <f aca="false">IF(AND('Bonding Program'!$S$51=1,AZ$3='Bonding Program'!$H$51),'Bonding Program'!$AA$51,0)-IF(AZ$3&lt;='Bonding Program'!$C$8,IF(AND('Bonding Program'!$K$51&lt;&gt;"",AZ$3='Bonding Program'!$K$51),'Bonding Program'!$J$51,0)-IF(AND('Bonding Program'!$M$51&lt;&gt;"",AZ$3='Bonding Program'!$M$51),'Bonding Program'!$L$51,0)-IF(AND('Bonding Program'!$P$51&lt;&gt;"",AZ$3='Bonding Program'!$P$51),'Bonding Program'!$O$51,0)-IF(AND('Bonding Program'!$R$51&lt;&gt;"",AZ$3='Bonding Program'!$R$51),'Bonding Program'!$Q$51,0),0)</f>
        <v>0</v>
      </c>
      <c r="BA192" s="19" t="n">
        <f aca="false">IF(AND('Bonding Program'!$S$51=1,BA$3='Bonding Program'!$H$51),'Bonding Program'!$AA$51,0)-IF(BA$3&lt;='Bonding Program'!$C$8,IF(AND('Bonding Program'!$K$51&lt;&gt;"",BA$3='Bonding Program'!$K$51),'Bonding Program'!$J$51,0)-IF(AND('Bonding Program'!$M$51&lt;&gt;"",BA$3='Bonding Program'!$M$51),'Bonding Program'!$L$51,0)-IF(AND('Bonding Program'!$P$51&lt;&gt;"",BA$3='Bonding Program'!$P$51),'Bonding Program'!$O$51,0)-IF(AND('Bonding Program'!$R$51&lt;&gt;"",BA$3='Bonding Program'!$R$51),'Bonding Program'!$Q$51,0),0)</f>
        <v>0</v>
      </c>
      <c r="BB192" s="19" t="n">
        <f aca="false">IF(AND('Bonding Program'!$S$51=1,BB$3='Bonding Program'!$H$51),'Bonding Program'!$AA$51,0)-IF(BB$3&lt;='Bonding Program'!$C$8,IF(AND('Bonding Program'!$K$51&lt;&gt;"",BB$3='Bonding Program'!$K$51),'Bonding Program'!$J$51,0)-IF(AND('Bonding Program'!$M$51&lt;&gt;"",BB$3='Bonding Program'!$M$51),'Bonding Program'!$L$51,0)-IF(AND('Bonding Program'!$P$51&lt;&gt;"",BB$3='Bonding Program'!$P$51),'Bonding Program'!$O$51,0)-IF(AND('Bonding Program'!$R$51&lt;&gt;"",BB$3='Bonding Program'!$R$51),'Bonding Program'!$Q$51,0),0)</f>
        <v>0</v>
      </c>
      <c r="BC192" s="19" t="n">
        <f aca="false">IF(AND('Bonding Program'!$S$51=1,BC$3='Bonding Program'!$H$51),'Bonding Program'!$AA$51,0)-IF(BC$3&lt;='Bonding Program'!$C$8,IF(AND('Bonding Program'!$K$51&lt;&gt;"",BC$3='Bonding Program'!$K$51),'Bonding Program'!$J$51,0)-IF(AND('Bonding Program'!$M$51&lt;&gt;"",BC$3='Bonding Program'!$M$51),'Bonding Program'!$L$51,0)-IF(AND('Bonding Program'!$P$51&lt;&gt;"",BC$3='Bonding Program'!$P$51),'Bonding Program'!$O$51,0)-IF(AND('Bonding Program'!$R$51&lt;&gt;"",BC$3='Bonding Program'!$R$51),'Bonding Program'!$Q$51,0),0)</f>
        <v>0</v>
      </c>
      <c r="BD192" s="19" t="n">
        <f aca="false">IF(AND('Bonding Program'!$S$51=1,BD$3='Bonding Program'!$H$51),'Bonding Program'!$AA$51,0)-IF(BD$3&lt;='Bonding Program'!$C$8,IF(AND('Bonding Program'!$K$51&lt;&gt;"",BD$3='Bonding Program'!$K$51),'Bonding Program'!$J$51,0)-IF(AND('Bonding Program'!$M$51&lt;&gt;"",BD$3='Bonding Program'!$M$51),'Bonding Program'!$L$51,0)-IF(AND('Bonding Program'!$P$51&lt;&gt;"",BD$3='Bonding Program'!$P$51),'Bonding Program'!$O$51,0)-IF(AND('Bonding Program'!$R$51&lt;&gt;"",BD$3='Bonding Program'!$R$51),'Bonding Program'!$Q$51,0),0)</f>
        <v>0</v>
      </c>
      <c r="BE192" s="19" t="n">
        <f aca="false">IF(AND('Bonding Program'!$S$51=1,BE$3='Bonding Program'!$H$51),'Bonding Program'!$AA$51,0)-IF(BE$3&lt;='Bonding Program'!$C$8,IF(AND('Bonding Program'!$K$51&lt;&gt;"",BE$3='Bonding Program'!$K$51),'Bonding Program'!$J$51,0)-IF(AND('Bonding Program'!$M$51&lt;&gt;"",BE$3='Bonding Program'!$M$51),'Bonding Program'!$L$51,0)-IF(AND('Bonding Program'!$P$51&lt;&gt;"",BE$3='Bonding Program'!$P$51),'Bonding Program'!$O$51,0)-IF(AND('Bonding Program'!$R$51&lt;&gt;"",BE$3='Bonding Program'!$R$51),'Bonding Program'!$Q$51,0),0)</f>
        <v>0</v>
      </c>
      <c r="BF192" s="19" t="n">
        <f aca="false">IF(AND('Bonding Program'!$S$51=1,BF$3='Bonding Program'!$H$51),'Bonding Program'!$AA$51,0)-IF(BF$3&lt;='Bonding Program'!$C$8,IF(AND('Bonding Program'!$K$51&lt;&gt;"",BF$3='Bonding Program'!$K$51),'Bonding Program'!$J$51,0)-IF(AND('Bonding Program'!$M$51&lt;&gt;"",BF$3='Bonding Program'!$M$51),'Bonding Program'!$L$51,0)-IF(AND('Bonding Program'!$P$51&lt;&gt;"",BF$3='Bonding Program'!$P$51),'Bonding Program'!$O$51,0)-IF(AND('Bonding Program'!$R$51&lt;&gt;"",BF$3='Bonding Program'!$R$51),'Bonding Program'!$Q$51,0),0)</f>
        <v>0</v>
      </c>
      <c r="BG192" s="19" t="n">
        <f aca="false">IF(AND('Bonding Program'!$S$51=1,BG$3='Bonding Program'!$H$51),'Bonding Program'!$AA$51,0)-IF(BG$3&lt;='Bonding Program'!$C$8,IF(AND('Bonding Program'!$K$51&lt;&gt;"",BG$3='Bonding Program'!$K$51),'Bonding Program'!$J$51,0)-IF(AND('Bonding Program'!$M$51&lt;&gt;"",BG$3='Bonding Program'!$M$51),'Bonding Program'!$L$51,0)-IF(AND('Bonding Program'!$P$51&lt;&gt;"",BG$3='Bonding Program'!$P$51),'Bonding Program'!$O$51,0)-IF(AND('Bonding Program'!$R$51&lt;&gt;"",BG$3='Bonding Program'!$R$51),'Bonding Program'!$Q$51,0),0)</f>
        <v>0</v>
      </c>
      <c r="BH192" s="19" t="n">
        <f aca="false">IF(AND('Bonding Program'!$S$51=1,BH$3='Bonding Program'!$H$51),'Bonding Program'!$AA$51,0)-IF(BH$3&lt;='Bonding Program'!$C$8,IF(AND('Bonding Program'!$K$51&lt;&gt;"",BH$3='Bonding Program'!$K$51),'Bonding Program'!$J$51,0)-IF(AND('Bonding Program'!$M$51&lt;&gt;"",BH$3='Bonding Program'!$M$51),'Bonding Program'!$L$51,0)-IF(AND('Bonding Program'!$P$51&lt;&gt;"",BH$3='Bonding Program'!$P$51),'Bonding Program'!$O$51,0)-IF(AND('Bonding Program'!$R$51&lt;&gt;"",BH$3='Bonding Program'!$R$51),'Bonding Program'!$Q$51,0),0)</f>
        <v>0</v>
      </c>
      <c r="BI192" s="19" t="n">
        <f aca="false">IF(AND('Bonding Program'!$S$51=1,BI$3='Bonding Program'!$H$51),'Bonding Program'!$AA$51,0)-IF(BI$3&lt;='Bonding Program'!$C$8,IF(AND('Bonding Program'!$K$51&lt;&gt;"",BI$3='Bonding Program'!$K$51),'Bonding Program'!$J$51,0)-IF(AND('Bonding Program'!$M$51&lt;&gt;"",BI$3='Bonding Program'!$M$51),'Bonding Program'!$L$51,0)-IF(AND('Bonding Program'!$P$51&lt;&gt;"",BI$3='Bonding Program'!$P$51),'Bonding Program'!$O$51,0)-IF(AND('Bonding Program'!$R$51&lt;&gt;"",BI$3='Bonding Program'!$R$51),'Bonding Program'!$Q$51,0),0)</f>
        <v>0</v>
      </c>
      <c r="BJ192" s="19" t="n">
        <f aca="false">IF(AND('Bonding Program'!$S$51=1,BJ$3='Bonding Program'!$H$51),'Bonding Program'!$AA$51,0)-IF(BJ$3&lt;='Bonding Program'!$C$8,IF(AND('Bonding Program'!$K$51&lt;&gt;"",BJ$3='Bonding Program'!$K$51),'Bonding Program'!$J$51,0)-IF(AND('Bonding Program'!$M$51&lt;&gt;"",BJ$3='Bonding Program'!$M$51),'Bonding Program'!$L$51,0)-IF(AND('Bonding Program'!$P$51&lt;&gt;"",BJ$3='Bonding Program'!$P$51),'Bonding Program'!$O$51,0)-IF(AND('Bonding Program'!$R$51&lt;&gt;"",BJ$3='Bonding Program'!$R$51),'Bonding Program'!$Q$51,0),0)</f>
        <v>0</v>
      </c>
      <c r="BK192" s="19" t="n">
        <f aca="false">IF(AND('Bonding Program'!$S$51=1,BK$3='Bonding Program'!$H$51),'Bonding Program'!$AA$51,0)-IF(BK$3&lt;='Bonding Program'!$C$8,IF(AND('Bonding Program'!$K$51&lt;&gt;"",BK$3='Bonding Program'!$K$51),'Bonding Program'!$J$51,0)-IF(AND('Bonding Program'!$M$51&lt;&gt;"",BK$3='Bonding Program'!$M$51),'Bonding Program'!$L$51,0)-IF(AND('Bonding Program'!$P$51&lt;&gt;"",BK$3='Bonding Program'!$P$51),'Bonding Program'!$O$51,0)-IF(AND('Bonding Program'!$R$51&lt;&gt;"",BK$3='Bonding Program'!$R$51),'Bonding Program'!$Q$51,0),0)</f>
        <v>0</v>
      </c>
      <c r="BL192" s="19" t="n">
        <f aca="false">IF(AND('Bonding Program'!$S$51=1,BL$3='Bonding Program'!$H$51),'Bonding Program'!$AA$51,0)-IF(BL$3&lt;='Bonding Program'!$C$8,IF(AND('Bonding Program'!$K$51&lt;&gt;"",BL$3='Bonding Program'!$K$51),'Bonding Program'!$J$51,0)-IF(AND('Bonding Program'!$M$51&lt;&gt;"",BL$3='Bonding Program'!$M$51),'Bonding Program'!$L$51,0)-IF(AND('Bonding Program'!$P$51&lt;&gt;"",BL$3='Bonding Program'!$P$51),'Bonding Program'!$O$51,0)-IF(AND('Bonding Program'!$R$51&lt;&gt;"",BL$3='Bonding Program'!$R$51),'Bonding Program'!$Q$51,0),0)</f>
        <v>0</v>
      </c>
      <c r="BM192" s="19" t="n">
        <f aca="false">IF(AND('Bonding Program'!$S$51=1,BM$3='Bonding Program'!$H$51),'Bonding Program'!$AA$51,0)-IF(BM$3&lt;='Bonding Program'!$C$8,IF(AND('Bonding Program'!$K$51&lt;&gt;"",BM$3='Bonding Program'!$K$51),'Bonding Program'!$J$51,0)-IF(AND('Bonding Program'!$M$51&lt;&gt;"",BM$3='Bonding Program'!$M$51),'Bonding Program'!$L$51,0)-IF(AND('Bonding Program'!$P$51&lt;&gt;"",BM$3='Bonding Program'!$P$51),'Bonding Program'!$O$51,0)-IF(AND('Bonding Program'!$R$51&lt;&gt;"",BM$3='Bonding Program'!$R$51),'Bonding Program'!$Q$51,0),0)</f>
        <v>0</v>
      </c>
      <c r="BN192" s="19" t="n">
        <f aca="false">IF(AND('Bonding Program'!$S$51=1,BN$3='Bonding Program'!$H$51),'Bonding Program'!$AA$51,0)-IF(BN$3&lt;='Bonding Program'!$C$8,IF(AND('Bonding Program'!$K$51&lt;&gt;"",BN$3='Bonding Program'!$K$51),'Bonding Program'!$J$51,0)-IF(AND('Bonding Program'!$M$51&lt;&gt;"",BN$3='Bonding Program'!$M$51),'Bonding Program'!$L$51,0)-IF(AND('Bonding Program'!$P$51&lt;&gt;"",BN$3='Bonding Program'!$P$51),'Bonding Program'!$O$51,0)-IF(AND('Bonding Program'!$R$51&lt;&gt;"",BN$3='Bonding Program'!$R$51),'Bonding Program'!$Q$51,0),0)</f>
        <v>0</v>
      </c>
      <c r="BO192" s="19" t="n">
        <f aca="false">IF(AND('Bonding Program'!$S$51=1,BO$3='Bonding Program'!$H$51),'Bonding Program'!$AA$51,0)-IF(BO$3&lt;='Bonding Program'!$C$8,IF(AND('Bonding Program'!$K$51&lt;&gt;"",BO$3='Bonding Program'!$K$51),'Bonding Program'!$J$51,0)-IF(AND('Bonding Program'!$M$51&lt;&gt;"",BO$3='Bonding Program'!$M$51),'Bonding Program'!$L$51,0)-IF(AND('Bonding Program'!$P$51&lt;&gt;"",BO$3='Bonding Program'!$P$51),'Bonding Program'!$O$51,0)-IF(AND('Bonding Program'!$R$51&lt;&gt;"",BO$3='Bonding Program'!$R$51),'Bonding Program'!$Q$51,0),0)</f>
        <v>0</v>
      </c>
      <c r="BP192" s="19" t="n">
        <f aca="false">IF(AND('Bonding Program'!$S$51=1,BP$3='Bonding Program'!$H$51),'Bonding Program'!$AA$51,0)-IF(BP$3&lt;='Bonding Program'!$C$8,IF(AND('Bonding Program'!$K$51&lt;&gt;"",BP$3='Bonding Program'!$K$51),'Bonding Program'!$J$51,0)-IF(AND('Bonding Program'!$M$51&lt;&gt;"",BP$3='Bonding Program'!$M$51),'Bonding Program'!$L$51,0)-IF(AND('Bonding Program'!$P$51&lt;&gt;"",BP$3='Bonding Program'!$P$51),'Bonding Program'!$O$51,0)-IF(AND('Bonding Program'!$R$51&lt;&gt;"",BP$3='Bonding Program'!$R$51),'Bonding Program'!$Q$51,0),0)</f>
        <v>0</v>
      </c>
      <c r="BQ192" s="19" t="n">
        <f aca="false">IF(AND('Bonding Program'!$S$51=1,BQ$3='Bonding Program'!$H$51),'Bonding Program'!$AA$51,0)-IF(BQ$3&lt;='Bonding Program'!$C$8,IF(AND('Bonding Program'!$K$51&lt;&gt;"",BQ$3='Bonding Program'!$K$51),'Bonding Program'!$J$51,0)-IF(AND('Bonding Program'!$M$51&lt;&gt;"",BQ$3='Bonding Program'!$M$51),'Bonding Program'!$L$51,0)-IF(AND('Bonding Program'!$P$51&lt;&gt;"",BQ$3='Bonding Program'!$P$51),'Bonding Program'!$O$51,0)-IF(AND('Bonding Program'!$R$51&lt;&gt;"",BQ$3='Bonding Program'!$R$51),'Bonding Program'!$Q$51,0),0)</f>
        <v>0</v>
      </c>
      <c r="BR192" s="19" t="n">
        <f aca="false">IF(AND('Bonding Program'!$S$51=1,BR$3='Bonding Program'!$H$51),'Bonding Program'!$AA$51,0)-IF(BR$3&lt;='Bonding Program'!$C$8,IF(AND('Bonding Program'!$K$51&lt;&gt;"",BR$3='Bonding Program'!$K$51),'Bonding Program'!$J$51,0)-IF(AND('Bonding Program'!$M$51&lt;&gt;"",BR$3='Bonding Program'!$M$51),'Bonding Program'!$L$51,0)-IF(AND('Bonding Program'!$P$51&lt;&gt;"",BR$3='Bonding Program'!$P$51),'Bonding Program'!$O$51,0)-IF(AND('Bonding Program'!$R$51&lt;&gt;"",BR$3='Bonding Program'!$R$51),'Bonding Program'!$Q$51,0),0)</f>
        <v>0</v>
      </c>
      <c r="BS192" s="19" t="n">
        <f aca="false">IF(AND('Bonding Program'!$S$51=1,BS$3='Bonding Program'!$H$51),'Bonding Program'!$AA$51,0)-IF(BS$3&lt;='Bonding Program'!$C$8,IF(AND('Bonding Program'!$K$51&lt;&gt;"",BS$3='Bonding Program'!$K$51),'Bonding Program'!$J$51,0)-IF(AND('Bonding Program'!$M$51&lt;&gt;"",BS$3='Bonding Program'!$M$51),'Bonding Program'!$L$51,0)-IF(AND('Bonding Program'!$P$51&lt;&gt;"",BS$3='Bonding Program'!$P$51),'Bonding Program'!$O$51,0)-IF(AND('Bonding Program'!$R$51&lt;&gt;"",BS$3='Bonding Program'!$R$51),'Bonding Program'!$Q$51,0),0)</f>
        <v>0</v>
      </c>
      <c r="BT192" s="19" t="n">
        <f aca="false">IF(AND('Bonding Program'!$S$51=1,BT$3='Bonding Program'!$H$51),'Bonding Program'!$AA$51,0)-IF(BT$3&lt;='Bonding Program'!$C$8,IF(AND('Bonding Program'!$K$51&lt;&gt;"",BT$3='Bonding Program'!$K$51),'Bonding Program'!$J$51,0)-IF(AND('Bonding Program'!$M$51&lt;&gt;"",BT$3='Bonding Program'!$M$51),'Bonding Program'!$L$51,0)-IF(AND('Bonding Program'!$P$51&lt;&gt;"",BT$3='Bonding Program'!$P$51),'Bonding Program'!$O$51,0)-IF(AND('Bonding Program'!$R$51&lt;&gt;"",BT$3='Bonding Program'!$R$51),'Bonding Program'!$Q$51,0),0)</f>
        <v>0</v>
      </c>
      <c r="BU192" s="19" t="n">
        <f aca="false">IF(AND('Bonding Program'!$S$51=1,BU$3='Bonding Program'!$H$51),'Bonding Program'!$AA$51,0)-IF(BU$3&lt;='Bonding Program'!$C$8,IF(AND('Bonding Program'!$K$51&lt;&gt;"",BU$3='Bonding Program'!$K$51),'Bonding Program'!$J$51,0)-IF(AND('Bonding Program'!$M$51&lt;&gt;"",BU$3='Bonding Program'!$M$51),'Bonding Program'!$L$51,0)-IF(AND('Bonding Program'!$P$51&lt;&gt;"",BU$3='Bonding Program'!$P$51),'Bonding Program'!$O$51,0)-IF(AND('Bonding Program'!$R$51&lt;&gt;"",BU$3='Bonding Program'!$R$51),'Bonding Program'!$Q$51,0),0)</f>
        <v>0</v>
      </c>
      <c r="BV192" s="19" t="n">
        <f aca="false">IF(AND('Bonding Program'!$S$51=1,BV$3='Bonding Program'!$H$51),'Bonding Program'!$AA$51,0)-IF(BV$3&lt;='Bonding Program'!$C$8,IF(AND('Bonding Program'!$K$51&lt;&gt;"",BV$3='Bonding Program'!$K$51),'Bonding Program'!$J$51,0)-IF(AND('Bonding Program'!$M$51&lt;&gt;"",BV$3='Bonding Program'!$M$51),'Bonding Program'!$L$51,0)-IF(AND('Bonding Program'!$P$51&lt;&gt;"",BV$3='Bonding Program'!$P$51),'Bonding Program'!$O$51,0)-IF(AND('Bonding Program'!$R$51&lt;&gt;"",BV$3='Bonding Program'!$R$51),'Bonding Program'!$Q$51,0),0)</f>
        <v>0</v>
      </c>
      <c r="BW192" s="19" t="n">
        <f aca="false">IF(AND('Bonding Program'!$S$51=1,BW$3='Bonding Program'!$H$51),'Bonding Program'!$AA$51,0)-IF(BW$3&lt;='Bonding Program'!$C$8,IF(AND('Bonding Program'!$K$51&lt;&gt;"",BW$3='Bonding Program'!$K$51),'Bonding Program'!$J$51,0)-IF(AND('Bonding Program'!$M$51&lt;&gt;"",BW$3='Bonding Program'!$M$51),'Bonding Program'!$L$51,0)-IF(AND('Bonding Program'!$P$51&lt;&gt;"",BW$3='Bonding Program'!$P$51),'Bonding Program'!$O$51,0)-IF(AND('Bonding Program'!$R$51&lt;&gt;"",BW$3='Bonding Program'!$R$51),'Bonding Program'!$Q$51,0),0)</f>
        <v>0</v>
      </c>
      <c r="BX192" s="19" t="n">
        <f aca="false">IF(AND('Bonding Program'!$S$51=1,BX$3='Bonding Program'!$H$51),'Bonding Program'!$AA$51,0)-IF(BX$3&lt;='Bonding Program'!$C$8,IF(AND('Bonding Program'!$K$51&lt;&gt;"",BX$3='Bonding Program'!$K$51),'Bonding Program'!$J$51,0)-IF(AND('Bonding Program'!$M$51&lt;&gt;"",BX$3='Bonding Program'!$M$51),'Bonding Program'!$L$51,0)-IF(AND('Bonding Program'!$P$51&lt;&gt;"",BX$3='Bonding Program'!$P$51),'Bonding Program'!$O$51,0)-IF(AND('Bonding Program'!$R$51&lt;&gt;"",BX$3='Bonding Program'!$R$51),'Bonding Program'!$Q$51,0),0)</f>
        <v>0</v>
      </c>
      <c r="BY192" s="19" t="n">
        <f aca="false">IF(AND('Bonding Program'!$S$51=1,BY$3='Bonding Program'!$H$51),'Bonding Program'!$AA$51,0)-IF(BY$3&lt;='Bonding Program'!$C$8,IF(AND('Bonding Program'!$K$51&lt;&gt;"",BY$3='Bonding Program'!$K$51),'Bonding Program'!$J$51,0)-IF(AND('Bonding Program'!$M$51&lt;&gt;"",BY$3='Bonding Program'!$M$51),'Bonding Program'!$L$51,0)-IF(AND('Bonding Program'!$P$51&lt;&gt;"",BY$3='Bonding Program'!$P$51),'Bonding Program'!$O$51,0)-IF(AND('Bonding Program'!$R$51&lt;&gt;"",BY$3='Bonding Program'!$R$51),'Bonding Program'!$Q$51,0),0)</f>
        <v>0</v>
      </c>
      <c r="BZ192" s="19" t="n">
        <f aca="false">IF(AND('Bonding Program'!$S$51=1,BZ$3='Bonding Program'!$H$51),'Bonding Program'!$AA$51,0)-IF(BZ$3&lt;='Bonding Program'!$C$8,IF(AND('Bonding Program'!$K$51&lt;&gt;"",BZ$3='Bonding Program'!$K$51),'Bonding Program'!$J$51,0)-IF(AND('Bonding Program'!$M$51&lt;&gt;"",BZ$3='Bonding Program'!$M$51),'Bonding Program'!$L$51,0)-IF(AND('Bonding Program'!$P$51&lt;&gt;"",BZ$3='Bonding Program'!$P$51),'Bonding Program'!$O$51,0)-IF(AND('Bonding Program'!$R$51&lt;&gt;"",BZ$3='Bonding Program'!$R$51),'Bonding Program'!$Q$51,0),0)</f>
        <v>0</v>
      </c>
      <c r="CA192" s="19" t="n">
        <f aca="false">IF(AND('Bonding Program'!$S$51=1,CA$3='Bonding Program'!$H$51),'Bonding Program'!$AA$51,0)-IF(CA$3&lt;='Bonding Program'!$C$8,IF(AND('Bonding Program'!$K$51&lt;&gt;"",CA$3='Bonding Program'!$K$51),'Bonding Program'!$J$51,0)-IF(AND('Bonding Program'!$M$51&lt;&gt;"",CA$3='Bonding Program'!$M$51),'Bonding Program'!$L$51,0)-IF(AND('Bonding Program'!$P$51&lt;&gt;"",CA$3='Bonding Program'!$P$51),'Bonding Program'!$O$51,0)-IF(AND('Bonding Program'!$R$51&lt;&gt;"",CA$3='Bonding Program'!$R$51),'Bonding Program'!$Q$51,0),0)</f>
        <v>0</v>
      </c>
      <c r="CB192" s="19" t="n">
        <f aca="false">IF(AND('Bonding Program'!$S$51=1,CB$3='Bonding Program'!$H$51),'Bonding Program'!$AA$51,0)-IF(CB$3&lt;='Bonding Program'!$C$8,IF(AND('Bonding Program'!$K$51&lt;&gt;"",CB$3='Bonding Program'!$K$51),'Bonding Program'!$J$51,0)-IF(AND('Bonding Program'!$M$51&lt;&gt;"",CB$3='Bonding Program'!$M$51),'Bonding Program'!$L$51,0)-IF(AND('Bonding Program'!$P$51&lt;&gt;"",CB$3='Bonding Program'!$P$51),'Bonding Program'!$O$51,0)-IF(AND('Bonding Program'!$R$51&lt;&gt;"",CB$3='Bonding Program'!$R$51),'Bonding Program'!$Q$51,0),0)</f>
        <v>0</v>
      </c>
      <c r="CC192" s="19" t="n">
        <f aca="false">IF(AND('Bonding Program'!$S$51=1,CC$3='Bonding Program'!$H$51),'Bonding Program'!$AA$51,0)-IF(CC$3&lt;='Bonding Program'!$C$8,IF(AND('Bonding Program'!$K$51&lt;&gt;"",CC$3='Bonding Program'!$K$51),'Bonding Program'!$J$51,0)-IF(AND('Bonding Program'!$M$51&lt;&gt;"",CC$3='Bonding Program'!$M$51),'Bonding Program'!$L$51,0)-IF(AND('Bonding Program'!$P$51&lt;&gt;"",CC$3='Bonding Program'!$P$51),'Bonding Program'!$O$51,0)-IF(AND('Bonding Program'!$R$51&lt;&gt;"",CC$3='Bonding Program'!$R$51),'Bonding Program'!$Q$51,0),0)</f>
        <v>0</v>
      </c>
      <c r="CD192" s="19" t="n">
        <f aca="false">IF(AND('Bonding Program'!$S$51=1,CD$3='Bonding Program'!$H$51),'Bonding Program'!$AA$51,0)-IF(CD$3&lt;='Bonding Program'!$C$8,IF(AND('Bonding Program'!$K$51&lt;&gt;"",CD$3='Bonding Program'!$K$51),'Bonding Program'!$J$51,0)-IF(AND('Bonding Program'!$M$51&lt;&gt;"",CD$3='Bonding Program'!$M$51),'Bonding Program'!$L$51,0)-IF(AND('Bonding Program'!$P$51&lt;&gt;"",CD$3='Bonding Program'!$P$51),'Bonding Program'!$O$51,0)-IF(AND('Bonding Program'!$R$51&lt;&gt;"",CD$3='Bonding Program'!$R$51),'Bonding Program'!$Q$51,0),0)</f>
        <v>0</v>
      </c>
      <c r="CE192" s="19" t="n">
        <f aca="false">IF(AND('Bonding Program'!$S$51=1,CE$3='Bonding Program'!$H$51),'Bonding Program'!$AA$51,0)-IF(CE$3&lt;='Bonding Program'!$C$8,IF(AND('Bonding Program'!$K$51&lt;&gt;"",CE$3='Bonding Program'!$K$51),'Bonding Program'!$J$51,0)-IF(AND('Bonding Program'!$M$51&lt;&gt;"",CE$3='Bonding Program'!$M$51),'Bonding Program'!$L$51,0)-IF(AND('Bonding Program'!$P$51&lt;&gt;"",CE$3='Bonding Program'!$P$51),'Bonding Program'!$O$51,0)-IF(AND('Bonding Program'!$R$51&lt;&gt;"",CE$3='Bonding Program'!$R$51),'Bonding Program'!$Q$51,0),0)</f>
        <v>0</v>
      </c>
      <c r="CF192" s="19" t="n">
        <f aca="false">IF(AND('Bonding Program'!$S$51=1,CF$3='Bonding Program'!$H$51),'Bonding Program'!$AA$51,0)-IF(CF$3&lt;='Bonding Program'!$C$8,IF(AND('Bonding Program'!$K$51&lt;&gt;"",CF$3='Bonding Program'!$K$51),'Bonding Program'!$J$51,0)-IF(AND('Bonding Program'!$M$51&lt;&gt;"",CF$3='Bonding Program'!$M$51),'Bonding Program'!$L$51,0)-IF(AND('Bonding Program'!$P$51&lt;&gt;"",CF$3='Bonding Program'!$P$51),'Bonding Program'!$O$51,0)-IF(AND('Bonding Program'!$R$51&lt;&gt;"",CF$3='Bonding Program'!$R$51),'Bonding Program'!$Q$51,0),0)</f>
        <v>0</v>
      </c>
      <c r="CG192" s="19" t="n">
        <f aca="false">IF(AND('Bonding Program'!$S$51=1,CG$3='Bonding Program'!$H$51),'Bonding Program'!$AA$51,0)-IF(CG$3&lt;='Bonding Program'!$C$8,IF(AND('Bonding Program'!$K$51&lt;&gt;"",CG$3='Bonding Program'!$K$51),'Bonding Program'!$J$51,0)-IF(AND('Bonding Program'!$M$51&lt;&gt;"",CG$3='Bonding Program'!$M$51),'Bonding Program'!$L$51,0)-IF(AND('Bonding Program'!$P$51&lt;&gt;"",CG$3='Bonding Program'!$P$51),'Bonding Program'!$O$51,0)-IF(AND('Bonding Program'!$R$51&lt;&gt;"",CG$3='Bonding Program'!$R$51),'Bonding Program'!$Q$51,0),0)</f>
        <v>0</v>
      </c>
      <c r="CH192" s="19" t="n">
        <f aca="false">IF(AND('Bonding Program'!$S$51=1,CH$3='Bonding Program'!$H$51),'Bonding Program'!$AA$51,0)-IF(CH$3&lt;='Bonding Program'!$C$8,IF(AND('Bonding Program'!$K$51&lt;&gt;"",CH$3='Bonding Program'!$K$51),'Bonding Program'!$J$51,0)-IF(AND('Bonding Program'!$M$51&lt;&gt;"",CH$3='Bonding Program'!$M$51),'Bonding Program'!$L$51,0)-IF(AND('Bonding Program'!$P$51&lt;&gt;"",CH$3='Bonding Program'!$P$51),'Bonding Program'!$O$51,0)-IF(AND('Bonding Program'!$R$51&lt;&gt;"",CH$3='Bonding Program'!$R$51),'Bonding Program'!$Q$51,0),0)</f>
        <v>0</v>
      </c>
      <c r="CI192" s="19" t="n">
        <f aca="false">IF(AND('Bonding Program'!$S$51=1,CI$3='Bonding Program'!$H$51),'Bonding Program'!$AA$51,0)-IF(CI$3&lt;='Bonding Program'!$C$8,IF(AND('Bonding Program'!$K$51&lt;&gt;"",CI$3='Bonding Program'!$K$51),'Bonding Program'!$J$51,0)-IF(AND('Bonding Program'!$M$51&lt;&gt;"",CI$3='Bonding Program'!$M$51),'Bonding Program'!$L$51,0)-IF(AND('Bonding Program'!$P$51&lt;&gt;"",CI$3='Bonding Program'!$P$51),'Bonding Program'!$O$51,0)-IF(AND('Bonding Program'!$R$51&lt;&gt;"",CI$3='Bonding Program'!$R$51),'Bonding Program'!$Q$51,0),0)</f>
        <v>0</v>
      </c>
      <c r="CJ192" s="19" t="n">
        <f aca="false">IF(AND('Bonding Program'!$S$51=1,CJ$3='Bonding Program'!$H$51),'Bonding Program'!$AA$51,0)-IF(CJ$3&lt;='Bonding Program'!$C$8,IF(AND('Bonding Program'!$K$51&lt;&gt;"",CJ$3='Bonding Program'!$K$51),'Bonding Program'!$J$51,0)-IF(AND('Bonding Program'!$M$51&lt;&gt;"",CJ$3='Bonding Program'!$M$51),'Bonding Program'!$L$51,0)-IF(AND('Bonding Program'!$P$51&lt;&gt;"",CJ$3='Bonding Program'!$P$51),'Bonding Program'!$O$51,0)-IF(AND('Bonding Program'!$R$51&lt;&gt;"",CJ$3='Bonding Program'!$R$51),'Bonding Program'!$Q$51,0),0)</f>
        <v>0</v>
      </c>
      <c r="CK192" s="19" t="n">
        <f aca="false">IF(AND('Bonding Program'!$S$51=1,CK$3='Bonding Program'!$H$51),'Bonding Program'!$AA$51,0)-IF(CK$3&lt;='Bonding Program'!$C$8,IF(AND('Bonding Program'!$K$51&lt;&gt;"",CK$3='Bonding Program'!$K$51),'Bonding Program'!$J$51,0)-IF(AND('Bonding Program'!$M$51&lt;&gt;"",CK$3='Bonding Program'!$M$51),'Bonding Program'!$L$51,0)-IF(AND('Bonding Program'!$P$51&lt;&gt;"",CK$3='Bonding Program'!$P$51),'Bonding Program'!$O$51,0)-IF(AND('Bonding Program'!$R$51&lt;&gt;"",CK$3='Bonding Program'!$R$51),'Bonding Program'!$Q$51,0),0)</f>
        <v>0</v>
      </c>
      <c r="CL192" s="19" t="n">
        <f aca="false">IF(AND('Bonding Program'!$S$51=1,CL$3='Bonding Program'!$H$51),'Bonding Program'!$AA$51,0)-IF(CL$3&lt;='Bonding Program'!$C$8,IF(AND('Bonding Program'!$K$51&lt;&gt;"",CL$3='Bonding Program'!$K$51),'Bonding Program'!$J$51,0)-IF(AND('Bonding Program'!$M$51&lt;&gt;"",CL$3='Bonding Program'!$M$51),'Bonding Program'!$L$51,0)-IF(AND('Bonding Program'!$P$51&lt;&gt;"",CL$3='Bonding Program'!$P$51),'Bonding Program'!$O$51,0)-IF(AND('Bonding Program'!$R$51&lt;&gt;"",CL$3='Bonding Program'!$R$51),'Bonding Program'!$Q$51,0),0)</f>
        <v>0</v>
      </c>
      <c r="CM192" s="19" t="n">
        <f aca="false">IF(AND('Bonding Program'!$S$51=1,CM$3='Bonding Program'!$H$51),'Bonding Program'!$AA$51,0)-IF(CM$3&lt;='Bonding Program'!$C$8,IF(AND('Bonding Program'!$K$51&lt;&gt;"",CM$3='Bonding Program'!$K$51),'Bonding Program'!$J$51,0)-IF(AND('Bonding Program'!$M$51&lt;&gt;"",CM$3='Bonding Program'!$M$51),'Bonding Program'!$L$51,0)-IF(AND('Bonding Program'!$P$51&lt;&gt;"",CM$3='Bonding Program'!$P$51),'Bonding Program'!$O$51,0)-IF(AND('Bonding Program'!$R$51&lt;&gt;"",CM$3='Bonding Program'!$R$51),'Bonding Program'!$Q$51,0),0)</f>
        <v>0</v>
      </c>
      <c r="CN192" s="19" t="n">
        <f aca="false">IF(AND('Bonding Program'!$S$51=1,CN$3='Bonding Program'!$H$51),'Bonding Program'!$AA$51,0)-IF(CN$3&lt;='Bonding Program'!$C$8,IF(AND('Bonding Program'!$K$51&lt;&gt;"",CN$3='Bonding Program'!$K$51),'Bonding Program'!$J$51,0)-IF(AND('Bonding Program'!$M$51&lt;&gt;"",CN$3='Bonding Program'!$M$51),'Bonding Program'!$L$51,0)-IF(AND('Bonding Program'!$P$51&lt;&gt;"",CN$3='Bonding Program'!$P$51),'Bonding Program'!$O$51,0)-IF(AND('Bonding Program'!$R$51&lt;&gt;"",CN$3='Bonding Program'!$R$51),'Bonding Program'!$Q$51,0),0)</f>
        <v>0</v>
      </c>
      <c r="CO192" s="19" t="n">
        <f aca="false">IF(AND('Bonding Program'!$S$51=1,CO$3='Bonding Program'!$H$51),'Bonding Program'!$AA$51,0)-IF(CO$3&lt;='Bonding Program'!$C$8,IF(AND('Bonding Program'!$K$51&lt;&gt;"",CO$3='Bonding Program'!$K$51),'Bonding Program'!$J$51,0)-IF(AND('Bonding Program'!$M$51&lt;&gt;"",CO$3='Bonding Program'!$M$51),'Bonding Program'!$L$51,0)-IF(AND('Bonding Program'!$P$51&lt;&gt;"",CO$3='Bonding Program'!$P$51),'Bonding Program'!$O$51,0)-IF(AND('Bonding Program'!$R$51&lt;&gt;"",CO$3='Bonding Program'!$R$51),'Bonding Program'!$Q$51,0),0)</f>
        <v>0</v>
      </c>
      <c r="CP192" s="19" t="n">
        <f aca="false">IF(AND('Bonding Program'!$S$51=1,CP$3='Bonding Program'!$H$51),'Bonding Program'!$AA$51,0)-IF(CP$3&lt;='Bonding Program'!$C$8,IF(AND('Bonding Program'!$K$51&lt;&gt;"",CP$3='Bonding Program'!$K$51),'Bonding Program'!$J$51,0)-IF(AND('Bonding Program'!$M$51&lt;&gt;"",CP$3='Bonding Program'!$M$51),'Bonding Program'!$L$51,0)-IF(AND('Bonding Program'!$P$51&lt;&gt;"",CP$3='Bonding Program'!$P$51),'Bonding Program'!$O$51,0)-IF(AND('Bonding Program'!$R$51&lt;&gt;"",CP$3='Bonding Program'!$R$51),'Bonding Program'!$Q$51,0),0)</f>
        <v>0</v>
      </c>
      <c r="CQ192" s="19" t="n">
        <f aca="false">IF(AND('Bonding Program'!$S$51=1,CQ$3='Bonding Program'!$H$51),'Bonding Program'!$AA$51,0)-IF(CQ$3&lt;='Bonding Program'!$C$8,IF(AND('Bonding Program'!$K$51&lt;&gt;"",CQ$3='Bonding Program'!$K$51),'Bonding Program'!$J$51,0)-IF(AND('Bonding Program'!$M$51&lt;&gt;"",CQ$3='Bonding Program'!$M$51),'Bonding Program'!$L$51,0)-IF(AND('Bonding Program'!$P$51&lt;&gt;"",CQ$3='Bonding Program'!$P$51),'Bonding Program'!$O$51,0)-IF(AND('Bonding Program'!$R$51&lt;&gt;"",CQ$3='Bonding Program'!$R$51),'Bonding Program'!$Q$51,0),0)</f>
        <v>0</v>
      </c>
      <c r="CR192" s="19" t="n">
        <f aca="false">IF(AND('Bonding Program'!$S$51=1,CR$3='Bonding Program'!$H$51),'Bonding Program'!$AA$51,0)-IF(CR$3&lt;='Bonding Program'!$C$8,IF(AND('Bonding Program'!$K$51&lt;&gt;"",CR$3='Bonding Program'!$K$51),'Bonding Program'!$J$51,0)-IF(AND('Bonding Program'!$M$51&lt;&gt;"",CR$3='Bonding Program'!$M$51),'Bonding Program'!$L$51,0)-IF(AND('Bonding Program'!$P$51&lt;&gt;"",CR$3='Bonding Program'!$P$51),'Bonding Program'!$O$51,0)-IF(AND('Bonding Program'!$R$51&lt;&gt;"",CR$3='Bonding Program'!$R$51),'Bonding Program'!$Q$51,0),0)</f>
        <v>0</v>
      </c>
      <c r="CS192" s="19" t="n">
        <f aca="false">IF(AND('Bonding Program'!$S$51=1,CS$3='Bonding Program'!$H$51),'Bonding Program'!$AA$51,0)-IF(CS$3&lt;='Bonding Program'!$C$8,IF(AND('Bonding Program'!$K$51&lt;&gt;"",CS$3='Bonding Program'!$K$51),'Bonding Program'!$J$51,0)-IF(AND('Bonding Program'!$M$51&lt;&gt;"",CS$3='Bonding Program'!$M$51),'Bonding Program'!$L$51,0)-IF(AND('Bonding Program'!$P$51&lt;&gt;"",CS$3='Bonding Program'!$P$51),'Bonding Program'!$O$51,0)-IF(AND('Bonding Program'!$R$51&lt;&gt;"",CS$3='Bonding Program'!$R$51),'Bonding Program'!$Q$51,0),0)</f>
        <v>0</v>
      </c>
      <c r="CT192" s="19" t="n">
        <f aca="false">IF(AND('Bonding Program'!$S$51=1,CT$3='Bonding Program'!$H$51),'Bonding Program'!$AA$51,0)-IF(CT$3&lt;='Bonding Program'!$C$8,IF(AND('Bonding Program'!$K$51&lt;&gt;"",CT$3='Bonding Program'!$K$51),'Bonding Program'!$J$51,0)-IF(AND('Bonding Program'!$M$51&lt;&gt;"",CT$3='Bonding Program'!$M$51),'Bonding Program'!$L$51,0)-IF(AND('Bonding Program'!$P$51&lt;&gt;"",CT$3='Bonding Program'!$P$51),'Bonding Program'!$O$51,0)-IF(AND('Bonding Program'!$R$51&lt;&gt;"",CT$3='Bonding Program'!$R$51),'Bonding Program'!$Q$51,0),0)</f>
        <v>0</v>
      </c>
      <c r="CU192" s="19" t="n">
        <f aca="false">IF(AND('Bonding Program'!$S$51=1,CU$3='Bonding Program'!$H$51),'Bonding Program'!$AA$51,0)-IF(CU$3&lt;='Bonding Program'!$C$8,IF(AND('Bonding Program'!$K$51&lt;&gt;"",CU$3='Bonding Program'!$K$51),'Bonding Program'!$J$51,0)-IF(AND('Bonding Program'!$M$51&lt;&gt;"",CU$3='Bonding Program'!$M$51),'Bonding Program'!$L$51,0)-IF(AND('Bonding Program'!$P$51&lt;&gt;"",CU$3='Bonding Program'!$P$51),'Bonding Program'!$O$51,0)-IF(AND('Bonding Program'!$R$51&lt;&gt;"",CU$3='Bonding Program'!$R$51),'Bonding Program'!$Q$51,0),0)</f>
        <v>0</v>
      </c>
      <c r="CV192" s="19" t="n">
        <f aca="false">IF(AND('Bonding Program'!$S$51=1,CV$3='Bonding Program'!$H$51),'Bonding Program'!$AA$51,0)-IF(CV$3&lt;='Bonding Program'!$C$8,IF(AND('Bonding Program'!$K$51&lt;&gt;"",CV$3='Bonding Program'!$K$51),'Bonding Program'!$J$51,0)-IF(AND('Bonding Program'!$M$51&lt;&gt;"",CV$3='Bonding Program'!$M$51),'Bonding Program'!$L$51,0)-IF(AND('Bonding Program'!$P$51&lt;&gt;"",CV$3='Bonding Program'!$P$51),'Bonding Program'!$O$51,0)-IF(AND('Bonding Program'!$R$51&lt;&gt;"",CV$3='Bonding Program'!$R$51),'Bonding Program'!$Q$51,0),0)</f>
        <v>0</v>
      </c>
      <c r="CW192" s="19" t="n">
        <f aca="false">IF(AND('Bonding Program'!$S$51=1,CW$3='Bonding Program'!$H$51),'Bonding Program'!$AA$51,0)-IF(CW$3&lt;='Bonding Program'!$C$8,IF(AND('Bonding Program'!$K$51&lt;&gt;"",CW$3='Bonding Program'!$K$51),'Bonding Program'!$J$51,0)-IF(AND('Bonding Program'!$M$51&lt;&gt;"",CW$3='Bonding Program'!$M$51),'Bonding Program'!$L$51,0)-IF(AND('Bonding Program'!$P$51&lt;&gt;"",CW$3='Bonding Program'!$P$51),'Bonding Program'!$O$51,0)-IF(AND('Bonding Program'!$R$51&lt;&gt;"",CW$3='Bonding Program'!$R$51),'Bonding Program'!$Q$51,0),0)</f>
        <v>0</v>
      </c>
      <c r="CX192" s="19" t="n">
        <f aca="false">IF(AND('Bonding Program'!$S$51=1,CX$3='Bonding Program'!$H$51),'Bonding Program'!$AA$51,0)-IF(CX$3&lt;='Bonding Program'!$C$8,IF(AND('Bonding Program'!$K$51&lt;&gt;"",CX$3='Bonding Program'!$K$51),'Bonding Program'!$J$51,0)-IF(AND('Bonding Program'!$M$51&lt;&gt;"",CX$3='Bonding Program'!$M$51),'Bonding Program'!$L$51,0)-IF(AND('Bonding Program'!$P$51&lt;&gt;"",CX$3='Bonding Program'!$P$51),'Bonding Program'!$O$51,0)-IF(AND('Bonding Program'!$R$51&lt;&gt;"",CX$3='Bonding Program'!$R$51),'Bonding Program'!$Q$51,0),0)</f>
        <v>0</v>
      </c>
      <c r="CY192" s="19" t="n">
        <f aca="false">IF(AND('Bonding Program'!$S$51=1,CY$3='Bonding Program'!$H$51),'Bonding Program'!$AA$51,0)-IF(CY$3&lt;='Bonding Program'!$C$8,IF(AND('Bonding Program'!$K$51&lt;&gt;"",CY$3='Bonding Program'!$K$51),'Bonding Program'!$J$51,0)-IF(AND('Bonding Program'!$M$51&lt;&gt;"",CY$3='Bonding Program'!$M$51),'Bonding Program'!$L$51,0)-IF(AND('Bonding Program'!$P$51&lt;&gt;"",CY$3='Bonding Program'!$P$51),'Bonding Program'!$O$51,0)-IF(AND('Bonding Program'!$R$51&lt;&gt;"",CY$3='Bonding Program'!$R$51),'Bonding Program'!$Q$51,0),0)</f>
        <v>0</v>
      </c>
      <c r="CZ192" s="19" t="n">
        <f aca="false">IF(AND('Bonding Program'!$S$51=1,CZ$3='Bonding Program'!$H$51),'Bonding Program'!$AA$51,0)-IF(CZ$3&lt;='Bonding Program'!$C$8,IF(AND('Bonding Program'!$K$51&lt;&gt;"",CZ$3='Bonding Program'!$K$51),'Bonding Program'!$J$51,0)-IF(AND('Bonding Program'!$M$51&lt;&gt;"",CZ$3='Bonding Program'!$M$51),'Bonding Program'!$L$51,0)-IF(AND('Bonding Program'!$P$51&lt;&gt;"",CZ$3='Bonding Program'!$P$51),'Bonding Program'!$O$51,0)-IF(AND('Bonding Program'!$R$51&lt;&gt;"",CZ$3='Bonding Program'!$R$51),'Bonding Program'!$Q$51,0),0)</f>
        <v>0</v>
      </c>
      <c r="DA192" s="19" t="n">
        <f aca="false">IF(AND('Bonding Program'!$S$51=1,DA$3='Bonding Program'!$H$51),'Bonding Program'!$AA$51,0)-IF(DA$3&lt;='Bonding Program'!$C$8,IF(AND('Bonding Program'!$K$51&lt;&gt;"",DA$3='Bonding Program'!$K$51),'Bonding Program'!$J$51,0)-IF(AND('Bonding Program'!$M$51&lt;&gt;"",DA$3='Bonding Program'!$M$51),'Bonding Program'!$L$51,0)-IF(AND('Bonding Program'!$P$51&lt;&gt;"",DA$3='Bonding Program'!$P$51),'Bonding Program'!$O$51,0)-IF(AND('Bonding Program'!$R$51&lt;&gt;"",DA$3='Bonding Program'!$R$51),'Bonding Program'!$Q$51,0),0)</f>
        <v>0</v>
      </c>
      <c r="DB192" s="19" t="n">
        <f aca="false">IF(AND('Bonding Program'!$S$51=1,DB$3='Bonding Program'!$H$51),'Bonding Program'!$AA$51,0)-IF(DB$3&lt;='Bonding Program'!$C$8,IF(AND('Bonding Program'!$K$51&lt;&gt;"",DB$3='Bonding Program'!$K$51),'Bonding Program'!$J$51,0)-IF(AND('Bonding Program'!$M$51&lt;&gt;"",DB$3='Bonding Program'!$M$51),'Bonding Program'!$L$51,0)-IF(AND('Bonding Program'!$P$51&lt;&gt;"",DB$3='Bonding Program'!$P$51),'Bonding Program'!$O$51,0)-IF(AND('Bonding Program'!$R$51&lt;&gt;"",DB$3='Bonding Program'!$R$51),'Bonding Program'!$Q$51,0),0)</f>
        <v>0</v>
      </c>
      <c r="DC192" s="19" t="n">
        <f aca="false">IF(AND('Bonding Program'!$S$51=1,DC$3='Bonding Program'!$H$51),'Bonding Program'!$AA$51,0)-IF(DC$3&lt;='Bonding Program'!$C$8,IF(AND('Bonding Program'!$K$51&lt;&gt;"",DC$3='Bonding Program'!$K$51),'Bonding Program'!$J$51,0)-IF(AND('Bonding Program'!$M$51&lt;&gt;"",DC$3='Bonding Program'!$M$51),'Bonding Program'!$L$51,0)-IF(AND('Bonding Program'!$P$51&lt;&gt;"",DC$3='Bonding Program'!$P$51),'Bonding Program'!$O$51,0)-IF(AND('Bonding Program'!$R$51&lt;&gt;"",DC$3='Bonding Program'!$R$51),'Bonding Program'!$Q$51,0),0)</f>
        <v>0</v>
      </c>
      <c r="DD192" s="19" t="n">
        <f aca="false">IF(AND('Bonding Program'!$S$51=1,DD$3='Bonding Program'!$H$51),'Bonding Program'!$AA$51,0)-IF(DD$3&lt;='Bonding Program'!$C$8,IF(AND('Bonding Program'!$K$51&lt;&gt;"",DD$3='Bonding Program'!$K$51),'Bonding Program'!$J$51,0)-IF(AND('Bonding Program'!$M$51&lt;&gt;"",DD$3='Bonding Program'!$M$51),'Bonding Program'!$L$51,0)-IF(AND('Bonding Program'!$P$51&lt;&gt;"",DD$3='Bonding Program'!$P$51),'Bonding Program'!$O$51,0)-IF(AND('Bonding Program'!$R$51&lt;&gt;"",DD$3='Bonding Program'!$R$51),'Bonding Program'!$Q$51,0),0)</f>
        <v>0</v>
      </c>
      <c r="DE192" s="19" t="n">
        <f aca="false">IF(AND('Bonding Program'!$S$51=1,DE$3='Bonding Program'!$H$51),'Bonding Program'!$AA$51,0)-IF(DE$3&lt;='Bonding Program'!$C$8,IF(AND('Bonding Program'!$K$51&lt;&gt;"",DE$3='Bonding Program'!$K$51),'Bonding Program'!$J$51,0)-IF(AND('Bonding Program'!$M$51&lt;&gt;"",DE$3='Bonding Program'!$M$51),'Bonding Program'!$L$51,0)-IF(AND('Bonding Program'!$P$51&lt;&gt;"",DE$3='Bonding Program'!$P$51),'Bonding Program'!$O$51,0)-IF(AND('Bonding Program'!$R$51&lt;&gt;"",DE$3='Bonding Program'!$R$51),'Bonding Program'!$Q$51,0),0)</f>
        <v>0</v>
      </c>
    </row>
    <row r="193" customFormat="false" ht="15" hidden="false" customHeight="true" outlineLevel="1" collapsed="false">
      <c r="A193" s="28" t="s">
        <v>48</v>
      </c>
      <c r="B193" s="19" t="n">
        <f aca="false">IF(AND('Bonding Program'!$S$52=1,B$3='Bonding Program'!$H$52),'Bonding Program'!$AA$52,0)-IF(B$3&lt;='Bonding Program'!$C$8,IF(AND('Bonding Program'!$K$52&lt;&gt;"",B$3='Bonding Program'!$K$52),'Bonding Program'!$J$52,0)-IF(AND('Bonding Program'!$M$52&lt;&gt;"",B$3='Bonding Program'!$M$52),'Bonding Program'!$L$52,0)-IF(AND('Bonding Program'!$P$52&lt;&gt;"",B$3='Bonding Program'!$P$52),'Bonding Program'!$O$52,0)-IF(AND('Bonding Program'!$R$52&lt;&gt;"",B$3='Bonding Program'!$R$52),'Bonding Program'!$Q$52,0),0)</f>
        <v>0</v>
      </c>
      <c r="C193" s="19" t="n">
        <f aca="false">IF(AND('Bonding Program'!$S$52=1,C$3='Bonding Program'!$H$52),'Bonding Program'!$AA$52,0)-IF(C$3&lt;='Bonding Program'!$C$8,IF(AND('Bonding Program'!$K$52&lt;&gt;"",C$3='Bonding Program'!$K$52),'Bonding Program'!$J$52,0)-IF(AND('Bonding Program'!$M$52&lt;&gt;"",C$3='Bonding Program'!$M$52),'Bonding Program'!$L$52,0)-IF(AND('Bonding Program'!$P$52&lt;&gt;"",C$3='Bonding Program'!$P$52),'Bonding Program'!$O$52,0)-IF(AND('Bonding Program'!$R$52&lt;&gt;"",C$3='Bonding Program'!$R$52),'Bonding Program'!$Q$52,0),0)</f>
        <v>0</v>
      </c>
      <c r="D193" s="19" t="n">
        <f aca="false">IF(AND('Bonding Program'!$S$52=1,D$3='Bonding Program'!$H$52),'Bonding Program'!$AA$52,0)-IF(D$3&lt;='Bonding Program'!$C$8,IF(AND('Bonding Program'!$K$52&lt;&gt;"",D$3='Bonding Program'!$K$52),'Bonding Program'!$J$52,0)-IF(AND('Bonding Program'!$M$52&lt;&gt;"",D$3='Bonding Program'!$M$52),'Bonding Program'!$L$52,0)-IF(AND('Bonding Program'!$P$52&lt;&gt;"",D$3='Bonding Program'!$P$52),'Bonding Program'!$O$52,0)-IF(AND('Bonding Program'!$R$52&lt;&gt;"",D$3='Bonding Program'!$R$52),'Bonding Program'!$Q$52,0),0)</f>
        <v>0</v>
      </c>
      <c r="E193" s="19" t="n">
        <f aca="false">IF(AND('Bonding Program'!$S$52=1,E$3='Bonding Program'!$H$52),'Bonding Program'!$AA$52,0)-IF(E$3&lt;='Bonding Program'!$C$8,IF(AND('Bonding Program'!$K$52&lt;&gt;"",E$3='Bonding Program'!$K$52),'Bonding Program'!$J$52,0)-IF(AND('Bonding Program'!$M$52&lt;&gt;"",E$3='Bonding Program'!$M$52),'Bonding Program'!$L$52,0)-IF(AND('Bonding Program'!$P$52&lt;&gt;"",E$3='Bonding Program'!$P$52),'Bonding Program'!$O$52,0)-IF(AND('Bonding Program'!$R$52&lt;&gt;"",E$3='Bonding Program'!$R$52),'Bonding Program'!$Q$52,0),0)</f>
        <v>0</v>
      </c>
      <c r="F193" s="19" t="n">
        <f aca="false">IF(AND('Bonding Program'!$S$52=1,F$3='Bonding Program'!$H$52),'Bonding Program'!$AA$52,0)-IF(F$3&lt;='Bonding Program'!$C$8,IF(AND('Bonding Program'!$K$52&lt;&gt;"",F$3='Bonding Program'!$K$52),'Bonding Program'!$J$52,0)-IF(AND('Bonding Program'!$M$52&lt;&gt;"",F$3='Bonding Program'!$M$52),'Bonding Program'!$L$52,0)-IF(AND('Bonding Program'!$P$52&lt;&gt;"",F$3='Bonding Program'!$P$52),'Bonding Program'!$O$52,0)-IF(AND('Bonding Program'!$R$52&lt;&gt;"",F$3='Bonding Program'!$R$52),'Bonding Program'!$Q$52,0),0)</f>
        <v>0</v>
      </c>
      <c r="G193" s="19" t="n">
        <f aca="false">IF(AND('Bonding Program'!$S$52=1,G$3='Bonding Program'!$H$52),'Bonding Program'!$AA$52,0)-IF(G$3&lt;='Bonding Program'!$C$8,IF(AND('Bonding Program'!$K$52&lt;&gt;"",G$3='Bonding Program'!$K$52),'Bonding Program'!$J$52,0)-IF(AND('Bonding Program'!$M$52&lt;&gt;"",G$3='Bonding Program'!$M$52),'Bonding Program'!$L$52,0)-IF(AND('Bonding Program'!$P$52&lt;&gt;"",G$3='Bonding Program'!$P$52),'Bonding Program'!$O$52,0)-IF(AND('Bonding Program'!$R$52&lt;&gt;"",G$3='Bonding Program'!$R$52),'Bonding Program'!$Q$52,0),0)</f>
        <v>0</v>
      </c>
      <c r="H193" s="19" t="n">
        <f aca="false">IF(AND('Bonding Program'!$S$52=1,H$3='Bonding Program'!$H$52),'Bonding Program'!$AA$52,0)-IF(H$3&lt;='Bonding Program'!$C$8,IF(AND('Bonding Program'!$K$52&lt;&gt;"",H$3='Bonding Program'!$K$52),'Bonding Program'!$J$52,0)-IF(AND('Bonding Program'!$M$52&lt;&gt;"",H$3='Bonding Program'!$M$52),'Bonding Program'!$L$52,0)-IF(AND('Bonding Program'!$P$52&lt;&gt;"",H$3='Bonding Program'!$P$52),'Bonding Program'!$O$52,0)-IF(AND('Bonding Program'!$R$52&lt;&gt;"",H$3='Bonding Program'!$R$52),'Bonding Program'!$Q$52,0),0)</f>
        <v>0</v>
      </c>
      <c r="I193" s="19" t="n">
        <f aca="false">IF(AND('Bonding Program'!$S$52=1,I$3='Bonding Program'!$H$52),'Bonding Program'!$AA$52,0)-IF(I$3&lt;='Bonding Program'!$C$8,IF(AND('Bonding Program'!$K$52&lt;&gt;"",I$3='Bonding Program'!$K$52),'Bonding Program'!$J$52,0)-IF(AND('Bonding Program'!$M$52&lt;&gt;"",I$3='Bonding Program'!$M$52),'Bonding Program'!$L$52,0)-IF(AND('Bonding Program'!$P$52&lt;&gt;"",I$3='Bonding Program'!$P$52),'Bonding Program'!$O$52,0)-IF(AND('Bonding Program'!$R$52&lt;&gt;"",I$3='Bonding Program'!$R$52),'Bonding Program'!$Q$52,0),0)</f>
        <v>0</v>
      </c>
      <c r="J193" s="19" t="n">
        <f aca="false">IF(AND('Bonding Program'!$S$52=1,J$3='Bonding Program'!$H$52),'Bonding Program'!$AA$52,0)-IF(J$3&lt;='Bonding Program'!$C$8,IF(AND('Bonding Program'!$K$52&lt;&gt;"",J$3='Bonding Program'!$K$52),'Bonding Program'!$J$52,0)-IF(AND('Bonding Program'!$M$52&lt;&gt;"",J$3='Bonding Program'!$M$52),'Bonding Program'!$L$52,0)-IF(AND('Bonding Program'!$P$52&lt;&gt;"",J$3='Bonding Program'!$P$52),'Bonding Program'!$O$52,0)-IF(AND('Bonding Program'!$R$52&lt;&gt;"",J$3='Bonding Program'!$R$52),'Bonding Program'!$Q$52,0),0)</f>
        <v>0</v>
      </c>
      <c r="K193" s="19" t="n">
        <f aca="false">IF(AND('Bonding Program'!$S$52=1,K$3='Bonding Program'!$H$52),'Bonding Program'!$AA$52,0)-IF(K$3&lt;='Bonding Program'!$C$8,IF(AND('Bonding Program'!$K$52&lt;&gt;"",K$3='Bonding Program'!$K$52),'Bonding Program'!$J$52,0)-IF(AND('Bonding Program'!$M$52&lt;&gt;"",K$3='Bonding Program'!$M$52),'Bonding Program'!$L$52,0)-IF(AND('Bonding Program'!$P$52&lt;&gt;"",K$3='Bonding Program'!$P$52),'Bonding Program'!$O$52,0)-IF(AND('Bonding Program'!$R$52&lt;&gt;"",K$3='Bonding Program'!$R$52),'Bonding Program'!$Q$52,0),0)</f>
        <v>0</v>
      </c>
      <c r="L193" s="19" t="n">
        <f aca="false">IF(AND('Bonding Program'!$S$52=1,L$3='Bonding Program'!$H$52),'Bonding Program'!$AA$52,0)-IF(L$3&lt;='Bonding Program'!$C$8,IF(AND('Bonding Program'!$K$52&lt;&gt;"",L$3='Bonding Program'!$K$52),'Bonding Program'!$J$52,0)-IF(AND('Bonding Program'!$M$52&lt;&gt;"",L$3='Bonding Program'!$M$52),'Bonding Program'!$L$52,0)-IF(AND('Bonding Program'!$P$52&lt;&gt;"",L$3='Bonding Program'!$P$52),'Bonding Program'!$O$52,0)-IF(AND('Bonding Program'!$R$52&lt;&gt;"",L$3='Bonding Program'!$R$52),'Bonding Program'!$Q$52,0),0)</f>
        <v>0</v>
      </c>
      <c r="M193" s="19" t="n">
        <f aca="false">IF(AND('Bonding Program'!$S$52=1,M$3='Bonding Program'!$H$52),'Bonding Program'!$AA$52,0)-IF(M$3&lt;='Bonding Program'!$C$8,IF(AND('Bonding Program'!$K$52&lt;&gt;"",M$3='Bonding Program'!$K$52),'Bonding Program'!$J$52,0)-IF(AND('Bonding Program'!$M$52&lt;&gt;"",M$3='Bonding Program'!$M$52),'Bonding Program'!$L$52,0)-IF(AND('Bonding Program'!$P$52&lt;&gt;"",M$3='Bonding Program'!$P$52),'Bonding Program'!$O$52,0)-IF(AND('Bonding Program'!$R$52&lt;&gt;"",M$3='Bonding Program'!$R$52),'Bonding Program'!$Q$52,0),0)</f>
        <v>0</v>
      </c>
      <c r="N193" s="19" t="n">
        <f aca="false">IF(AND('Bonding Program'!$S$52=1,N$3='Bonding Program'!$H$52),'Bonding Program'!$AA$52,0)-IF(N$3&lt;='Bonding Program'!$C$8,IF(AND('Bonding Program'!$K$52&lt;&gt;"",N$3='Bonding Program'!$K$52),'Bonding Program'!$J$52,0)-IF(AND('Bonding Program'!$M$52&lt;&gt;"",N$3='Bonding Program'!$M$52),'Bonding Program'!$L$52,0)-IF(AND('Bonding Program'!$P$52&lt;&gt;"",N$3='Bonding Program'!$P$52),'Bonding Program'!$O$52,0)-IF(AND('Bonding Program'!$R$52&lt;&gt;"",N$3='Bonding Program'!$R$52),'Bonding Program'!$Q$52,0),0)</f>
        <v>0</v>
      </c>
      <c r="O193" s="19" t="n">
        <f aca="false">IF(AND('Bonding Program'!$S$52=1,O$3='Bonding Program'!$H$52),'Bonding Program'!$AA$52,0)-IF(O$3&lt;='Bonding Program'!$C$8,IF(AND('Bonding Program'!$K$52&lt;&gt;"",O$3='Bonding Program'!$K$52),'Bonding Program'!$J$52,0)-IF(AND('Bonding Program'!$M$52&lt;&gt;"",O$3='Bonding Program'!$M$52),'Bonding Program'!$L$52,0)-IF(AND('Bonding Program'!$P$52&lt;&gt;"",O$3='Bonding Program'!$P$52),'Bonding Program'!$O$52,0)-IF(AND('Bonding Program'!$R$52&lt;&gt;"",O$3='Bonding Program'!$R$52),'Bonding Program'!$Q$52,0),0)</f>
        <v>0</v>
      </c>
      <c r="P193" s="19" t="n">
        <f aca="false">IF(AND('Bonding Program'!$S$52=1,P$3='Bonding Program'!$H$52),'Bonding Program'!$AA$52,0)-IF(P$3&lt;='Bonding Program'!$C$8,IF(AND('Bonding Program'!$K$52&lt;&gt;"",P$3='Bonding Program'!$K$52),'Bonding Program'!$J$52,0)-IF(AND('Bonding Program'!$M$52&lt;&gt;"",P$3='Bonding Program'!$M$52),'Bonding Program'!$L$52,0)-IF(AND('Bonding Program'!$P$52&lt;&gt;"",P$3='Bonding Program'!$P$52),'Bonding Program'!$O$52,0)-IF(AND('Bonding Program'!$R$52&lt;&gt;"",P$3='Bonding Program'!$R$52),'Bonding Program'!$Q$52,0),0)</f>
        <v>0</v>
      </c>
      <c r="Q193" s="19" t="n">
        <f aca="false">IF(AND('Bonding Program'!$S$52=1,Q$3='Bonding Program'!$H$52),'Bonding Program'!$AA$52,0)-IF(Q$3&lt;='Bonding Program'!$C$8,IF(AND('Bonding Program'!$K$52&lt;&gt;"",Q$3='Bonding Program'!$K$52),'Bonding Program'!$J$52,0)-IF(AND('Bonding Program'!$M$52&lt;&gt;"",Q$3='Bonding Program'!$M$52),'Bonding Program'!$L$52,0)-IF(AND('Bonding Program'!$P$52&lt;&gt;"",Q$3='Bonding Program'!$P$52),'Bonding Program'!$O$52,0)-IF(AND('Bonding Program'!$R$52&lt;&gt;"",Q$3='Bonding Program'!$R$52),'Bonding Program'!$Q$52,0),0)</f>
        <v>0</v>
      </c>
      <c r="R193" s="19" t="n">
        <f aca="false">IF(AND('Bonding Program'!$S$52=1,R$3='Bonding Program'!$H$52),'Bonding Program'!$AA$52,0)-IF(R$3&lt;='Bonding Program'!$C$8,IF(AND('Bonding Program'!$K$52&lt;&gt;"",R$3='Bonding Program'!$K$52),'Bonding Program'!$J$52,0)-IF(AND('Bonding Program'!$M$52&lt;&gt;"",R$3='Bonding Program'!$M$52),'Bonding Program'!$L$52,0)-IF(AND('Bonding Program'!$P$52&lt;&gt;"",R$3='Bonding Program'!$P$52),'Bonding Program'!$O$52,0)-IF(AND('Bonding Program'!$R$52&lt;&gt;"",R$3='Bonding Program'!$R$52),'Bonding Program'!$Q$52,0),0)</f>
        <v>0</v>
      </c>
      <c r="S193" s="19" t="n">
        <f aca="false">IF(AND('Bonding Program'!$S$52=1,S$3='Bonding Program'!$H$52),'Bonding Program'!$AA$52,0)-IF(S$3&lt;='Bonding Program'!$C$8,IF(AND('Bonding Program'!$K$52&lt;&gt;"",S$3='Bonding Program'!$K$52),'Bonding Program'!$J$52,0)-IF(AND('Bonding Program'!$M$52&lt;&gt;"",S$3='Bonding Program'!$M$52),'Bonding Program'!$L$52,0)-IF(AND('Bonding Program'!$P$52&lt;&gt;"",S$3='Bonding Program'!$P$52),'Bonding Program'!$O$52,0)-IF(AND('Bonding Program'!$R$52&lt;&gt;"",S$3='Bonding Program'!$R$52),'Bonding Program'!$Q$52,0),0)</f>
        <v>0</v>
      </c>
      <c r="T193" s="19" t="n">
        <f aca="false">IF(AND('Bonding Program'!$S$52=1,T$3='Bonding Program'!$H$52),'Bonding Program'!$AA$52,0)-IF(T$3&lt;='Bonding Program'!$C$8,IF(AND('Bonding Program'!$K$52&lt;&gt;"",T$3='Bonding Program'!$K$52),'Bonding Program'!$J$52,0)-IF(AND('Bonding Program'!$M$52&lt;&gt;"",T$3='Bonding Program'!$M$52),'Bonding Program'!$L$52,0)-IF(AND('Bonding Program'!$P$52&lt;&gt;"",T$3='Bonding Program'!$P$52),'Bonding Program'!$O$52,0)-IF(AND('Bonding Program'!$R$52&lt;&gt;"",T$3='Bonding Program'!$R$52),'Bonding Program'!$Q$52,0),0)</f>
        <v>0</v>
      </c>
      <c r="U193" s="19" t="n">
        <f aca="false">IF(AND('Bonding Program'!$S$52=1,U$3='Bonding Program'!$H$52),'Bonding Program'!$AA$52,0)-IF(U$3&lt;='Bonding Program'!$C$8,IF(AND('Bonding Program'!$K$52&lt;&gt;"",U$3='Bonding Program'!$K$52),'Bonding Program'!$J$52,0)-IF(AND('Bonding Program'!$M$52&lt;&gt;"",U$3='Bonding Program'!$M$52),'Bonding Program'!$L$52,0)-IF(AND('Bonding Program'!$P$52&lt;&gt;"",U$3='Bonding Program'!$P$52),'Bonding Program'!$O$52,0)-IF(AND('Bonding Program'!$R$52&lt;&gt;"",U$3='Bonding Program'!$R$52),'Bonding Program'!$Q$52,0),0)</f>
        <v>0</v>
      </c>
      <c r="V193" s="19" t="n">
        <f aca="false">IF(AND('Bonding Program'!$S$52=1,V$3='Bonding Program'!$H$52),'Bonding Program'!$AA$52,0)-IF(V$3&lt;='Bonding Program'!$C$8,IF(AND('Bonding Program'!$K$52&lt;&gt;"",V$3='Bonding Program'!$K$52),'Bonding Program'!$J$52,0)-IF(AND('Bonding Program'!$M$52&lt;&gt;"",V$3='Bonding Program'!$M$52),'Bonding Program'!$L$52,0)-IF(AND('Bonding Program'!$P$52&lt;&gt;"",V$3='Bonding Program'!$P$52),'Bonding Program'!$O$52,0)-IF(AND('Bonding Program'!$R$52&lt;&gt;"",V$3='Bonding Program'!$R$52),'Bonding Program'!$Q$52,0),0)</f>
        <v>0</v>
      </c>
      <c r="W193" s="19" t="n">
        <f aca="false">IF(AND('Bonding Program'!$S$52=1,W$3='Bonding Program'!$H$52),'Bonding Program'!$AA$52,0)-IF(W$3&lt;='Bonding Program'!$C$8,IF(AND('Bonding Program'!$K$52&lt;&gt;"",W$3='Bonding Program'!$K$52),'Bonding Program'!$J$52,0)-IF(AND('Bonding Program'!$M$52&lt;&gt;"",W$3='Bonding Program'!$M$52),'Bonding Program'!$L$52,0)-IF(AND('Bonding Program'!$P$52&lt;&gt;"",W$3='Bonding Program'!$P$52),'Bonding Program'!$O$52,0)-IF(AND('Bonding Program'!$R$52&lt;&gt;"",W$3='Bonding Program'!$R$52),'Bonding Program'!$Q$52,0),0)</f>
        <v>0</v>
      </c>
      <c r="X193" s="19" t="n">
        <f aca="false">IF(AND('Bonding Program'!$S$52=1,X$3='Bonding Program'!$H$52),'Bonding Program'!$AA$52,0)-IF(X$3&lt;='Bonding Program'!$C$8,IF(AND('Bonding Program'!$K$52&lt;&gt;"",X$3='Bonding Program'!$K$52),'Bonding Program'!$J$52,0)-IF(AND('Bonding Program'!$M$52&lt;&gt;"",X$3='Bonding Program'!$M$52),'Bonding Program'!$L$52,0)-IF(AND('Bonding Program'!$P$52&lt;&gt;"",X$3='Bonding Program'!$P$52),'Bonding Program'!$O$52,0)-IF(AND('Bonding Program'!$R$52&lt;&gt;"",X$3='Bonding Program'!$R$52),'Bonding Program'!$Q$52,0),0)</f>
        <v>0</v>
      </c>
      <c r="Y193" s="19" t="n">
        <f aca="false">IF(AND('Bonding Program'!$S$52=1,Y$3='Bonding Program'!$H$52),'Bonding Program'!$AA$52,0)-IF(Y$3&lt;='Bonding Program'!$C$8,IF(AND('Bonding Program'!$K$52&lt;&gt;"",Y$3='Bonding Program'!$K$52),'Bonding Program'!$J$52,0)-IF(AND('Bonding Program'!$M$52&lt;&gt;"",Y$3='Bonding Program'!$M$52),'Bonding Program'!$L$52,0)-IF(AND('Bonding Program'!$P$52&lt;&gt;"",Y$3='Bonding Program'!$P$52),'Bonding Program'!$O$52,0)-IF(AND('Bonding Program'!$R$52&lt;&gt;"",Y$3='Bonding Program'!$R$52),'Bonding Program'!$Q$52,0),0)</f>
        <v>0</v>
      </c>
      <c r="Z193" s="19" t="n">
        <f aca="false">IF(AND('Bonding Program'!$S$52=1,Z$3='Bonding Program'!$H$52),'Bonding Program'!$AA$52,0)-IF(Z$3&lt;='Bonding Program'!$C$8,IF(AND('Bonding Program'!$K$52&lt;&gt;"",Z$3='Bonding Program'!$K$52),'Bonding Program'!$J$52,0)-IF(AND('Bonding Program'!$M$52&lt;&gt;"",Z$3='Bonding Program'!$M$52),'Bonding Program'!$L$52,0)-IF(AND('Bonding Program'!$P$52&lt;&gt;"",Z$3='Bonding Program'!$P$52),'Bonding Program'!$O$52,0)-IF(AND('Bonding Program'!$R$52&lt;&gt;"",Z$3='Bonding Program'!$R$52),'Bonding Program'!$Q$52,0),0)</f>
        <v>0</v>
      </c>
      <c r="AA193" s="19" t="n">
        <f aca="false">IF(AND('Bonding Program'!$S$52=1,AA$3='Bonding Program'!$H$52),'Bonding Program'!$AA$52,0)-IF(AA$3&lt;='Bonding Program'!$C$8,IF(AND('Bonding Program'!$K$52&lt;&gt;"",AA$3='Bonding Program'!$K$52),'Bonding Program'!$J$52,0)-IF(AND('Bonding Program'!$M$52&lt;&gt;"",AA$3='Bonding Program'!$M$52),'Bonding Program'!$L$52,0)-IF(AND('Bonding Program'!$P$52&lt;&gt;"",AA$3='Bonding Program'!$P$52),'Bonding Program'!$O$52,0)-IF(AND('Bonding Program'!$R$52&lt;&gt;"",AA$3='Bonding Program'!$R$52),'Bonding Program'!$Q$52,0),0)</f>
        <v>0</v>
      </c>
      <c r="AB193" s="19" t="n">
        <f aca="false">IF(AND('Bonding Program'!$S$52=1,AB$3='Bonding Program'!$H$52),'Bonding Program'!$AA$52,0)-IF(AB$3&lt;='Bonding Program'!$C$8,IF(AND('Bonding Program'!$K$52&lt;&gt;"",AB$3='Bonding Program'!$K$52),'Bonding Program'!$J$52,0)-IF(AND('Bonding Program'!$M$52&lt;&gt;"",AB$3='Bonding Program'!$M$52),'Bonding Program'!$L$52,0)-IF(AND('Bonding Program'!$P$52&lt;&gt;"",AB$3='Bonding Program'!$P$52),'Bonding Program'!$O$52,0)-IF(AND('Bonding Program'!$R$52&lt;&gt;"",AB$3='Bonding Program'!$R$52),'Bonding Program'!$Q$52,0),0)</f>
        <v>0</v>
      </c>
      <c r="AC193" s="19" t="n">
        <f aca="false">IF(AND('Bonding Program'!$S$52=1,AC$3='Bonding Program'!$H$52),'Bonding Program'!$AA$52,0)-IF(AC$3&lt;='Bonding Program'!$C$8,IF(AND('Bonding Program'!$K$52&lt;&gt;"",AC$3='Bonding Program'!$K$52),'Bonding Program'!$J$52,0)-IF(AND('Bonding Program'!$M$52&lt;&gt;"",AC$3='Bonding Program'!$M$52),'Bonding Program'!$L$52,0)-IF(AND('Bonding Program'!$P$52&lt;&gt;"",AC$3='Bonding Program'!$P$52),'Bonding Program'!$O$52,0)-IF(AND('Bonding Program'!$R$52&lt;&gt;"",AC$3='Bonding Program'!$R$52),'Bonding Program'!$Q$52,0),0)</f>
        <v>0</v>
      </c>
      <c r="AD193" s="19" t="n">
        <f aca="false">IF(AND('Bonding Program'!$S$52=1,AD$3='Bonding Program'!$H$52),'Bonding Program'!$AA$52,0)-IF(AD$3&lt;='Bonding Program'!$C$8,IF(AND('Bonding Program'!$K$52&lt;&gt;"",AD$3='Bonding Program'!$K$52),'Bonding Program'!$J$52,0)-IF(AND('Bonding Program'!$M$52&lt;&gt;"",AD$3='Bonding Program'!$M$52),'Bonding Program'!$L$52,0)-IF(AND('Bonding Program'!$P$52&lt;&gt;"",AD$3='Bonding Program'!$P$52),'Bonding Program'!$O$52,0)-IF(AND('Bonding Program'!$R$52&lt;&gt;"",AD$3='Bonding Program'!$R$52),'Bonding Program'!$Q$52,0),0)</f>
        <v>0</v>
      </c>
      <c r="AE193" s="19" t="n">
        <f aca="false">IF(AND('Bonding Program'!$S$52=1,AE$3='Bonding Program'!$H$52),'Bonding Program'!$AA$52,0)-IF(AE$3&lt;='Bonding Program'!$C$8,IF(AND('Bonding Program'!$K$52&lt;&gt;"",AE$3='Bonding Program'!$K$52),'Bonding Program'!$J$52,0)-IF(AND('Bonding Program'!$M$52&lt;&gt;"",AE$3='Bonding Program'!$M$52),'Bonding Program'!$L$52,0)-IF(AND('Bonding Program'!$P$52&lt;&gt;"",AE$3='Bonding Program'!$P$52),'Bonding Program'!$O$52,0)-IF(AND('Bonding Program'!$R$52&lt;&gt;"",AE$3='Bonding Program'!$R$52),'Bonding Program'!$Q$52,0),0)</f>
        <v>0</v>
      </c>
      <c r="AF193" s="19" t="n">
        <f aca="false">IF(AND('Bonding Program'!$S$52=1,AF$3='Bonding Program'!$H$52),'Bonding Program'!$AA$52,0)-IF(AF$3&lt;='Bonding Program'!$C$8,IF(AND('Bonding Program'!$K$52&lt;&gt;"",AF$3='Bonding Program'!$K$52),'Bonding Program'!$J$52,0)-IF(AND('Bonding Program'!$M$52&lt;&gt;"",AF$3='Bonding Program'!$M$52),'Bonding Program'!$L$52,0)-IF(AND('Bonding Program'!$P$52&lt;&gt;"",AF$3='Bonding Program'!$P$52),'Bonding Program'!$O$52,0)-IF(AND('Bonding Program'!$R$52&lt;&gt;"",AF$3='Bonding Program'!$R$52),'Bonding Program'!$Q$52,0),0)</f>
        <v>0</v>
      </c>
      <c r="AG193" s="19" t="n">
        <f aca="false">IF(AND('Bonding Program'!$S$52=1,AG$3='Bonding Program'!$H$52),'Bonding Program'!$AA$52,0)-IF(AG$3&lt;='Bonding Program'!$C$8,IF(AND('Bonding Program'!$K$52&lt;&gt;"",AG$3='Bonding Program'!$K$52),'Bonding Program'!$J$52,0)-IF(AND('Bonding Program'!$M$52&lt;&gt;"",AG$3='Bonding Program'!$M$52),'Bonding Program'!$L$52,0)-IF(AND('Bonding Program'!$P$52&lt;&gt;"",AG$3='Bonding Program'!$P$52),'Bonding Program'!$O$52,0)-IF(AND('Bonding Program'!$R$52&lt;&gt;"",AG$3='Bonding Program'!$R$52),'Bonding Program'!$Q$52,0),0)</f>
        <v>0</v>
      </c>
      <c r="AH193" s="19" t="n">
        <f aca="false">IF(AND('Bonding Program'!$S$52=1,AH$3='Bonding Program'!$H$52),'Bonding Program'!$AA$52,0)-IF(AH$3&lt;='Bonding Program'!$C$8,IF(AND('Bonding Program'!$K$52&lt;&gt;"",AH$3='Bonding Program'!$K$52),'Bonding Program'!$J$52,0)-IF(AND('Bonding Program'!$M$52&lt;&gt;"",AH$3='Bonding Program'!$M$52),'Bonding Program'!$L$52,0)-IF(AND('Bonding Program'!$P$52&lt;&gt;"",AH$3='Bonding Program'!$P$52),'Bonding Program'!$O$52,0)-IF(AND('Bonding Program'!$R$52&lt;&gt;"",AH$3='Bonding Program'!$R$52),'Bonding Program'!$Q$52,0),0)</f>
        <v>0</v>
      </c>
      <c r="AI193" s="19" t="n">
        <f aca="false">IF(AND('Bonding Program'!$S$52=1,AI$3='Bonding Program'!$H$52),'Bonding Program'!$AA$52,0)-IF(AI$3&lt;='Bonding Program'!$C$8,IF(AND('Bonding Program'!$K$52&lt;&gt;"",AI$3='Bonding Program'!$K$52),'Bonding Program'!$J$52,0)-IF(AND('Bonding Program'!$M$52&lt;&gt;"",AI$3='Bonding Program'!$M$52),'Bonding Program'!$L$52,0)-IF(AND('Bonding Program'!$P$52&lt;&gt;"",AI$3='Bonding Program'!$P$52),'Bonding Program'!$O$52,0)-IF(AND('Bonding Program'!$R$52&lt;&gt;"",AI$3='Bonding Program'!$R$52),'Bonding Program'!$Q$52,0),0)</f>
        <v>0</v>
      </c>
      <c r="AJ193" s="19" t="n">
        <f aca="false">IF(AND('Bonding Program'!$S$52=1,AJ$3='Bonding Program'!$H$52),'Bonding Program'!$AA$52,0)-IF(AJ$3&lt;='Bonding Program'!$C$8,IF(AND('Bonding Program'!$K$52&lt;&gt;"",AJ$3='Bonding Program'!$K$52),'Bonding Program'!$J$52,0)-IF(AND('Bonding Program'!$M$52&lt;&gt;"",AJ$3='Bonding Program'!$M$52),'Bonding Program'!$L$52,0)-IF(AND('Bonding Program'!$P$52&lt;&gt;"",AJ$3='Bonding Program'!$P$52),'Bonding Program'!$O$52,0)-IF(AND('Bonding Program'!$R$52&lt;&gt;"",AJ$3='Bonding Program'!$R$52),'Bonding Program'!$Q$52,0),0)</f>
        <v>0</v>
      </c>
      <c r="AK193" s="19" t="n">
        <f aca="false">IF(AND('Bonding Program'!$S$52=1,AK$3='Bonding Program'!$H$52),'Bonding Program'!$AA$52,0)-IF(AK$3&lt;='Bonding Program'!$C$8,IF(AND('Bonding Program'!$K$52&lt;&gt;"",AK$3='Bonding Program'!$K$52),'Bonding Program'!$J$52,0)-IF(AND('Bonding Program'!$M$52&lt;&gt;"",AK$3='Bonding Program'!$M$52),'Bonding Program'!$L$52,0)-IF(AND('Bonding Program'!$P$52&lt;&gt;"",AK$3='Bonding Program'!$P$52),'Bonding Program'!$O$52,0)-IF(AND('Bonding Program'!$R$52&lt;&gt;"",AK$3='Bonding Program'!$R$52),'Bonding Program'!$Q$52,0),0)</f>
        <v>0</v>
      </c>
      <c r="AL193" s="19" t="n">
        <f aca="false">IF(AND('Bonding Program'!$S$52=1,AL$3='Bonding Program'!$H$52),'Bonding Program'!$AA$52,0)-IF(AL$3&lt;='Bonding Program'!$C$8,IF(AND('Bonding Program'!$K$52&lt;&gt;"",AL$3='Bonding Program'!$K$52),'Bonding Program'!$J$52,0)-IF(AND('Bonding Program'!$M$52&lt;&gt;"",AL$3='Bonding Program'!$M$52),'Bonding Program'!$L$52,0)-IF(AND('Bonding Program'!$P$52&lt;&gt;"",AL$3='Bonding Program'!$P$52),'Bonding Program'!$O$52,0)-IF(AND('Bonding Program'!$R$52&lt;&gt;"",AL$3='Bonding Program'!$R$52),'Bonding Program'!$Q$52,0),0)</f>
        <v>0</v>
      </c>
      <c r="AM193" s="19" t="n">
        <f aca="false">IF(AND('Bonding Program'!$S$52=1,AM$3='Bonding Program'!$H$52),'Bonding Program'!$AA$52,0)-IF(AM$3&lt;='Bonding Program'!$C$8,IF(AND('Bonding Program'!$K$52&lt;&gt;"",AM$3='Bonding Program'!$K$52),'Bonding Program'!$J$52,0)-IF(AND('Bonding Program'!$M$52&lt;&gt;"",AM$3='Bonding Program'!$M$52),'Bonding Program'!$L$52,0)-IF(AND('Bonding Program'!$P$52&lt;&gt;"",AM$3='Bonding Program'!$P$52),'Bonding Program'!$O$52,0)-IF(AND('Bonding Program'!$R$52&lt;&gt;"",AM$3='Bonding Program'!$R$52),'Bonding Program'!$Q$52,0),0)</f>
        <v>0</v>
      </c>
      <c r="AN193" s="19" t="n">
        <f aca="false">IF(AND('Bonding Program'!$S$52=1,AN$3='Bonding Program'!$H$52),'Bonding Program'!$AA$52,0)-IF(AN$3&lt;='Bonding Program'!$C$8,IF(AND('Bonding Program'!$K$52&lt;&gt;"",AN$3='Bonding Program'!$K$52),'Bonding Program'!$J$52,0)-IF(AND('Bonding Program'!$M$52&lt;&gt;"",AN$3='Bonding Program'!$M$52),'Bonding Program'!$L$52,0)-IF(AND('Bonding Program'!$P$52&lt;&gt;"",AN$3='Bonding Program'!$P$52),'Bonding Program'!$O$52,0)-IF(AND('Bonding Program'!$R$52&lt;&gt;"",AN$3='Bonding Program'!$R$52),'Bonding Program'!$Q$52,0),0)</f>
        <v>0</v>
      </c>
      <c r="AO193" s="19" t="n">
        <f aca="false">IF(AND('Bonding Program'!$S$52=1,AO$3='Bonding Program'!$H$52),'Bonding Program'!$AA$52,0)-IF(AO$3&lt;='Bonding Program'!$C$8,IF(AND('Bonding Program'!$K$52&lt;&gt;"",AO$3='Bonding Program'!$K$52),'Bonding Program'!$J$52,0)-IF(AND('Bonding Program'!$M$52&lt;&gt;"",AO$3='Bonding Program'!$M$52),'Bonding Program'!$L$52,0)-IF(AND('Bonding Program'!$P$52&lt;&gt;"",AO$3='Bonding Program'!$P$52),'Bonding Program'!$O$52,0)-IF(AND('Bonding Program'!$R$52&lt;&gt;"",AO$3='Bonding Program'!$R$52),'Bonding Program'!$Q$52,0),0)</f>
        <v>0</v>
      </c>
      <c r="AP193" s="19" t="n">
        <f aca="false">IF(AND('Bonding Program'!$S$52=1,AP$3='Bonding Program'!$H$52),'Bonding Program'!$AA$52,0)-IF(AP$3&lt;='Bonding Program'!$C$8,IF(AND('Bonding Program'!$K$52&lt;&gt;"",AP$3='Bonding Program'!$K$52),'Bonding Program'!$J$52,0)-IF(AND('Bonding Program'!$M$52&lt;&gt;"",AP$3='Bonding Program'!$M$52),'Bonding Program'!$L$52,0)-IF(AND('Bonding Program'!$P$52&lt;&gt;"",AP$3='Bonding Program'!$P$52),'Bonding Program'!$O$52,0)-IF(AND('Bonding Program'!$R$52&lt;&gt;"",AP$3='Bonding Program'!$R$52),'Bonding Program'!$Q$52,0),0)</f>
        <v>0</v>
      </c>
      <c r="AQ193" s="19" t="n">
        <f aca="false">IF(AND('Bonding Program'!$S$52=1,AQ$3='Bonding Program'!$H$52),'Bonding Program'!$AA$52,0)-IF(AQ$3&lt;='Bonding Program'!$C$8,IF(AND('Bonding Program'!$K$52&lt;&gt;"",AQ$3='Bonding Program'!$K$52),'Bonding Program'!$J$52,0)-IF(AND('Bonding Program'!$M$52&lt;&gt;"",AQ$3='Bonding Program'!$M$52),'Bonding Program'!$L$52,0)-IF(AND('Bonding Program'!$P$52&lt;&gt;"",AQ$3='Bonding Program'!$P$52),'Bonding Program'!$O$52,0)-IF(AND('Bonding Program'!$R$52&lt;&gt;"",AQ$3='Bonding Program'!$R$52),'Bonding Program'!$Q$52,0),0)</f>
        <v>0</v>
      </c>
      <c r="AR193" s="19" t="n">
        <f aca="false">IF(AND('Bonding Program'!$S$52=1,AR$3='Bonding Program'!$H$52),'Bonding Program'!$AA$52,0)-IF(AR$3&lt;='Bonding Program'!$C$8,IF(AND('Bonding Program'!$K$52&lt;&gt;"",AR$3='Bonding Program'!$K$52),'Bonding Program'!$J$52,0)-IF(AND('Bonding Program'!$M$52&lt;&gt;"",AR$3='Bonding Program'!$M$52),'Bonding Program'!$L$52,0)-IF(AND('Bonding Program'!$P$52&lt;&gt;"",AR$3='Bonding Program'!$P$52),'Bonding Program'!$O$52,0)-IF(AND('Bonding Program'!$R$52&lt;&gt;"",AR$3='Bonding Program'!$R$52),'Bonding Program'!$Q$52,0),0)</f>
        <v>0</v>
      </c>
      <c r="AS193" s="19" t="n">
        <f aca="false">IF(AND('Bonding Program'!$S$52=1,AS$3='Bonding Program'!$H$52),'Bonding Program'!$AA$52,0)-IF(AS$3&lt;='Bonding Program'!$C$8,IF(AND('Bonding Program'!$K$52&lt;&gt;"",AS$3='Bonding Program'!$K$52),'Bonding Program'!$J$52,0)-IF(AND('Bonding Program'!$M$52&lt;&gt;"",AS$3='Bonding Program'!$M$52),'Bonding Program'!$L$52,0)-IF(AND('Bonding Program'!$P$52&lt;&gt;"",AS$3='Bonding Program'!$P$52),'Bonding Program'!$O$52,0)-IF(AND('Bonding Program'!$R$52&lt;&gt;"",AS$3='Bonding Program'!$R$52),'Bonding Program'!$Q$52,0),0)</f>
        <v>0</v>
      </c>
      <c r="AT193" s="19" t="n">
        <f aca="false">IF(AND('Bonding Program'!$S$52=1,AT$3='Bonding Program'!$H$52),'Bonding Program'!$AA$52,0)-IF(AT$3&lt;='Bonding Program'!$C$8,IF(AND('Bonding Program'!$K$52&lt;&gt;"",AT$3='Bonding Program'!$K$52),'Bonding Program'!$J$52,0)-IF(AND('Bonding Program'!$M$52&lt;&gt;"",AT$3='Bonding Program'!$M$52),'Bonding Program'!$L$52,0)-IF(AND('Bonding Program'!$P$52&lt;&gt;"",AT$3='Bonding Program'!$P$52),'Bonding Program'!$O$52,0)-IF(AND('Bonding Program'!$R$52&lt;&gt;"",AT$3='Bonding Program'!$R$52),'Bonding Program'!$Q$52,0),0)</f>
        <v>0</v>
      </c>
      <c r="AU193" s="19" t="n">
        <f aca="false">IF(AND('Bonding Program'!$S$52=1,AU$3='Bonding Program'!$H$52),'Bonding Program'!$AA$52,0)-IF(AU$3&lt;='Bonding Program'!$C$8,IF(AND('Bonding Program'!$K$52&lt;&gt;"",AU$3='Bonding Program'!$K$52),'Bonding Program'!$J$52,0)-IF(AND('Bonding Program'!$M$52&lt;&gt;"",AU$3='Bonding Program'!$M$52),'Bonding Program'!$L$52,0)-IF(AND('Bonding Program'!$P$52&lt;&gt;"",AU$3='Bonding Program'!$P$52),'Bonding Program'!$O$52,0)-IF(AND('Bonding Program'!$R$52&lt;&gt;"",AU$3='Bonding Program'!$R$52),'Bonding Program'!$Q$52,0),0)</f>
        <v>0</v>
      </c>
      <c r="AV193" s="19" t="n">
        <f aca="false">IF(AND('Bonding Program'!$S$52=1,AV$3='Bonding Program'!$H$52),'Bonding Program'!$AA$52,0)-IF(AV$3&lt;='Bonding Program'!$C$8,IF(AND('Bonding Program'!$K$52&lt;&gt;"",AV$3='Bonding Program'!$K$52),'Bonding Program'!$J$52,0)-IF(AND('Bonding Program'!$M$52&lt;&gt;"",AV$3='Bonding Program'!$M$52),'Bonding Program'!$L$52,0)-IF(AND('Bonding Program'!$P$52&lt;&gt;"",AV$3='Bonding Program'!$P$52),'Bonding Program'!$O$52,0)-IF(AND('Bonding Program'!$R$52&lt;&gt;"",AV$3='Bonding Program'!$R$52),'Bonding Program'!$Q$52,0),0)</f>
        <v>0</v>
      </c>
      <c r="AW193" s="19" t="n">
        <f aca="false">IF(AND('Bonding Program'!$S$52=1,AW$3='Bonding Program'!$H$52),'Bonding Program'!$AA$52,0)-IF(AW$3&lt;='Bonding Program'!$C$8,IF(AND('Bonding Program'!$K$52&lt;&gt;"",AW$3='Bonding Program'!$K$52),'Bonding Program'!$J$52,0)-IF(AND('Bonding Program'!$M$52&lt;&gt;"",AW$3='Bonding Program'!$M$52),'Bonding Program'!$L$52,0)-IF(AND('Bonding Program'!$P$52&lt;&gt;"",AW$3='Bonding Program'!$P$52),'Bonding Program'!$O$52,0)-IF(AND('Bonding Program'!$R$52&lt;&gt;"",AW$3='Bonding Program'!$R$52),'Bonding Program'!$Q$52,0),0)</f>
        <v>0</v>
      </c>
      <c r="AX193" s="19" t="n">
        <f aca="false">IF(AND('Bonding Program'!$S$52=1,AX$3='Bonding Program'!$H$52),'Bonding Program'!$AA$52,0)-IF(AX$3&lt;='Bonding Program'!$C$8,IF(AND('Bonding Program'!$K$52&lt;&gt;"",AX$3='Bonding Program'!$K$52),'Bonding Program'!$J$52,0)-IF(AND('Bonding Program'!$M$52&lt;&gt;"",AX$3='Bonding Program'!$M$52),'Bonding Program'!$L$52,0)-IF(AND('Bonding Program'!$P$52&lt;&gt;"",AX$3='Bonding Program'!$P$52),'Bonding Program'!$O$52,0)-IF(AND('Bonding Program'!$R$52&lt;&gt;"",AX$3='Bonding Program'!$R$52),'Bonding Program'!$Q$52,0),0)</f>
        <v>0</v>
      </c>
      <c r="AY193" s="19" t="n">
        <f aca="false">IF(AND('Bonding Program'!$S$52=1,AY$3='Bonding Program'!$H$52),'Bonding Program'!$AA$52,0)-IF(AY$3&lt;='Bonding Program'!$C$8,IF(AND('Bonding Program'!$K$52&lt;&gt;"",AY$3='Bonding Program'!$K$52),'Bonding Program'!$J$52,0)-IF(AND('Bonding Program'!$M$52&lt;&gt;"",AY$3='Bonding Program'!$M$52),'Bonding Program'!$L$52,0)-IF(AND('Bonding Program'!$P$52&lt;&gt;"",AY$3='Bonding Program'!$P$52),'Bonding Program'!$O$52,0)-IF(AND('Bonding Program'!$R$52&lt;&gt;"",AY$3='Bonding Program'!$R$52),'Bonding Program'!$Q$52,0),0)</f>
        <v>0</v>
      </c>
      <c r="AZ193" s="19" t="n">
        <f aca="false">IF(AND('Bonding Program'!$S$52=1,AZ$3='Bonding Program'!$H$52),'Bonding Program'!$AA$52,0)-IF(AZ$3&lt;='Bonding Program'!$C$8,IF(AND('Bonding Program'!$K$52&lt;&gt;"",AZ$3='Bonding Program'!$K$52),'Bonding Program'!$J$52,0)-IF(AND('Bonding Program'!$M$52&lt;&gt;"",AZ$3='Bonding Program'!$M$52),'Bonding Program'!$L$52,0)-IF(AND('Bonding Program'!$P$52&lt;&gt;"",AZ$3='Bonding Program'!$P$52),'Bonding Program'!$O$52,0)-IF(AND('Bonding Program'!$R$52&lt;&gt;"",AZ$3='Bonding Program'!$R$52),'Bonding Program'!$Q$52,0),0)</f>
        <v>0</v>
      </c>
      <c r="BA193" s="19" t="n">
        <f aca="false">IF(AND('Bonding Program'!$S$52=1,BA$3='Bonding Program'!$H$52),'Bonding Program'!$AA$52,0)-IF(BA$3&lt;='Bonding Program'!$C$8,IF(AND('Bonding Program'!$K$52&lt;&gt;"",BA$3='Bonding Program'!$K$52),'Bonding Program'!$J$52,0)-IF(AND('Bonding Program'!$M$52&lt;&gt;"",BA$3='Bonding Program'!$M$52),'Bonding Program'!$L$52,0)-IF(AND('Bonding Program'!$P$52&lt;&gt;"",BA$3='Bonding Program'!$P$52),'Bonding Program'!$O$52,0)-IF(AND('Bonding Program'!$R$52&lt;&gt;"",BA$3='Bonding Program'!$R$52),'Bonding Program'!$Q$52,0),0)</f>
        <v>0</v>
      </c>
      <c r="BB193" s="19" t="n">
        <f aca="false">IF(AND('Bonding Program'!$S$52=1,BB$3='Bonding Program'!$H$52),'Bonding Program'!$AA$52,0)-IF(BB$3&lt;='Bonding Program'!$C$8,IF(AND('Bonding Program'!$K$52&lt;&gt;"",BB$3='Bonding Program'!$K$52),'Bonding Program'!$J$52,0)-IF(AND('Bonding Program'!$M$52&lt;&gt;"",BB$3='Bonding Program'!$M$52),'Bonding Program'!$L$52,0)-IF(AND('Bonding Program'!$P$52&lt;&gt;"",BB$3='Bonding Program'!$P$52),'Bonding Program'!$O$52,0)-IF(AND('Bonding Program'!$R$52&lt;&gt;"",BB$3='Bonding Program'!$R$52),'Bonding Program'!$Q$52,0),0)</f>
        <v>0</v>
      </c>
      <c r="BC193" s="19" t="n">
        <f aca="false">IF(AND('Bonding Program'!$S$52=1,BC$3='Bonding Program'!$H$52),'Bonding Program'!$AA$52,0)-IF(BC$3&lt;='Bonding Program'!$C$8,IF(AND('Bonding Program'!$K$52&lt;&gt;"",BC$3='Bonding Program'!$K$52),'Bonding Program'!$J$52,0)-IF(AND('Bonding Program'!$M$52&lt;&gt;"",BC$3='Bonding Program'!$M$52),'Bonding Program'!$L$52,0)-IF(AND('Bonding Program'!$P$52&lt;&gt;"",BC$3='Bonding Program'!$P$52),'Bonding Program'!$O$52,0)-IF(AND('Bonding Program'!$R$52&lt;&gt;"",BC$3='Bonding Program'!$R$52),'Bonding Program'!$Q$52,0),0)</f>
        <v>0</v>
      </c>
      <c r="BD193" s="19" t="n">
        <f aca="false">IF(AND('Bonding Program'!$S$52=1,BD$3='Bonding Program'!$H$52),'Bonding Program'!$AA$52,0)-IF(BD$3&lt;='Bonding Program'!$C$8,IF(AND('Bonding Program'!$K$52&lt;&gt;"",BD$3='Bonding Program'!$K$52),'Bonding Program'!$J$52,0)-IF(AND('Bonding Program'!$M$52&lt;&gt;"",BD$3='Bonding Program'!$M$52),'Bonding Program'!$L$52,0)-IF(AND('Bonding Program'!$P$52&lt;&gt;"",BD$3='Bonding Program'!$P$52),'Bonding Program'!$O$52,0)-IF(AND('Bonding Program'!$R$52&lt;&gt;"",BD$3='Bonding Program'!$R$52),'Bonding Program'!$Q$52,0),0)</f>
        <v>0</v>
      </c>
      <c r="BE193" s="19" t="n">
        <f aca="false">IF(AND('Bonding Program'!$S$52=1,BE$3='Bonding Program'!$H$52),'Bonding Program'!$AA$52,0)-IF(BE$3&lt;='Bonding Program'!$C$8,IF(AND('Bonding Program'!$K$52&lt;&gt;"",BE$3='Bonding Program'!$K$52),'Bonding Program'!$J$52,0)-IF(AND('Bonding Program'!$M$52&lt;&gt;"",BE$3='Bonding Program'!$M$52),'Bonding Program'!$L$52,0)-IF(AND('Bonding Program'!$P$52&lt;&gt;"",BE$3='Bonding Program'!$P$52),'Bonding Program'!$O$52,0)-IF(AND('Bonding Program'!$R$52&lt;&gt;"",BE$3='Bonding Program'!$R$52),'Bonding Program'!$Q$52,0),0)</f>
        <v>0</v>
      </c>
      <c r="BF193" s="19" t="n">
        <f aca="false">IF(AND('Bonding Program'!$S$52=1,BF$3='Bonding Program'!$H$52),'Bonding Program'!$AA$52,0)-IF(BF$3&lt;='Bonding Program'!$C$8,IF(AND('Bonding Program'!$K$52&lt;&gt;"",BF$3='Bonding Program'!$K$52),'Bonding Program'!$J$52,0)-IF(AND('Bonding Program'!$M$52&lt;&gt;"",BF$3='Bonding Program'!$M$52),'Bonding Program'!$L$52,0)-IF(AND('Bonding Program'!$P$52&lt;&gt;"",BF$3='Bonding Program'!$P$52),'Bonding Program'!$O$52,0)-IF(AND('Bonding Program'!$R$52&lt;&gt;"",BF$3='Bonding Program'!$R$52),'Bonding Program'!$Q$52,0),0)</f>
        <v>0</v>
      </c>
      <c r="BG193" s="19" t="n">
        <f aca="false">IF(AND('Bonding Program'!$S$52=1,BG$3='Bonding Program'!$H$52),'Bonding Program'!$AA$52,0)-IF(BG$3&lt;='Bonding Program'!$C$8,IF(AND('Bonding Program'!$K$52&lt;&gt;"",BG$3='Bonding Program'!$K$52),'Bonding Program'!$J$52,0)-IF(AND('Bonding Program'!$M$52&lt;&gt;"",BG$3='Bonding Program'!$M$52),'Bonding Program'!$L$52,0)-IF(AND('Bonding Program'!$P$52&lt;&gt;"",BG$3='Bonding Program'!$P$52),'Bonding Program'!$O$52,0)-IF(AND('Bonding Program'!$R$52&lt;&gt;"",BG$3='Bonding Program'!$R$52),'Bonding Program'!$Q$52,0),0)</f>
        <v>0</v>
      </c>
      <c r="BH193" s="19" t="n">
        <f aca="false">IF(AND('Bonding Program'!$S$52=1,BH$3='Bonding Program'!$H$52),'Bonding Program'!$AA$52,0)-IF(BH$3&lt;='Bonding Program'!$C$8,IF(AND('Bonding Program'!$K$52&lt;&gt;"",BH$3='Bonding Program'!$K$52),'Bonding Program'!$J$52,0)-IF(AND('Bonding Program'!$M$52&lt;&gt;"",BH$3='Bonding Program'!$M$52),'Bonding Program'!$L$52,0)-IF(AND('Bonding Program'!$P$52&lt;&gt;"",BH$3='Bonding Program'!$P$52),'Bonding Program'!$O$52,0)-IF(AND('Bonding Program'!$R$52&lt;&gt;"",BH$3='Bonding Program'!$R$52),'Bonding Program'!$Q$52,0),0)</f>
        <v>0</v>
      </c>
      <c r="BI193" s="19" t="n">
        <f aca="false">IF(AND('Bonding Program'!$S$52=1,BI$3='Bonding Program'!$H$52),'Bonding Program'!$AA$52,0)-IF(BI$3&lt;='Bonding Program'!$C$8,IF(AND('Bonding Program'!$K$52&lt;&gt;"",BI$3='Bonding Program'!$K$52),'Bonding Program'!$J$52,0)-IF(AND('Bonding Program'!$M$52&lt;&gt;"",BI$3='Bonding Program'!$M$52),'Bonding Program'!$L$52,0)-IF(AND('Bonding Program'!$P$52&lt;&gt;"",BI$3='Bonding Program'!$P$52),'Bonding Program'!$O$52,0)-IF(AND('Bonding Program'!$R$52&lt;&gt;"",BI$3='Bonding Program'!$R$52),'Bonding Program'!$Q$52,0),0)</f>
        <v>0</v>
      </c>
      <c r="BJ193" s="19" t="n">
        <f aca="false">IF(AND('Bonding Program'!$S$52=1,BJ$3='Bonding Program'!$H$52),'Bonding Program'!$AA$52,0)-IF(BJ$3&lt;='Bonding Program'!$C$8,IF(AND('Bonding Program'!$K$52&lt;&gt;"",BJ$3='Bonding Program'!$K$52),'Bonding Program'!$J$52,0)-IF(AND('Bonding Program'!$M$52&lt;&gt;"",BJ$3='Bonding Program'!$M$52),'Bonding Program'!$L$52,0)-IF(AND('Bonding Program'!$P$52&lt;&gt;"",BJ$3='Bonding Program'!$P$52),'Bonding Program'!$O$52,0)-IF(AND('Bonding Program'!$R$52&lt;&gt;"",BJ$3='Bonding Program'!$R$52),'Bonding Program'!$Q$52,0),0)</f>
        <v>0</v>
      </c>
      <c r="BK193" s="19" t="n">
        <f aca="false">IF(AND('Bonding Program'!$S$52=1,BK$3='Bonding Program'!$H$52),'Bonding Program'!$AA$52,0)-IF(BK$3&lt;='Bonding Program'!$C$8,IF(AND('Bonding Program'!$K$52&lt;&gt;"",BK$3='Bonding Program'!$K$52),'Bonding Program'!$J$52,0)-IF(AND('Bonding Program'!$M$52&lt;&gt;"",BK$3='Bonding Program'!$M$52),'Bonding Program'!$L$52,0)-IF(AND('Bonding Program'!$P$52&lt;&gt;"",BK$3='Bonding Program'!$P$52),'Bonding Program'!$O$52,0)-IF(AND('Bonding Program'!$R$52&lt;&gt;"",BK$3='Bonding Program'!$R$52),'Bonding Program'!$Q$52,0),0)</f>
        <v>0</v>
      </c>
      <c r="BL193" s="19" t="n">
        <f aca="false">IF(AND('Bonding Program'!$S$52=1,BL$3='Bonding Program'!$H$52),'Bonding Program'!$AA$52,0)-IF(BL$3&lt;='Bonding Program'!$C$8,IF(AND('Bonding Program'!$K$52&lt;&gt;"",BL$3='Bonding Program'!$K$52),'Bonding Program'!$J$52,0)-IF(AND('Bonding Program'!$M$52&lt;&gt;"",BL$3='Bonding Program'!$M$52),'Bonding Program'!$L$52,0)-IF(AND('Bonding Program'!$P$52&lt;&gt;"",BL$3='Bonding Program'!$P$52),'Bonding Program'!$O$52,0)-IF(AND('Bonding Program'!$R$52&lt;&gt;"",BL$3='Bonding Program'!$R$52),'Bonding Program'!$Q$52,0),0)</f>
        <v>0</v>
      </c>
      <c r="BM193" s="19" t="n">
        <f aca="false">IF(AND('Bonding Program'!$S$52=1,BM$3='Bonding Program'!$H$52),'Bonding Program'!$AA$52,0)-IF(BM$3&lt;='Bonding Program'!$C$8,IF(AND('Bonding Program'!$K$52&lt;&gt;"",BM$3='Bonding Program'!$K$52),'Bonding Program'!$J$52,0)-IF(AND('Bonding Program'!$M$52&lt;&gt;"",BM$3='Bonding Program'!$M$52),'Bonding Program'!$L$52,0)-IF(AND('Bonding Program'!$P$52&lt;&gt;"",BM$3='Bonding Program'!$P$52),'Bonding Program'!$O$52,0)-IF(AND('Bonding Program'!$R$52&lt;&gt;"",BM$3='Bonding Program'!$R$52),'Bonding Program'!$Q$52,0),0)</f>
        <v>0</v>
      </c>
      <c r="BN193" s="19" t="n">
        <f aca="false">IF(AND('Bonding Program'!$S$52=1,BN$3='Bonding Program'!$H$52),'Bonding Program'!$AA$52,0)-IF(BN$3&lt;='Bonding Program'!$C$8,IF(AND('Bonding Program'!$K$52&lt;&gt;"",BN$3='Bonding Program'!$K$52),'Bonding Program'!$J$52,0)-IF(AND('Bonding Program'!$M$52&lt;&gt;"",BN$3='Bonding Program'!$M$52),'Bonding Program'!$L$52,0)-IF(AND('Bonding Program'!$P$52&lt;&gt;"",BN$3='Bonding Program'!$P$52),'Bonding Program'!$O$52,0)-IF(AND('Bonding Program'!$R$52&lt;&gt;"",BN$3='Bonding Program'!$R$52),'Bonding Program'!$Q$52,0),0)</f>
        <v>0</v>
      </c>
      <c r="BO193" s="19" t="n">
        <f aca="false">IF(AND('Bonding Program'!$S$52=1,BO$3='Bonding Program'!$H$52),'Bonding Program'!$AA$52,0)-IF(BO$3&lt;='Bonding Program'!$C$8,IF(AND('Bonding Program'!$K$52&lt;&gt;"",BO$3='Bonding Program'!$K$52),'Bonding Program'!$J$52,0)-IF(AND('Bonding Program'!$M$52&lt;&gt;"",BO$3='Bonding Program'!$M$52),'Bonding Program'!$L$52,0)-IF(AND('Bonding Program'!$P$52&lt;&gt;"",BO$3='Bonding Program'!$P$52),'Bonding Program'!$O$52,0)-IF(AND('Bonding Program'!$R$52&lt;&gt;"",BO$3='Bonding Program'!$R$52),'Bonding Program'!$Q$52,0),0)</f>
        <v>0</v>
      </c>
      <c r="BP193" s="19" t="n">
        <f aca="false">IF(AND('Bonding Program'!$S$52=1,BP$3='Bonding Program'!$H$52),'Bonding Program'!$AA$52,0)-IF(BP$3&lt;='Bonding Program'!$C$8,IF(AND('Bonding Program'!$K$52&lt;&gt;"",BP$3='Bonding Program'!$K$52),'Bonding Program'!$J$52,0)-IF(AND('Bonding Program'!$M$52&lt;&gt;"",BP$3='Bonding Program'!$M$52),'Bonding Program'!$L$52,0)-IF(AND('Bonding Program'!$P$52&lt;&gt;"",BP$3='Bonding Program'!$P$52),'Bonding Program'!$O$52,0)-IF(AND('Bonding Program'!$R$52&lt;&gt;"",BP$3='Bonding Program'!$R$52),'Bonding Program'!$Q$52,0),0)</f>
        <v>0</v>
      </c>
      <c r="BQ193" s="19" t="n">
        <f aca="false">IF(AND('Bonding Program'!$S$52=1,BQ$3='Bonding Program'!$H$52),'Bonding Program'!$AA$52,0)-IF(BQ$3&lt;='Bonding Program'!$C$8,IF(AND('Bonding Program'!$K$52&lt;&gt;"",BQ$3='Bonding Program'!$K$52),'Bonding Program'!$J$52,0)-IF(AND('Bonding Program'!$M$52&lt;&gt;"",BQ$3='Bonding Program'!$M$52),'Bonding Program'!$L$52,0)-IF(AND('Bonding Program'!$P$52&lt;&gt;"",BQ$3='Bonding Program'!$P$52),'Bonding Program'!$O$52,0)-IF(AND('Bonding Program'!$R$52&lt;&gt;"",BQ$3='Bonding Program'!$R$52),'Bonding Program'!$Q$52,0),0)</f>
        <v>0</v>
      </c>
      <c r="BR193" s="19" t="n">
        <f aca="false">IF(AND('Bonding Program'!$S$52=1,BR$3='Bonding Program'!$H$52),'Bonding Program'!$AA$52,0)-IF(BR$3&lt;='Bonding Program'!$C$8,IF(AND('Bonding Program'!$K$52&lt;&gt;"",BR$3='Bonding Program'!$K$52),'Bonding Program'!$J$52,0)-IF(AND('Bonding Program'!$M$52&lt;&gt;"",BR$3='Bonding Program'!$M$52),'Bonding Program'!$L$52,0)-IF(AND('Bonding Program'!$P$52&lt;&gt;"",BR$3='Bonding Program'!$P$52),'Bonding Program'!$O$52,0)-IF(AND('Bonding Program'!$R$52&lt;&gt;"",BR$3='Bonding Program'!$R$52),'Bonding Program'!$Q$52,0),0)</f>
        <v>0</v>
      </c>
      <c r="BS193" s="19" t="n">
        <f aca="false">IF(AND('Bonding Program'!$S$52=1,BS$3='Bonding Program'!$H$52),'Bonding Program'!$AA$52,0)-IF(BS$3&lt;='Bonding Program'!$C$8,IF(AND('Bonding Program'!$K$52&lt;&gt;"",BS$3='Bonding Program'!$K$52),'Bonding Program'!$J$52,0)-IF(AND('Bonding Program'!$M$52&lt;&gt;"",BS$3='Bonding Program'!$M$52),'Bonding Program'!$L$52,0)-IF(AND('Bonding Program'!$P$52&lt;&gt;"",BS$3='Bonding Program'!$P$52),'Bonding Program'!$O$52,0)-IF(AND('Bonding Program'!$R$52&lt;&gt;"",BS$3='Bonding Program'!$R$52),'Bonding Program'!$Q$52,0),0)</f>
        <v>0</v>
      </c>
      <c r="BT193" s="19" t="n">
        <f aca="false">IF(AND('Bonding Program'!$S$52=1,BT$3='Bonding Program'!$H$52),'Bonding Program'!$AA$52,0)-IF(BT$3&lt;='Bonding Program'!$C$8,IF(AND('Bonding Program'!$K$52&lt;&gt;"",BT$3='Bonding Program'!$K$52),'Bonding Program'!$J$52,0)-IF(AND('Bonding Program'!$M$52&lt;&gt;"",BT$3='Bonding Program'!$M$52),'Bonding Program'!$L$52,0)-IF(AND('Bonding Program'!$P$52&lt;&gt;"",BT$3='Bonding Program'!$P$52),'Bonding Program'!$O$52,0)-IF(AND('Bonding Program'!$R$52&lt;&gt;"",BT$3='Bonding Program'!$R$52),'Bonding Program'!$Q$52,0),0)</f>
        <v>0</v>
      </c>
      <c r="BU193" s="19" t="n">
        <f aca="false">IF(AND('Bonding Program'!$S$52=1,BU$3='Bonding Program'!$H$52),'Bonding Program'!$AA$52,0)-IF(BU$3&lt;='Bonding Program'!$C$8,IF(AND('Bonding Program'!$K$52&lt;&gt;"",BU$3='Bonding Program'!$K$52),'Bonding Program'!$J$52,0)-IF(AND('Bonding Program'!$M$52&lt;&gt;"",BU$3='Bonding Program'!$M$52),'Bonding Program'!$L$52,0)-IF(AND('Bonding Program'!$P$52&lt;&gt;"",BU$3='Bonding Program'!$P$52),'Bonding Program'!$O$52,0)-IF(AND('Bonding Program'!$R$52&lt;&gt;"",BU$3='Bonding Program'!$R$52),'Bonding Program'!$Q$52,0),0)</f>
        <v>0</v>
      </c>
      <c r="BV193" s="19" t="n">
        <f aca="false">IF(AND('Bonding Program'!$S$52=1,BV$3='Bonding Program'!$H$52),'Bonding Program'!$AA$52,0)-IF(BV$3&lt;='Bonding Program'!$C$8,IF(AND('Bonding Program'!$K$52&lt;&gt;"",BV$3='Bonding Program'!$K$52),'Bonding Program'!$J$52,0)-IF(AND('Bonding Program'!$M$52&lt;&gt;"",BV$3='Bonding Program'!$M$52),'Bonding Program'!$L$52,0)-IF(AND('Bonding Program'!$P$52&lt;&gt;"",BV$3='Bonding Program'!$P$52),'Bonding Program'!$O$52,0)-IF(AND('Bonding Program'!$R$52&lt;&gt;"",BV$3='Bonding Program'!$R$52),'Bonding Program'!$Q$52,0),0)</f>
        <v>0</v>
      </c>
      <c r="BW193" s="19" t="n">
        <f aca="false">IF(AND('Bonding Program'!$S$52=1,BW$3='Bonding Program'!$H$52),'Bonding Program'!$AA$52,0)-IF(BW$3&lt;='Bonding Program'!$C$8,IF(AND('Bonding Program'!$K$52&lt;&gt;"",BW$3='Bonding Program'!$K$52),'Bonding Program'!$J$52,0)-IF(AND('Bonding Program'!$M$52&lt;&gt;"",BW$3='Bonding Program'!$M$52),'Bonding Program'!$L$52,0)-IF(AND('Bonding Program'!$P$52&lt;&gt;"",BW$3='Bonding Program'!$P$52),'Bonding Program'!$O$52,0)-IF(AND('Bonding Program'!$R$52&lt;&gt;"",BW$3='Bonding Program'!$R$52),'Bonding Program'!$Q$52,0),0)</f>
        <v>0</v>
      </c>
      <c r="BX193" s="19" t="n">
        <f aca="false">IF(AND('Bonding Program'!$S$52=1,BX$3='Bonding Program'!$H$52),'Bonding Program'!$AA$52,0)-IF(BX$3&lt;='Bonding Program'!$C$8,IF(AND('Bonding Program'!$K$52&lt;&gt;"",BX$3='Bonding Program'!$K$52),'Bonding Program'!$J$52,0)-IF(AND('Bonding Program'!$M$52&lt;&gt;"",BX$3='Bonding Program'!$M$52),'Bonding Program'!$L$52,0)-IF(AND('Bonding Program'!$P$52&lt;&gt;"",BX$3='Bonding Program'!$P$52),'Bonding Program'!$O$52,0)-IF(AND('Bonding Program'!$R$52&lt;&gt;"",BX$3='Bonding Program'!$R$52),'Bonding Program'!$Q$52,0),0)</f>
        <v>0</v>
      </c>
      <c r="BY193" s="19" t="n">
        <f aca="false">IF(AND('Bonding Program'!$S$52=1,BY$3='Bonding Program'!$H$52),'Bonding Program'!$AA$52,0)-IF(BY$3&lt;='Bonding Program'!$C$8,IF(AND('Bonding Program'!$K$52&lt;&gt;"",BY$3='Bonding Program'!$K$52),'Bonding Program'!$J$52,0)-IF(AND('Bonding Program'!$M$52&lt;&gt;"",BY$3='Bonding Program'!$M$52),'Bonding Program'!$L$52,0)-IF(AND('Bonding Program'!$P$52&lt;&gt;"",BY$3='Bonding Program'!$P$52),'Bonding Program'!$O$52,0)-IF(AND('Bonding Program'!$R$52&lt;&gt;"",BY$3='Bonding Program'!$R$52),'Bonding Program'!$Q$52,0),0)</f>
        <v>0</v>
      </c>
      <c r="BZ193" s="19" t="n">
        <f aca="false">IF(AND('Bonding Program'!$S$52=1,BZ$3='Bonding Program'!$H$52),'Bonding Program'!$AA$52,0)-IF(BZ$3&lt;='Bonding Program'!$C$8,IF(AND('Bonding Program'!$K$52&lt;&gt;"",BZ$3='Bonding Program'!$K$52),'Bonding Program'!$J$52,0)-IF(AND('Bonding Program'!$M$52&lt;&gt;"",BZ$3='Bonding Program'!$M$52),'Bonding Program'!$L$52,0)-IF(AND('Bonding Program'!$P$52&lt;&gt;"",BZ$3='Bonding Program'!$P$52),'Bonding Program'!$O$52,0)-IF(AND('Bonding Program'!$R$52&lt;&gt;"",BZ$3='Bonding Program'!$R$52),'Bonding Program'!$Q$52,0),0)</f>
        <v>0</v>
      </c>
      <c r="CA193" s="19" t="n">
        <f aca="false">IF(AND('Bonding Program'!$S$52=1,CA$3='Bonding Program'!$H$52),'Bonding Program'!$AA$52,0)-IF(CA$3&lt;='Bonding Program'!$C$8,IF(AND('Bonding Program'!$K$52&lt;&gt;"",CA$3='Bonding Program'!$K$52),'Bonding Program'!$J$52,0)-IF(AND('Bonding Program'!$M$52&lt;&gt;"",CA$3='Bonding Program'!$M$52),'Bonding Program'!$L$52,0)-IF(AND('Bonding Program'!$P$52&lt;&gt;"",CA$3='Bonding Program'!$P$52),'Bonding Program'!$O$52,0)-IF(AND('Bonding Program'!$R$52&lt;&gt;"",CA$3='Bonding Program'!$R$52),'Bonding Program'!$Q$52,0),0)</f>
        <v>0</v>
      </c>
      <c r="CB193" s="19" t="n">
        <f aca="false">IF(AND('Bonding Program'!$S$52=1,CB$3='Bonding Program'!$H$52),'Bonding Program'!$AA$52,0)-IF(CB$3&lt;='Bonding Program'!$C$8,IF(AND('Bonding Program'!$K$52&lt;&gt;"",CB$3='Bonding Program'!$K$52),'Bonding Program'!$J$52,0)-IF(AND('Bonding Program'!$M$52&lt;&gt;"",CB$3='Bonding Program'!$M$52),'Bonding Program'!$L$52,0)-IF(AND('Bonding Program'!$P$52&lt;&gt;"",CB$3='Bonding Program'!$P$52),'Bonding Program'!$O$52,0)-IF(AND('Bonding Program'!$R$52&lt;&gt;"",CB$3='Bonding Program'!$R$52),'Bonding Program'!$Q$52,0),0)</f>
        <v>0</v>
      </c>
      <c r="CC193" s="19" t="n">
        <f aca="false">IF(AND('Bonding Program'!$S$52=1,CC$3='Bonding Program'!$H$52),'Bonding Program'!$AA$52,0)-IF(CC$3&lt;='Bonding Program'!$C$8,IF(AND('Bonding Program'!$K$52&lt;&gt;"",CC$3='Bonding Program'!$K$52),'Bonding Program'!$J$52,0)-IF(AND('Bonding Program'!$M$52&lt;&gt;"",CC$3='Bonding Program'!$M$52),'Bonding Program'!$L$52,0)-IF(AND('Bonding Program'!$P$52&lt;&gt;"",CC$3='Bonding Program'!$P$52),'Bonding Program'!$O$52,0)-IF(AND('Bonding Program'!$R$52&lt;&gt;"",CC$3='Bonding Program'!$R$52),'Bonding Program'!$Q$52,0),0)</f>
        <v>0</v>
      </c>
      <c r="CD193" s="19" t="n">
        <f aca="false">IF(AND('Bonding Program'!$S$52=1,CD$3='Bonding Program'!$H$52),'Bonding Program'!$AA$52,0)-IF(CD$3&lt;='Bonding Program'!$C$8,IF(AND('Bonding Program'!$K$52&lt;&gt;"",CD$3='Bonding Program'!$K$52),'Bonding Program'!$J$52,0)-IF(AND('Bonding Program'!$M$52&lt;&gt;"",CD$3='Bonding Program'!$M$52),'Bonding Program'!$L$52,0)-IF(AND('Bonding Program'!$P$52&lt;&gt;"",CD$3='Bonding Program'!$P$52),'Bonding Program'!$O$52,0)-IF(AND('Bonding Program'!$R$52&lt;&gt;"",CD$3='Bonding Program'!$R$52),'Bonding Program'!$Q$52,0),0)</f>
        <v>0</v>
      </c>
      <c r="CE193" s="19" t="n">
        <f aca="false">IF(AND('Bonding Program'!$S$52=1,CE$3='Bonding Program'!$H$52),'Bonding Program'!$AA$52,0)-IF(CE$3&lt;='Bonding Program'!$C$8,IF(AND('Bonding Program'!$K$52&lt;&gt;"",CE$3='Bonding Program'!$K$52),'Bonding Program'!$J$52,0)-IF(AND('Bonding Program'!$M$52&lt;&gt;"",CE$3='Bonding Program'!$M$52),'Bonding Program'!$L$52,0)-IF(AND('Bonding Program'!$P$52&lt;&gt;"",CE$3='Bonding Program'!$P$52),'Bonding Program'!$O$52,0)-IF(AND('Bonding Program'!$R$52&lt;&gt;"",CE$3='Bonding Program'!$R$52),'Bonding Program'!$Q$52,0),0)</f>
        <v>0</v>
      </c>
      <c r="CF193" s="19" t="n">
        <f aca="false">IF(AND('Bonding Program'!$S$52=1,CF$3='Bonding Program'!$H$52),'Bonding Program'!$AA$52,0)-IF(CF$3&lt;='Bonding Program'!$C$8,IF(AND('Bonding Program'!$K$52&lt;&gt;"",CF$3='Bonding Program'!$K$52),'Bonding Program'!$J$52,0)-IF(AND('Bonding Program'!$M$52&lt;&gt;"",CF$3='Bonding Program'!$M$52),'Bonding Program'!$L$52,0)-IF(AND('Bonding Program'!$P$52&lt;&gt;"",CF$3='Bonding Program'!$P$52),'Bonding Program'!$O$52,0)-IF(AND('Bonding Program'!$R$52&lt;&gt;"",CF$3='Bonding Program'!$R$52),'Bonding Program'!$Q$52,0),0)</f>
        <v>0</v>
      </c>
      <c r="CG193" s="19" t="n">
        <f aca="false">IF(AND('Bonding Program'!$S$52=1,CG$3='Bonding Program'!$H$52),'Bonding Program'!$AA$52,0)-IF(CG$3&lt;='Bonding Program'!$C$8,IF(AND('Bonding Program'!$K$52&lt;&gt;"",CG$3='Bonding Program'!$K$52),'Bonding Program'!$J$52,0)-IF(AND('Bonding Program'!$M$52&lt;&gt;"",CG$3='Bonding Program'!$M$52),'Bonding Program'!$L$52,0)-IF(AND('Bonding Program'!$P$52&lt;&gt;"",CG$3='Bonding Program'!$P$52),'Bonding Program'!$O$52,0)-IF(AND('Bonding Program'!$R$52&lt;&gt;"",CG$3='Bonding Program'!$R$52),'Bonding Program'!$Q$52,0),0)</f>
        <v>0</v>
      </c>
      <c r="CH193" s="19" t="n">
        <f aca="false">IF(AND('Bonding Program'!$S$52=1,CH$3='Bonding Program'!$H$52),'Bonding Program'!$AA$52,0)-IF(CH$3&lt;='Bonding Program'!$C$8,IF(AND('Bonding Program'!$K$52&lt;&gt;"",CH$3='Bonding Program'!$K$52),'Bonding Program'!$J$52,0)-IF(AND('Bonding Program'!$M$52&lt;&gt;"",CH$3='Bonding Program'!$M$52),'Bonding Program'!$L$52,0)-IF(AND('Bonding Program'!$P$52&lt;&gt;"",CH$3='Bonding Program'!$P$52),'Bonding Program'!$O$52,0)-IF(AND('Bonding Program'!$R$52&lt;&gt;"",CH$3='Bonding Program'!$R$52),'Bonding Program'!$Q$52,0),0)</f>
        <v>0</v>
      </c>
      <c r="CI193" s="19" t="n">
        <f aca="false">IF(AND('Bonding Program'!$S$52=1,CI$3='Bonding Program'!$H$52),'Bonding Program'!$AA$52,0)-IF(CI$3&lt;='Bonding Program'!$C$8,IF(AND('Bonding Program'!$K$52&lt;&gt;"",CI$3='Bonding Program'!$K$52),'Bonding Program'!$J$52,0)-IF(AND('Bonding Program'!$M$52&lt;&gt;"",CI$3='Bonding Program'!$M$52),'Bonding Program'!$L$52,0)-IF(AND('Bonding Program'!$P$52&lt;&gt;"",CI$3='Bonding Program'!$P$52),'Bonding Program'!$O$52,0)-IF(AND('Bonding Program'!$R$52&lt;&gt;"",CI$3='Bonding Program'!$R$52),'Bonding Program'!$Q$52,0),0)</f>
        <v>0</v>
      </c>
      <c r="CJ193" s="19" t="n">
        <f aca="false">IF(AND('Bonding Program'!$S$52=1,CJ$3='Bonding Program'!$H$52),'Bonding Program'!$AA$52,0)-IF(CJ$3&lt;='Bonding Program'!$C$8,IF(AND('Bonding Program'!$K$52&lt;&gt;"",CJ$3='Bonding Program'!$K$52),'Bonding Program'!$J$52,0)-IF(AND('Bonding Program'!$M$52&lt;&gt;"",CJ$3='Bonding Program'!$M$52),'Bonding Program'!$L$52,0)-IF(AND('Bonding Program'!$P$52&lt;&gt;"",CJ$3='Bonding Program'!$P$52),'Bonding Program'!$O$52,0)-IF(AND('Bonding Program'!$R$52&lt;&gt;"",CJ$3='Bonding Program'!$R$52),'Bonding Program'!$Q$52,0),0)</f>
        <v>0</v>
      </c>
      <c r="CK193" s="19" t="n">
        <f aca="false">IF(AND('Bonding Program'!$S$52=1,CK$3='Bonding Program'!$H$52),'Bonding Program'!$AA$52,0)-IF(CK$3&lt;='Bonding Program'!$C$8,IF(AND('Bonding Program'!$K$52&lt;&gt;"",CK$3='Bonding Program'!$K$52),'Bonding Program'!$J$52,0)-IF(AND('Bonding Program'!$M$52&lt;&gt;"",CK$3='Bonding Program'!$M$52),'Bonding Program'!$L$52,0)-IF(AND('Bonding Program'!$P$52&lt;&gt;"",CK$3='Bonding Program'!$P$52),'Bonding Program'!$O$52,0)-IF(AND('Bonding Program'!$R$52&lt;&gt;"",CK$3='Bonding Program'!$R$52),'Bonding Program'!$Q$52,0),0)</f>
        <v>0</v>
      </c>
      <c r="CL193" s="19" t="n">
        <f aca="false">IF(AND('Bonding Program'!$S$52=1,CL$3='Bonding Program'!$H$52),'Bonding Program'!$AA$52,0)-IF(CL$3&lt;='Bonding Program'!$C$8,IF(AND('Bonding Program'!$K$52&lt;&gt;"",CL$3='Bonding Program'!$K$52),'Bonding Program'!$J$52,0)-IF(AND('Bonding Program'!$M$52&lt;&gt;"",CL$3='Bonding Program'!$M$52),'Bonding Program'!$L$52,0)-IF(AND('Bonding Program'!$P$52&lt;&gt;"",CL$3='Bonding Program'!$P$52),'Bonding Program'!$O$52,0)-IF(AND('Bonding Program'!$R$52&lt;&gt;"",CL$3='Bonding Program'!$R$52),'Bonding Program'!$Q$52,0),0)</f>
        <v>0</v>
      </c>
      <c r="CM193" s="19" t="n">
        <f aca="false">IF(AND('Bonding Program'!$S$52=1,CM$3='Bonding Program'!$H$52),'Bonding Program'!$AA$52,0)-IF(CM$3&lt;='Bonding Program'!$C$8,IF(AND('Bonding Program'!$K$52&lt;&gt;"",CM$3='Bonding Program'!$K$52),'Bonding Program'!$J$52,0)-IF(AND('Bonding Program'!$M$52&lt;&gt;"",CM$3='Bonding Program'!$M$52),'Bonding Program'!$L$52,0)-IF(AND('Bonding Program'!$P$52&lt;&gt;"",CM$3='Bonding Program'!$P$52),'Bonding Program'!$O$52,0)-IF(AND('Bonding Program'!$R$52&lt;&gt;"",CM$3='Bonding Program'!$R$52),'Bonding Program'!$Q$52,0),0)</f>
        <v>0</v>
      </c>
      <c r="CN193" s="19" t="n">
        <f aca="false">IF(AND('Bonding Program'!$S$52=1,CN$3='Bonding Program'!$H$52),'Bonding Program'!$AA$52,0)-IF(CN$3&lt;='Bonding Program'!$C$8,IF(AND('Bonding Program'!$K$52&lt;&gt;"",CN$3='Bonding Program'!$K$52),'Bonding Program'!$J$52,0)-IF(AND('Bonding Program'!$M$52&lt;&gt;"",CN$3='Bonding Program'!$M$52),'Bonding Program'!$L$52,0)-IF(AND('Bonding Program'!$P$52&lt;&gt;"",CN$3='Bonding Program'!$P$52),'Bonding Program'!$O$52,0)-IF(AND('Bonding Program'!$R$52&lt;&gt;"",CN$3='Bonding Program'!$R$52),'Bonding Program'!$Q$52,0),0)</f>
        <v>0</v>
      </c>
      <c r="CO193" s="19" t="n">
        <f aca="false">IF(AND('Bonding Program'!$S$52=1,CO$3='Bonding Program'!$H$52),'Bonding Program'!$AA$52,0)-IF(CO$3&lt;='Bonding Program'!$C$8,IF(AND('Bonding Program'!$K$52&lt;&gt;"",CO$3='Bonding Program'!$K$52),'Bonding Program'!$J$52,0)-IF(AND('Bonding Program'!$M$52&lt;&gt;"",CO$3='Bonding Program'!$M$52),'Bonding Program'!$L$52,0)-IF(AND('Bonding Program'!$P$52&lt;&gt;"",CO$3='Bonding Program'!$P$52),'Bonding Program'!$O$52,0)-IF(AND('Bonding Program'!$R$52&lt;&gt;"",CO$3='Bonding Program'!$R$52),'Bonding Program'!$Q$52,0),0)</f>
        <v>0</v>
      </c>
      <c r="CP193" s="19" t="n">
        <f aca="false">IF(AND('Bonding Program'!$S$52=1,CP$3='Bonding Program'!$H$52),'Bonding Program'!$AA$52,0)-IF(CP$3&lt;='Bonding Program'!$C$8,IF(AND('Bonding Program'!$K$52&lt;&gt;"",CP$3='Bonding Program'!$K$52),'Bonding Program'!$J$52,0)-IF(AND('Bonding Program'!$M$52&lt;&gt;"",CP$3='Bonding Program'!$M$52),'Bonding Program'!$L$52,0)-IF(AND('Bonding Program'!$P$52&lt;&gt;"",CP$3='Bonding Program'!$P$52),'Bonding Program'!$O$52,0)-IF(AND('Bonding Program'!$R$52&lt;&gt;"",CP$3='Bonding Program'!$R$52),'Bonding Program'!$Q$52,0),0)</f>
        <v>0</v>
      </c>
      <c r="CQ193" s="19" t="n">
        <f aca="false">IF(AND('Bonding Program'!$S$52=1,CQ$3='Bonding Program'!$H$52),'Bonding Program'!$AA$52,0)-IF(CQ$3&lt;='Bonding Program'!$C$8,IF(AND('Bonding Program'!$K$52&lt;&gt;"",CQ$3='Bonding Program'!$K$52),'Bonding Program'!$J$52,0)-IF(AND('Bonding Program'!$M$52&lt;&gt;"",CQ$3='Bonding Program'!$M$52),'Bonding Program'!$L$52,0)-IF(AND('Bonding Program'!$P$52&lt;&gt;"",CQ$3='Bonding Program'!$P$52),'Bonding Program'!$O$52,0)-IF(AND('Bonding Program'!$R$52&lt;&gt;"",CQ$3='Bonding Program'!$R$52),'Bonding Program'!$Q$52,0),0)</f>
        <v>0</v>
      </c>
      <c r="CR193" s="19" t="n">
        <f aca="false">IF(AND('Bonding Program'!$S$52=1,CR$3='Bonding Program'!$H$52),'Bonding Program'!$AA$52,0)-IF(CR$3&lt;='Bonding Program'!$C$8,IF(AND('Bonding Program'!$K$52&lt;&gt;"",CR$3='Bonding Program'!$K$52),'Bonding Program'!$J$52,0)-IF(AND('Bonding Program'!$M$52&lt;&gt;"",CR$3='Bonding Program'!$M$52),'Bonding Program'!$L$52,0)-IF(AND('Bonding Program'!$P$52&lt;&gt;"",CR$3='Bonding Program'!$P$52),'Bonding Program'!$O$52,0)-IF(AND('Bonding Program'!$R$52&lt;&gt;"",CR$3='Bonding Program'!$R$52),'Bonding Program'!$Q$52,0),0)</f>
        <v>0</v>
      </c>
      <c r="CS193" s="19" t="n">
        <f aca="false">IF(AND('Bonding Program'!$S$52=1,CS$3='Bonding Program'!$H$52),'Bonding Program'!$AA$52,0)-IF(CS$3&lt;='Bonding Program'!$C$8,IF(AND('Bonding Program'!$K$52&lt;&gt;"",CS$3='Bonding Program'!$K$52),'Bonding Program'!$J$52,0)-IF(AND('Bonding Program'!$M$52&lt;&gt;"",CS$3='Bonding Program'!$M$52),'Bonding Program'!$L$52,0)-IF(AND('Bonding Program'!$P$52&lt;&gt;"",CS$3='Bonding Program'!$P$52),'Bonding Program'!$O$52,0)-IF(AND('Bonding Program'!$R$52&lt;&gt;"",CS$3='Bonding Program'!$R$52),'Bonding Program'!$Q$52,0),0)</f>
        <v>0</v>
      </c>
      <c r="CT193" s="19" t="n">
        <f aca="false">IF(AND('Bonding Program'!$S$52=1,CT$3='Bonding Program'!$H$52),'Bonding Program'!$AA$52,0)-IF(CT$3&lt;='Bonding Program'!$C$8,IF(AND('Bonding Program'!$K$52&lt;&gt;"",CT$3='Bonding Program'!$K$52),'Bonding Program'!$J$52,0)-IF(AND('Bonding Program'!$M$52&lt;&gt;"",CT$3='Bonding Program'!$M$52),'Bonding Program'!$L$52,0)-IF(AND('Bonding Program'!$P$52&lt;&gt;"",CT$3='Bonding Program'!$P$52),'Bonding Program'!$O$52,0)-IF(AND('Bonding Program'!$R$52&lt;&gt;"",CT$3='Bonding Program'!$R$52),'Bonding Program'!$Q$52,0),0)</f>
        <v>0</v>
      </c>
      <c r="CU193" s="19" t="n">
        <f aca="false">IF(AND('Bonding Program'!$S$52=1,CU$3='Bonding Program'!$H$52),'Bonding Program'!$AA$52,0)-IF(CU$3&lt;='Bonding Program'!$C$8,IF(AND('Bonding Program'!$K$52&lt;&gt;"",CU$3='Bonding Program'!$K$52),'Bonding Program'!$J$52,0)-IF(AND('Bonding Program'!$M$52&lt;&gt;"",CU$3='Bonding Program'!$M$52),'Bonding Program'!$L$52,0)-IF(AND('Bonding Program'!$P$52&lt;&gt;"",CU$3='Bonding Program'!$P$52),'Bonding Program'!$O$52,0)-IF(AND('Bonding Program'!$R$52&lt;&gt;"",CU$3='Bonding Program'!$R$52),'Bonding Program'!$Q$52,0),0)</f>
        <v>0</v>
      </c>
      <c r="CV193" s="19" t="n">
        <f aca="false">IF(AND('Bonding Program'!$S$52=1,CV$3='Bonding Program'!$H$52),'Bonding Program'!$AA$52,0)-IF(CV$3&lt;='Bonding Program'!$C$8,IF(AND('Bonding Program'!$K$52&lt;&gt;"",CV$3='Bonding Program'!$K$52),'Bonding Program'!$J$52,0)-IF(AND('Bonding Program'!$M$52&lt;&gt;"",CV$3='Bonding Program'!$M$52),'Bonding Program'!$L$52,0)-IF(AND('Bonding Program'!$P$52&lt;&gt;"",CV$3='Bonding Program'!$P$52),'Bonding Program'!$O$52,0)-IF(AND('Bonding Program'!$R$52&lt;&gt;"",CV$3='Bonding Program'!$R$52),'Bonding Program'!$Q$52,0),0)</f>
        <v>0</v>
      </c>
      <c r="CW193" s="19" t="n">
        <f aca="false">IF(AND('Bonding Program'!$S$52=1,CW$3='Bonding Program'!$H$52),'Bonding Program'!$AA$52,0)-IF(CW$3&lt;='Bonding Program'!$C$8,IF(AND('Bonding Program'!$K$52&lt;&gt;"",CW$3='Bonding Program'!$K$52),'Bonding Program'!$J$52,0)-IF(AND('Bonding Program'!$M$52&lt;&gt;"",CW$3='Bonding Program'!$M$52),'Bonding Program'!$L$52,0)-IF(AND('Bonding Program'!$P$52&lt;&gt;"",CW$3='Bonding Program'!$P$52),'Bonding Program'!$O$52,0)-IF(AND('Bonding Program'!$R$52&lt;&gt;"",CW$3='Bonding Program'!$R$52),'Bonding Program'!$Q$52,0),0)</f>
        <v>0</v>
      </c>
      <c r="CX193" s="19" t="n">
        <f aca="false">IF(AND('Bonding Program'!$S$52=1,CX$3='Bonding Program'!$H$52),'Bonding Program'!$AA$52,0)-IF(CX$3&lt;='Bonding Program'!$C$8,IF(AND('Bonding Program'!$K$52&lt;&gt;"",CX$3='Bonding Program'!$K$52),'Bonding Program'!$J$52,0)-IF(AND('Bonding Program'!$M$52&lt;&gt;"",CX$3='Bonding Program'!$M$52),'Bonding Program'!$L$52,0)-IF(AND('Bonding Program'!$P$52&lt;&gt;"",CX$3='Bonding Program'!$P$52),'Bonding Program'!$O$52,0)-IF(AND('Bonding Program'!$R$52&lt;&gt;"",CX$3='Bonding Program'!$R$52),'Bonding Program'!$Q$52,0),0)</f>
        <v>0</v>
      </c>
      <c r="CY193" s="19" t="n">
        <f aca="false">IF(AND('Bonding Program'!$S$52=1,CY$3='Bonding Program'!$H$52),'Bonding Program'!$AA$52,0)-IF(CY$3&lt;='Bonding Program'!$C$8,IF(AND('Bonding Program'!$K$52&lt;&gt;"",CY$3='Bonding Program'!$K$52),'Bonding Program'!$J$52,0)-IF(AND('Bonding Program'!$M$52&lt;&gt;"",CY$3='Bonding Program'!$M$52),'Bonding Program'!$L$52,0)-IF(AND('Bonding Program'!$P$52&lt;&gt;"",CY$3='Bonding Program'!$P$52),'Bonding Program'!$O$52,0)-IF(AND('Bonding Program'!$R$52&lt;&gt;"",CY$3='Bonding Program'!$R$52),'Bonding Program'!$Q$52,0),0)</f>
        <v>0</v>
      </c>
      <c r="CZ193" s="19" t="n">
        <f aca="false">IF(AND('Bonding Program'!$S$52=1,CZ$3='Bonding Program'!$H$52),'Bonding Program'!$AA$52,0)-IF(CZ$3&lt;='Bonding Program'!$C$8,IF(AND('Bonding Program'!$K$52&lt;&gt;"",CZ$3='Bonding Program'!$K$52),'Bonding Program'!$J$52,0)-IF(AND('Bonding Program'!$M$52&lt;&gt;"",CZ$3='Bonding Program'!$M$52),'Bonding Program'!$L$52,0)-IF(AND('Bonding Program'!$P$52&lt;&gt;"",CZ$3='Bonding Program'!$P$52),'Bonding Program'!$O$52,0)-IF(AND('Bonding Program'!$R$52&lt;&gt;"",CZ$3='Bonding Program'!$R$52),'Bonding Program'!$Q$52,0),0)</f>
        <v>0</v>
      </c>
      <c r="DA193" s="19" t="n">
        <f aca="false">IF(AND('Bonding Program'!$S$52=1,DA$3='Bonding Program'!$H$52),'Bonding Program'!$AA$52,0)-IF(DA$3&lt;='Bonding Program'!$C$8,IF(AND('Bonding Program'!$K$52&lt;&gt;"",DA$3='Bonding Program'!$K$52),'Bonding Program'!$J$52,0)-IF(AND('Bonding Program'!$M$52&lt;&gt;"",DA$3='Bonding Program'!$M$52),'Bonding Program'!$L$52,0)-IF(AND('Bonding Program'!$P$52&lt;&gt;"",DA$3='Bonding Program'!$P$52),'Bonding Program'!$O$52,0)-IF(AND('Bonding Program'!$R$52&lt;&gt;"",DA$3='Bonding Program'!$R$52),'Bonding Program'!$Q$52,0),0)</f>
        <v>0</v>
      </c>
      <c r="DB193" s="19" t="n">
        <f aca="false">IF(AND('Bonding Program'!$S$52=1,DB$3='Bonding Program'!$H$52),'Bonding Program'!$AA$52,0)-IF(DB$3&lt;='Bonding Program'!$C$8,IF(AND('Bonding Program'!$K$52&lt;&gt;"",DB$3='Bonding Program'!$K$52),'Bonding Program'!$J$52,0)-IF(AND('Bonding Program'!$M$52&lt;&gt;"",DB$3='Bonding Program'!$M$52),'Bonding Program'!$L$52,0)-IF(AND('Bonding Program'!$P$52&lt;&gt;"",DB$3='Bonding Program'!$P$52),'Bonding Program'!$O$52,0)-IF(AND('Bonding Program'!$R$52&lt;&gt;"",DB$3='Bonding Program'!$R$52),'Bonding Program'!$Q$52,0),0)</f>
        <v>0</v>
      </c>
      <c r="DC193" s="19" t="n">
        <f aca="false">IF(AND('Bonding Program'!$S$52=1,DC$3='Bonding Program'!$H$52),'Bonding Program'!$AA$52,0)-IF(DC$3&lt;='Bonding Program'!$C$8,IF(AND('Bonding Program'!$K$52&lt;&gt;"",DC$3='Bonding Program'!$K$52),'Bonding Program'!$J$52,0)-IF(AND('Bonding Program'!$M$52&lt;&gt;"",DC$3='Bonding Program'!$M$52),'Bonding Program'!$L$52,0)-IF(AND('Bonding Program'!$P$52&lt;&gt;"",DC$3='Bonding Program'!$P$52),'Bonding Program'!$O$52,0)-IF(AND('Bonding Program'!$R$52&lt;&gt;"",DC$3='Bonding Program'!$R$52),'Bonding Program'!$Q$52,0),0)</f>
        <v>0</v>
      </c>
      <c r="DD193" s="19" t="n">
        <f aca="false">IF(AND('Bonding Program'!$S$52=1,DD$3='Bonding Program'!$H$52),'Bonding Program'!$AA$52,0)-IF(DD$3&lt;='Bonding Program'!$C$8,IF(AND('Bonding Program'!$K$52&lt;&gt;"",DD$3='Bonding Program'!$K$52),'Bonding Program'!$J$52,0)-IF(AND('Bonding Program'!$M$52&lt;&gt;"",DD$3='Bonding Program'!$M$52),'Bonding Program'!$L$52,0)-IF(AND('Bonding Program'!$P$52&lt;&gt;"",DD$3='Bonding Program'!$P$52),'Bonding Program'!$O$52,0)-IF(AND('Bonding Program'!$R$52&lt;&gt;"",DD$3='Bonding Program'!$R$52),'Bonding Program'!$Q$52,0),0)</f>
        <v>0</v>
      </c>
      <c r="DE193" s="19" t="n">
        <f aca="false">IF(AND('Bonding Program'!$S$52=1,DE$3='Bonding Program'!$H$52),'Bonding Program'!$AA$52,0)-IF(DE$3&lt;='Bonding Program'!$C$8,IF(AND('Bonding Program'!$K$52&lt;&gt;"",DE$3='Bonding Program'!$K$52),'Bonding Program'!$J$52,0)-IF(AND('Bonding Program'!$M$52&lt;&gt;"",DE$3='Bonding Program'!$M$52),'Bonding Program'!$L$52,0)-IF(AND('Bonding Program'!$P$52&lt;&gt;"",DE$3='Bonding Program'!$P$52),'Bonding Program'!$O$52,0)-IF(AND('Bonding Program'!$R$52&lt;&gt;"",DE$3='Bonding Program'!$R$52),'Bonding Program'!$Q$52,0),0)</f>
        <v>0</v>
      </c>
    </row>
    <row r="194" customFormat="false" ht="15" hidden="false" customHeight="true" outlineLevel="1" collapsed="false">
      <c r="A194" s="28" t="s">
        <v>49</v>
      </c>
      <c r="B194" s="19" t="n">
        <f aca="false">IF(AND('Bonding Program'!$S$53=1,B$3='Bonding Program'!$H$53),'Bonding Program'!$AA$53,0)-IF(B$3&lt;='Bonding Program'!$C$8,IF(AND('Bonding Program'!$K$53&lt;&gt;"",B$3='Bonding Program'!$K$53),'Bonding Program'!$J$53,0)-IF(AND('Bonding Program'!$M$53&lt;&gt;"",B$3='Bonding Program'!$M$53),'Bonding Program'!$L$53,0)-IF(AND('Bonding Program'!$P$53&lt;&gt;"",B$3='Bonding Program'!$P$53),'Bonding Program'!$O$53,0)-IF(AND('Bonding Program'!$R$53&lt;&gt;"",B$3='Bonding Program'!$R$53),'Bonding Program'!$Q$53,0),0)</f>
        <v>0</v>
      </c>
      <c r="C194" s="19" t="n">
        <f aca="false">IF(AND('Bonding Program'!$S$53=1,C$3='Bonding Program'!$H$53),'Bonding Program'!$AA$53,0)-IF(C$3&lt;='Bonding Program'!$C$8,IF(AND('Bonding Program'!$K$53&lt;&gt;"",C$3='Bonding Program'!$K$53),'Bonding Program'!$J$53,0)-IF(AND('Bonding Program'!$M$53&lt;&gt;"",C$3='Bonding Program'!$M$53),'Bonding Program'!$L$53,0)-IF(AND('Bonding Program'!$P$53&lt;&gt;"",C$3='Bonding Program'!$P$53),'Bonding Program'!$O$53,0)-IF(AND('Bonding Program'!$R$53&lt;&gt;"",C$3='Bonding Program'!$R$53),'Bonding Program'!$Q$53,0),0)</f>
        <v>0</v>
      </c>
      <c r="D194" s="19" t="n">
        <f aca="false">IF(AND('Bonding Program'!$S$53=1,D$3='Bonding Program'!$H$53),'Bonding Program'!$AA$53,0)-IF(D$3&lt;='Bonding Program'!$C$8,IF(AND('Bonding Program'!$K$53&lt;&gt;"",D$3='Bonding Program'!$K$53),'Bonding Program'!$J$53,0)-IF(AND('Bonding Program'!$M$53&lt;&gt;"",D$3='Bonding Program'!$M$53),'Bonding Program'!$L$53,0)-IF(AND('Bonding Program'!$P$53&lt;&gt;"",D$3='Bonding Program'!$P$53),'Bonding Program'!$O$53,0)-IF(AND('Bonding Program'!$R$53&lt;&gt;"",D$3='Bonding Program'!$R$53),'Bonding Program'!$Q$53,0),0)</f>
        <v>0</v>
      </c>
      <c r="E194" s="19" t="n">
        <f aca="false">IF(AND('Bonding Program'!$S$53=1,E$3='Bonding Program'!$H$53),'Bonding Program'!$AA$53,0)-IF(E$3&lt;='Bonding Program'!$C$8,IF(AND('Bonding Program'!$K$53&lt;&gt;"",E$3='Bonding Program'!$K$53),'Bonding Program'!$J$53,0)-IF(AND('Bonding Program'!$M$53&lt;&gt;"",E$3='Bonding Program'!$M$53),'Bonding Program'!$L$53,0)-IF(AND('Bonding Program'!$P$53&lt;&gt;"",E$3='Bonding Program'!$P$53),'Bonding Program'!$O$53,0)-IF(AND('Bonding Program'!$R$53&lt;&gt;"",E$3='Bonding Program'!$R$53),'Bonding Program'!$Q$53,0),0)</f>
        <v>0</v>
      </c>
      <c r="F194" s="19" t="n">
        <f aca="false">IF(AND('Bonding Program'!$S$53=1,F$3='Bonding Program'!$H$53),'Bonding Program'!$AA$53,0)-IF(F$3&lt;='Bonding Program'!$C$8,IF(AND('Bonding Program'!$K$53&lt;&gt;"",F$3='Bonding Program'!$K$53),'Bonding Program'!$J$53,0)-IF(AND('Bonding Program'!$M$53&lt;&gt;"",F$3='Bonding Program'!$M$53),'Bonding Program'!$L$53,0)-IF(AND('Bonding Program'!$P$53&lt;&gt;"",F$3='Bonding Program'!$P$53),'Bonding Program'!$O$53,0)-IF(AND('Bonding Program'!$R$53&lt;&gt;"",F$3='Bonding Program'!$R$53),'Bonding Program'!$Q$53,0),0)</f>
        <v>0</v>
      </c>
      <c r="G194" s="19" t="n">
        <f aca="false">IF(AND('Bonding Program'!$S$53=1,G$3='Bonding Program'!$H$53),'Bonding Program'!$AA$53,0)-IF(G$3&lt;='Bonding Program'!$C$8,IF(AND('Bonding Program'!$K$53&lt;&gt;"",G$3='Bonding Program'!$K$53),'Bonding Program'!$J$53,0)-IF(AND('Bonding Program'!$M$53&lt;&gt;"",G$3='Bonding Program'!$M$53),'Bonding Program'!$L$53,0)-IF(AND('Bonding Program'!$P$53&lt;&gt;"",G$3='Bonding Program'!$P$53),'Bonding Program'!$O$53,0)-IF(AND('Bonding Program'!$R$53&lt;&gt;"",G$3='Bonding Program'!$R$53),'Bonding Program'!$Q$53,0),0)</f>
        <v>0</v>
      </c>
      <c r="H194" s="19" t="n">
        <f aca="false">IF(AND('Bonding Program'!$S$53=1,H$3='Bonding Program'!$H$53),'Bonding Program'!$AA$53,0)-IF(H$3&lt;='Bonding Program'!$C$8,IF(AND('Bonding Program'!$K$53&lt;&gt;"",H$3='Bonding Program'!$K$53),'Bonding Program'!$J$53,0)-IF(AND('Bonding Program'!$M$53&lt;&gt;"",H$3='Bonding Program'!$M$53),'Bonding Program'!$L$53,0)-IF(AND('Bonding Program'!$P$53&lt;&gt;"",H$3='Bonding Program'!$P$53),'Bonding Program'!$O$53,0)-IF(AND('Bonding Program'!$R$53&lt;&gt;"",H$3='Bonding Program'!$R$53),'Bonding Program'!$Q$53,0),0)</f>
        <v>0</v>
      </c>
      <c r="I194" s="19" t="n">
        <f aca="false">IF(AND('Bonding Program'!$S$53=1,I$3='Bonding Program'!$H$53),'Bonding Program'!$AA$53,0)-IF(I$3&lt;='Bonding Program'!$C$8,IF(AND('Bonding Program'!$K$53&lt;&gt;"",I$3='Bonding Program'!$K$53),'Bonding Program'!$J$53,0)-IF(AND('Bonding Program'!$M$53&lt;&gt;"",I$3='Bonding Program'!$M$53),'Bonding Program'!$L$53,0)-IF(AND('Bonding Program'!$P$53&lt;&gt;"",I$3='Bonding Program'!$P$53),'Bonding Program'!$O$53,0)-IF(AND('Bonding Program'!$R$53&lt;&gt;"",I$3='Bonding Program'!$R$53),'Bonding Program'!$Q$53,0),0)</f>
        <v>0</v>
      </c>
      <c r="J194" s="19" t="n">
        <f aca="false">IF(AND('Bonding Program'!$S$53=1,J$3='Bonding Program'!$H$53),'Bonding Program'!$AA$53,0)-IF(J$3&lt;='Bonding Program'!$C$8,IF(AND('Bonding Program'!$K$53&lt;&gt;"",J$3='Bonding Program'!$K$53),'Bonding Program'!$J$53,0)-IF(AND('Bonding Program'!$M$53&lt;&gt;"",J$3='Bonding Program'!$M$53),'Bonding Program'!$L$53,0)-IF(AND('Bonding Program'!$P$53&lt;&gt;"",J$3='Bonding Program'!$P$53),'Bonding Program'!$O$53,0)-IF(AND('Bonding Program'!$R$53&lt;&gt;"",J$3='Bonding Program'!$R$53),'Bonding Program'!$Q$53,0),0)</f>
        <v>0</v>
      </c>
      <c r="K194" s="19" t="n">
        <f aca="false">IF(AND('Bonding Program'!$S$53=1,K$3='Bonding Program'!$H$53),'Bonding Program'!$AA$53,0)-IF(K$3&lt;='Bonding Program'!$C$8,IF(AND('Bonding Program'!$K$53&lt;&gt;"",K$3='Bonding Program'!$K$53),'Bonding Program'!$J$53,0)-IF(AND('Bonding Program'!$M$53&lt;&gt;"",K$3='Bonding Program'!$M$53),'Bonding Program'!$L$53,0)-IF(AND('Bonding Program'!$P$53&lt;&gt;"",K$3='Bonding Program'!$P$53),'Bonding Program'!$O$53,0)-IF(AND('Bonding Program'!$R$53&lt;&gt;"",K$3='Bonding Program'!$R$53),'Bonding Program'!$Q$53,0),0)</f>
        <v>0</v>
      </c>
      <c r="L194" s="19" t="n">
        <f aca="false">IF(AND('Bonding Program'!$S$53=1,L$3='Bonding Program'!$H$53),'Bonding Program'!$AA$53,0)-IF(L$3&lt;='Bonding Program'!$C$8,IF(AND('Bonding Program'!$K$53&lt;&gt;"",L$3='Bonding Program'!$K$53),'Bonding Program'!$J$53,0)-IF(AND('Bonding Program'!$M$53&lt;&gt;"",L$3='Bonding Program'!$M$53),'Bonding Program'!$L$53,0)-IF(AND('Bonding Program'!$P$53&lt;&gt;"",L$3='Bonding Program'!$P$53),'Bonding Program'!$O$53,0)-IF(AND('Bonding Program'!$R$53&lt;&gt;"",L$3='Bonding Program'!$R$53),'Bonding Program'!$Q$53,0),0)</f>
        <v>0</v>
      </c>
      <c r="M194" s="19" t="n">
        <f aca="false">IF(AND('Bonding Program'!$S$53=1,M$3='Bonding Program'!$H$53),'Bonding Program'!$AA$53,0)-IF(M$3&lt;='Bonding Program'!$C$8,IF(AND('Bonding Program'!$K$53&lt;&gt;"",M$3='Bonding Program'!$K$53),'Bonding Program'!$J$53,0)-IF(AND('Bonding Program'!$M$53&lt;&gt;"",M$3='Bonding Program'!$M$53),'Bonding Program'!$L$53,0)-IF(AND('Bonding Program'!$P$53&lt;&gt;"",M$3='Bonding Program'!$P$53),'Bonding Program'!$O$53,0)-IF(AND('Bonding Program'!$R$53&lt;&gt;"",M$3='Bonding Program'!$R$53),'Bonding Program'!$Q$53,0),0)</f>
        <v>0</v>
      </c>
      <c r="N194" s="19" t="n">
        <f aca="false">IF(AND('Bonding Program'!$S$53=1,N$3='Bonding Program'!$H$53),'Bonding Program'!$AA$53,0)-IF(N$3&lt;='Bonding Program'!$C$8,IF(AND('Bonding Program'!$K$53&lt;&gt;"",N$3='Bonding Program'!$K$53),'Bonding Program'!$J$53,0)-IF(AND('Bonding Program'!$M$53&lt;&gt;"",N$3='Bonding Program'!$M$53),'Bonding Program'!$L$53,0)-IF(AND('Bonding Program'!$P$53&lt;&gt;"",N$3='Bonding Program'!$P$53),'Bonding Program'!$O$53,0)-IF(AND('Bonding Program'!$R$53&lt;&gt;"",N$3='Bonding Program'!$R$53),'Bonding Program'!$Q$53,0),0)</f>
        <v>0</v>
      </c>
      <c r="O194" s="19" t="n">
        <f aca="false">IF(AND('Bonding Program'!$S$53=1,O$3='Bonding Program'!$H$53),'Bonding Program'!$AA$53,0)-IF(O$3&lt;='Bonding Program'!$C$8,IF(AND('Bonding Program'!$K$53&lt;&gt;"",O$3='Bonding Program'!$K$53),'Bonding Program'!$J$53,0)-IF(AND('Bonding Program'!$M$53&lt;&gt;"",O$3='Bonding Program'!$M$53),'Bonding Program'!$L$53,0)-IF(AND('Bonding Program'!$P$53&lt;&gt;"",O$3='Bonding Program'!$P$53),'Bonding Program'!$O$53,0)-IF(AND('Bonding Program'!$R$53&lt;&gt;"",O$3='Bonding Program'!$R$53),'Bonding Program'!$Q$53,0),0)</f>
        <v>0</v>
      </c>
      <c r="P194" s="19" t="n">
        <f aca="false">IF(AND('Bonding Program'!$S$53=1,P$3='Bonding Program'!$H$53),'Bonding Program'!$AA$53,0)-IF(P$3&lt;='Bonding Program'!$C$8,IF(AND('Bonding Program'!$K$53&lt;&gt;"",P$3='Bonding Program'!$K$53),'Bonding Program'!$J$53,0)-IF(AND('Bonding Program'!$M$53&lt;&gt;"",P$3='Bonding Program'!$M$53),'Bonding Program'!$L$53,0)-IF(AND('Bonding Program'!$P$53&lt;&gt;"",P$3='Bonding Program'!$P$53),'Bonding Program'!$O$53,0)-IF(AND('Bonding Program'!$R$53&lt;&gt;"",P$3='Bonding Program'!$R$53),'Bonding Program'!$Q$53,0),0)</f>
        <v>0</v>
      </c>
      <c r="Q194" s="19" t="n">
        <f aca="false">IF(AND('Bonding Program'!$S$53=1,Q$3='Bonding Program'!$H$53),'Bonding Program'!$AA$53,0)-IF(Q$3&lt;='Bonding Program'!$C$8,IF(AND('Bonding Program'!$K$53&lt;&gt;"",Q$3='Bonding Program'!$K$53),'Bonding Program'!$J$53,0)-IF(AND('Bonding Program'!$M$53&lt;&gt;"",Q$3='Bonding Program'!$M$53),'Bonding Program'!$L$53,0)-IF(AND('Bonding Program'!$P$53&lt;&gt;"",Q$3='Bonding Program'!$P$53),'Bonding Program'!$O$53,0)-IF(AND('Bonding Program'!$R$53&lt;&gt;"",Q$3='Bonding Program'!$R$53),'Bonding Program'!$Q$53,0),0)</f>
        <v>0</v>
      </c>
      <c r="R194" s="19" t="n">
        <f aca="false">IF(AND('Bonding Program'!$S$53=1,R$3='Bonding Program'!$H$53),'Bonding Program'!$AA$53,0)-IF(R$3&lt;='Bonding Program'!$C$8,IF(AND('Bonding Program'!$K$53&lt;&gt;"",R$3='Bonding Program'!$K$53),'Bonding Program'!$J$53,0)-IF(AND('Bonding Program'!$M$53&lt;&gt;"",R$3='Bonding Program'!$M$53),'Bonding Program'!$L$53,0)-IF(AND('Bonding Program'!$P$53&lt;&gt;"",R$3='Bonding Program'!$P$53),'Bonding Program'!$O$53,0)-IF(AND('Bonding Program'!$R$53&lt;&gt;"",R$3='Bonding Program'!$R$53),'Bonding Program'!$Q$53,0),0)</f>
        <v>0</v>
      </c>
      <c r="S194" s="19" t="n">
        <f aca="false">IF(AND('Bonding Program'!$S$53=1,S$3='Bonding Program'!$H$53),'Bonding Program'!$AA$53,0)-IF(S$3&lt;='Bonding Program'!$C$8,IF(AND('Bonding Program'!$K$53&lt;&gt;"",S$3='Bonding Program'!$K$53),'Bonding Program'!$J$53,0)-IF(AND('Bonding Program'!$M$53&lt;&gt;"",S$3='Bonding Program'!$M$53),'Bonding Program'!$L$53,0)-IF(AND('Bonding Program'!$P$53&lt;&gt;"",S$3='Bonding Program'!$P$53),'Bonding Program'!$O$53,0)-IF(AND('Bonding Program'!$R$53&lt;&gt;"",S$3='Bonding Program'!$R$53),'Bonding Program'!$Q$53,0),0)</f>
        <v>0</v>
      </c>
      <c r="T194" s="19" t="n">
        <f aca="false">IF(AND('Bonding Program'!$S$53=1,T$3='Bonding Program'!$H$53),'Bonding Program'!$AA$53,0)-IF(T$3&lt;='Bonding Program'!$C$8,IF(AND('Bonding Program'!$K$53&lt;&gt;"",T$3='Bonding Program'!$K$53),'Bonding Program'!$J$53,0)-IF(AND('Bonding Program'!$M$53&lt;&gt;"",T$3='Bonding Program'!$M$53),'Bonding Program'!$L$53,0)-IF(AND('Bonding Program'!$P$53&lt;&gt;"",T$3='Bonding Program'!$P$53),'Bonding Program'!$O$53,0)-IF(AND('Bonding Program'!$R$53&lt;&gt;"",T$3='Bonding Program'!$R$53),'Bonding Program'!$Q$53,0),0)</f>
        <v>0</v>
      </c>
      <c r="U194" s="19" t="n">
        <f aca="false">IF(AND('Bonding Program'!$S$53=1,U$3='Bonding Program'!$H$53),'Bonding Program'!$AA$53,0)-IF(U$3&lt;='Bonding Program'!$C$8,IF(AND('Bonding Program'!$K$53&lt;&gt;"",U$3='Bonding Program'!$K$53),'Bonding Program'!$J$53,0)-IF(AND('Bonding Program'!$M$53&lt;&gt;"",U$3='Bonding Program'!$M$53),'Bonding Program'!$L$53,0)-IF(AND('Bonding Program'!$P$53&lt;&gt;"",U$3='Bonding Program'!$P$53),'Bonding Program'!$O$53,0)-IF(AND('Bonding Program'!$R$53&lt;&gt;"",U$3='Bonding Program'!$R$53),'Bonding Program'!$Q$53,0),0)</f>
        <v>0</v>
      </c>
      <c r="V194" s="19" t="n">
        <f aca="false">IF(AND('Bonding Program'!$S$53=1,V$3='Bonding Program'!$H$53),'Bonding Program'!$AA$53,0)-IF(V$3&lt;='Bonding Program'!$C$8,IF(AND('Bonding Program'!$K$53&lt;&gt;"",V$3='Bonding Program'!$K$53),'Bonding Program'!$J$53,0)-IF(AND('Bonding Program'!$M$53&lt;&gt;"",V$3='Bonding Program'!$M$53),'Bonding Program'!$L$53,0)-IF(AND('Bonding Program'!$P$53&lt;&gt;"",V$3='Bonding Program'!$P$53),'Bonding Program'!$O$53,0)-IF(AND('Bonding Program'!$R$53&lt;&gt;"",V$3='Bonding Program'!$R$53),'Bonding Program'!$Q$53,0),0)</f>
        <v>0</v>
      </c>
      <c r="W194" s="19" t="n">
        <f aca="false">IF(AND('Bonding Program'!$S$53=1,W$3='Bonding Program'!$H$53),'Bonding Program'!$AA$53,0)-IF(W$3&lt;='Bonding Program'!$C$8,IF(AND('Bonding Program'!$K$53&lt;&gt;"",W$3='Bonding Program'!$K$53),'Bonding Program'!$J$53,0)-IF(AND('Bonding Program'!$M$53&lt;&gt;"",W$3='Bonding Program'!$M$53),'Bonding Program'!$L$53,0)-IF(AND('Bonding Program'!$P$53&lt;&gt;"",W$3='Bonding Program'!$P$53),'Bonding Program'!$O$53,0)-IF(AND('Bonding Program'!$R$53&lt;&gt;"",W$3='Bonding Program'!$R$53),'Bonding Program'!$Q$53,0),0)</f>
        <v>0</v>
      </c>
      <c r="X194" s="19" t="n">
        <f aca="false">IF(AND('Bonding Program'!$S$53=1,X$3='Bonding Program'!$H$53),'Bonding Program'!$AA$53,0)-IF(X$3&lt;='Bonding Program'!$C$8,IF(AND('Bonding Program'!$K$53&lt;&gt;"",X$3='Bonding Program'!$K$53),'Bonding Program'!$J$53,0)-IF(AND('Bonding Program'!$M$53&lt;&gt;"",X$3='Bonding Program'!$M$53),'Bonding Program'!$L$53,0)-IF(AND('Bonding Program'!$P$53&lt;&gt;"",X$3='Bonding Program'!$P$53),'Bonding Program'!$O$53,0)-IF(AND('Bonding Program'!$R$53&lt;&gt;"",X$3='Bonding Program'!$R$53),'Bonding Program'!$Q$53,0),0)</f>
        <v>0</v>
      </c>
      <c r="Y194" s="19" t="n">
        <f aca="false">IF(AND('Bonding Program'!$S$53=1,Y$3='Bonding Program'!$H$53),'Bonding Program'!$AA$53,0)-IF(Y$3&lt;='Bonding Program'!$C$8,IF(AND('Bonding Program'!$K$53&lt;&gt;"",Y$3='Bonding Program'!$K$53),'Bonding Program'!$J$53,0)-IF(AND('Bonding Program'!$M$53&lt;&gt;"",Y$3='Bonding Program'!$M$53),'Bonding Program'!$L$53,0)-IF(AND('Bonding Program'!$P$53&lt;&gt;"",Y$3='Bonding Program'!$P$53),'Bonding Program'!$O$53,0)-IF(AND('Bonding Program'!$R$53&lt;&gt;"",Y$3='Bonding Program'!$R$53),'Bonding Program'!$Q$53,0),0)</f>
        <v>0</v>
      </c>
      <c r="Z194" s="19" t="n">
        <f aca="false">IF(AND('Bonding Program'!$S$53=1,Z$3='Bonding Program'!$H$53),'Bonding Program'!$AA$53,0)-IF(Z$3&lt;='Bonding Program'!$C$8,IF(AND('Bonding Program'!$K$53&lt;&gt;"",Z$3='Bonding Program'!$K$53),'Bonding Program'!$J$53,0)-IF(AND('Bonding Program'!$M$53&lt;&gt;"",Z$3='Bonding Program'!$M$53),'Bonding Program'!$L$53,0)-IF(AND('Bonding Program'!$P$53&lt;&gt;"",Z$3='Bonding Program'!$P$53),'Bonding Program'!$O$53,0)-IF(AND('Bonding Program'!$R$53&lt;&gt;"",Z$3='Bonding Program'!$R$53),'Bonding Program'!$Q$53,0),0)</f>
        <v>0</v>
      </c>
      <c r="AA194" s="19" t="n">
        <f aca="false">IF(AND('Bonding Program'!$S$53=1,AA$3='Bonding Program'!$H$53),'Bonding Program'!$AA$53,0)-IF(AA$3&lt;='Bonding Program'!$C$8,IF(AND('Bonding Program'!$K$53&lt;&gt;"",AA$3='Bonding Program'!$K$53),'Bonding Program'!$J$53,0)-IF(AND('Bonding Program'!$M$53&lt;&gt;"",AA$3='Bonding Program'!$M$53),'Bonding Program'!$L$53,0)-IF(AND('Bonding Program'!$P$53&lt;&gt;"",AA$3='Bonding Program'!$P$53),'Bonding Program'!$O$53,0)-IF(AND('Bonding Program'!$R$53&lt;&gt;"",AA$3='Bonding Program'!$R$53),'Bonding Program'!$Q$53,0),0)</f>
        <v>0</v>
      </c>
      <c r="AB194" s="19" t="n">
        <f aca="false">IF(AND('Bonding Program'!$S$53=1,AB$3='Bonding Program'!$H$53),'Bonding Program'!$AA$53,0)-IF(AB$3&lt;='Bonding Program'!$C$8,IF(AND('Bonding Program'!$K$53&lt;&gt;"",AB$3='Bonding Program'!$K$53),'Bonding Program'!$J$53,0)-IF(AND('Bonding Program'!$M$53&lt;&gt;"",AB$3='Bonding Program'!$M$53),'Bonding Program'!$L$53,0)-IF(AND('Bonding Program'!$P$53&lt;&gt;"",AB$3='Bonding Program'!$P$53),'Bonding Program'!$O$53,0)-IF(AND('Bonding Program'!$R$53&lt;&gt;"",AB$3='Bonding Program'!$R$53),'Bonding Program'!$Q$53,0),0)</f>
        <v>0</v>
      </c>
      <c r="AC194" s="19" t="n">
        <f aca="false">IF(AND('Bonding Program'!$S$53=1,AC$3='Bonding Program'!$H$53),'Bonding Program'!$AA$53,0)-IF(AC$3&lt;='Bonding Program'!$C$8,IF(AND('Bonding Program'!$K$53&lt;&gt;"",AC$3='Bonding Program'!$K$53),'Bonding Program'!$J$53,0)-IF(AND('Bonding Program'!$M$53&lt;&gt;"",AC$3='Bonding Program'!$M$53),'Bonding Program'!$L$53,0)-IF(AND('Bonding Program'!$P$53&lt;&gt;"",AC$3='Bonding Program'!$P$53),'Bonding Program'!$O$53,0)-IF(AND('Bonding Program'!$R$53&lt;&gt;"",AC$3='Bonding Program'!$R$53),'Bonding Program'!$Q$53,0),0)</f>
        <v>0</v>
      </c>
      <c r="AD194" s="19" t="n">
        <f aca="false">IF(AND('Bonding Program'!$S$53=1,AD$3='Bonding Program'!$H$53),'Bonding Program'!$AA$53,0)-IF(AD$3&lt;='Bonding Program'!$C$8,IF(AND('Bonding Program'!$K$53&lt;&gt;"",AD$3='Bonding Program'!$K$53),'Bonding Program'!$J$53,0)-IF(AND('Bonding Program'!$M$53&lt;&gt;"",AD$3='Bonding Program'!$M$53),'Bonding Program'!$L$53,0)-IF(AND('Bonding Program'!$P$53&lt;&gt;"",AD$3='Bonding Program'!$P$53),'Bonding Program'!$O$53,0)-IF(AND('Bonding Program'!$R$53&lt;&gt;"",AD$3='Bonding Program'!$R$53),'Bonding Program'!$Q$53,0),0)</f>
        <v>0</v>
      </c>
      <c r="AE194" s="19" t="n">
        <f aca="false">IF(AND('Bonding Program'!$S$53=1,AE$3='Bonding Program'!$H$53),'Bonding Program'!$AA$53,0)-IF(AE$3&lt;='Bonding Program'!$C$8,IF(AND('Bonding Program'!$K$53&lt;&gt;"",AE$3='Bonding Program'!$K$53),'Bonding Program'!$J$53,0)-IF(AND('Bonding Program'!$M$53&lt;&gt;"",AE$3='Bonding Program'!$M$53),'Bonding Program'!$L$53,0)-IF(AND('Bonding Program'!$P$53&lt;&gt;"",AE$3='Bonding Program'!$P$53),'Bonding Program'!$O$53,0)-IF(AND('Bonding Program'!$R$53&lt;&gt;"",AE$3='Bonding Program'!$R$53),'Bonding Program'!$Q$53,0),0)</f>
        <v>0</v>
      </c>
      <c r="AF194" s="19" t="n">
        <f aca="false">IF(AND('Bonding Program'!$S$53=1,AF$3='Bonding Program'!$H$53),'Bonding Program'!$AA$53,0)-IF(AF$3&lt;='Bonding Program'!$C$8,IF(AND('Bonding Program'!$K$53&lt;&gt;"",AF$3='Bonding Program'!$K$53),'Bonding Program'!$J$53,0)-IF(AND('Bonding Program'!$M$53&lt;&gt;"",AF$3='Bonding Program'!$M$53),'Bonding Program'!$L$53,0)-IF(AND('Bonding Program'!$P$53&lt;&gt;"",AF$3='Bonding Program'!$P$53),'Bonding Program'!$O$53,0)-IF(AND('Bonding Program'!$R$53&lt;&gt;"",AF$3='Bonding Program'!$R$53),'Bonding Program'!$Q$53,0),0)</f>
        <v>0</v>
      </c>
      <c r="AG194" s="19" t="n">
        <f aca="false">IF(AND('Bonding Program'!$S$53=1,AG$3='Bonding Program'!$H$53),'Bonding Program'!$AA$53,0)-IF(AG$3&lt;='Bonding Program'!$C$8,IF(AND('Bonding Program'!$K$53&lt;&gt;"",AG$3='Bonding Program'!$K$53),'Bonding Program'!$J$53,0)-IF(AND('Bonding Program'!$M$53&lt;&gt;"",AG$3='Bonding Program'!$M$53),'Bonding Program'!$L$53,0)-IF(AND('Bonding Program'!$P$53&lt;&gt;"",AG$3='Bonding Program'!$P$53),'Bonding Program'!$O$53,0)-IF(AND('Bonding Program'!$R$53&lt;&gt;"",AG$3='Bonding Program'!$R$53),'Bonding Program'!$Q$53,0),0)</f>
        <v>0</v>
      </c>
      <c r="AH194" s="19" t="n">
        <f aca="false">IF(AND('Bonding Program'!$S$53=1,AH$3='Bonding Program'!$H$53),'Bonding Program'!$AA$53,0)-IF(AH$3&lt;='Bonding Program'!$C$8,IF(AND('Bonding Program'!$K$53&lt;&gt;"",AH$3='Bonding Program'!$K$53),'Bonding Program'!$J$53,0)-IF(AND('Bonding Program'!$M$53&lt;&gt;"",AH$3='Bonding Program'!$M$53),'Bonding Program'!$L$53,0)-IF(AND('Bonding Program'!$P$53&lt;&gt;"",AH$3='Bonding Program'!$P$53),'Bonding Program'!$O$53,0)-IF(AND('Bonding Program'!$R$53&lt;&gt;"",AH$3='Bonding Program'!$R$53),'Bonding Program'!$Q$53,0),0)</f>
        <v>0</v>
      </c>
      <c r="AI194" s="19" t="n">
        <f aca="false">IF(AND('Bonding Program'!$S$53=1,AI$3='Bonding Program'!$H$53),'Bonding Program'!$AA$53,0)-IF(AI$3&lt;='Bonding Program'!$C$8,IF(AND('Bonding Program'!$K$53&lt;&gt;"",AI$3='Bonding Program'!$K$53),'Bonding Program'!$J$53,0)-IF(AND('Bonding Program'!$M$53&lt;&gt;"",AI$3='Bonding Program'!$M$53),'Bonding Program'!$L$53,0)-IF(AND('Bonding Program'!$P$53&lt;&gt;"",AI$3='Bonding Program'!$P$53),'Bonding Program'!$O$53,0)-IF(AND('Bonding Program'!$R$53&lt;&gt;"",AI$3='Bonding Program'!$R$53),'Bonding Program'!$Q$53,0),0)</f>
        <v>0</v>
      </c>
      <c r="AJ194" s="19" t="n">
        <f aca="false">IF(AND('Bonding Program'!$S$53=1,AJ$3='Bonding Program'!$H$53),'Bonding Program'!$AA$53,0)-IF(AJ$3&lt;='Bonding Program'!$C$8,IF(AND('Bonding Program'!$K$53&lt;&gt;"",AJ$3='Bonding Program'!$K$53),'Bonding Program'!$J$53,0)-IF(AND('Bonding Program'!$M$53&lt;&gt;"",AJ$3='Bonding Program'!$M$53),'Bonding Program'!$L$53,0)-IF(AND('Bonding Program'!$P$53&lt;&gt;"",AJ$3='Bonding Program'!$P$53),'Bonding Program'!$O$53,0)-IF(AND('Bonding Program'!$R$53&lt;&gt;"",AJ$3='Bonding Program'!$R$53),'Bonding Program'!$Q$53,0),0)</f>
        <v>0</v>
      </c>
      <c r="AK194" s="19" t="n">
        <f aca="false">IF(AND('Bonding Program'!$S$53=1,AK$3='Bonding Program'!$H$53),'Bonding Program'!$AA$53,0)-IF(AK$3&lt;='Bonding Program'!$C$8,IF(AND('Bonding Program'!$K$53&lt;&gt;"",AK$3='Bonding Program'!$K$53),'Bonding Program'!$J$53,0)-IF(AND('Bonding Program'!$M$53&lt;&gt;"",AK$3='Bonding Program'!$M$53),'Bonding Program'!$L$53,0)-IF(AND('Bonding Program'!$P$53&lt;&gt;"",AK$3='Bonding Program'!$P$53),'Bonding Program'!$O$53,0)-IF(AND('Bonding Program'!$R$53&lt;&gt;"",AK$3='Bonding Program'!$R$53),'Bonding Program'!$Q$53,0),0)</f>
        <v>0</v>
      </c>
      <c r="AL194" s="19" t="n">
        <f aca="false">IF(AND('Bonding Program'!$S$53=1,AL$3='Bonding Program'!$H$53),'Bonding Program'!$AA$53,0)-IF(AL$3&lt;='Bonding Program'!$C$8,IF(AND('Bonding Program'!$K$53&lt;&gt;"",AL$3='Bonding Program'!$K$53),'Bonding Program'!$J$53,0)-IF(AND('Bonding Program'!$M$53&lt;&gt;"",AL$3='Bonding Program'!$M$53),'Bonding Program'!$L$53,0)-IF(AND('Bonding Program'!$P$53&lt;&gt;"",AL$3='Bonding Program'!$P$53),'Bonding Program'!$O$53,0)-IF(AND('Bonding Program'!$R$53&lt;&gt;"",AL$3='Bonding Program'!$R$53),'Bonding Program'!$Q$53,0),0)</f>
        <v>0</v>
      </c>
      <c r="AM194" s="19" t="n">
        <f aca="false">IF(AND('Bonding Program'!$S$53=1,AM$3='Bonding Program'!$H$53),'Bonding Program'!$AA$53,0)-IF(AM$3&lt;='Bonding Program'!$C$8,IF(AND('Bonding Program'!$K$53&lt;&gt;"",AM$3='Bonding Program'!$K$53),'Bonding Program'!$J$53,0)-IF(AND('Bonding Program'!$M$53&lt;&gt;"",AM$3='Bonding Program'!$M$53),'Bonding Program'!$L$53,0)-IF(AND('Bonding Program'!$P$53&lt;&gt;"",AM$3='Bonding Program'!$P$53),'Bonding Program'!$O$53,0)-IF(AND('Bonding Program'!$R$53&lt;&gt;"",AM$3='Bonding Program'!$R$53),'Bonding Program'!$Q$53,0),0)</f>
        <v>0</v>
      </c>
      <c r="AN194" s="19" t="n">
        <f aca="false">IF(AND('Bonding Program'!$S$53=1,AN$3='Bonding Program'!$H$53),'Bonding Program'!$AA$53,0)-IF(AN$3&lt;='Bonding Program'!$C$8,IF(AND('Bonding Program'!$K$53&lt;&gt;"",AN$3='Bonding Program'!$K$53),'Bonding Program'!$J$53,0)-IF(AND('Bonding Program'!$M$53&lt;&gt;"",AN$3='Bonding Program'!$M$53),'Bonding Program'!$L$53,0)-IF(AND('Bonding Program'!$P$53&lt;&gt;"",AN$3='Bonding Program'!$P$53),'Bonding Program'!$O$53,0)-IF(AND('Bonding Program'!$R$53&lt;&gt;"",AN$3='Bonding Program'!$R$53),'Bonding Program'!$Q$53,0),0)</f>
        <v>0</v>
      </c>
      <c r="AO194" s="19" t="n">
        <f aca="false">IF(AND('Bonding Program'!$S$53=1,AO$3='Bonding Program'!$H$53),'Bonding Program'!$AA$53,0)-IF(AO$3&lt;='Bonding Program'!$C$8,IF(AND('Bonding Program'!$K$53&lt;&gt;"",AO$3='Bonding Program'!$K$53),'Bonding Program'!$J$53,0)-IF(AND('Bonding Program'!$M$53&lt;&gt;"",AO$3='Bonding Program'!$M$53),'Bonding Program'!$L$53,0)-IF(AND('Bonding Program'!$P$53&lt;&gt;"",AO$3='Bonding Program'!$P$53),'Bonding Program'!$O$53,0)-IF(AND('Bonding Program'!$R$53&lt;&gt;"",AO$3='Bonding Program'!$R$53),'Bonding Program'!$Q$53,0),0)</f>
        <v>0</v>
      </c>
      <c r="AP194" s="19" t="n">
        <f aca="false">IF(AND('Bonding Program'!$S$53=1,AP$3='Bonding Program'!$H$53),'Bonding Program'!$AA$53,0)-IF(AP$3&lt;='Bonding Program'!$C$8,IF(AND('Bonding Program'!$K$53&lt;&gt;"",AP$3='Bonding Program'!$K$53),'Bonding Program'!$J$53,0)-IF(AND('Bonding Program'!$M$53&lt;&gt;"",AP$3='Bonding Program'!$M$53),'Bonding Program'!$L$53,0)-IF(AND('Bonding Program'!$P$53&lt;&gt;"",AP$3='Bonding Program'!$P$53),'Bonding Program'!$O$53,0)-IF(AND('Bonding Program'!$R$53&lt;&gt;"",AP$3='Bonding Program'!$R$53),'Bonding Program'!$Q$53,0),0)</f>
        <v>0</v>
      </c>
      <c r="AQ194" s="19" t="n">
        <f aca="false">IF(AND('Bonding Program'!$S$53=1,AQ$3='Bonding Program'!$H$53),'Bonding Program'!$AA$53,0)-IF(AQ$3&lt;='Bonding Program'!$C$8,IF(AND('Bonding Program'!$K$53&lt;&gt;"",AQ$3='Bonding Program'!$K$53),'Bonding Program'!$J$53,0)-IF(AND('Bonding Program'!$M$53&lt;&gt;"",AQ$3='Bonding Program'!$M$53),'Bonding Program'!$L$53,0)-IF(AND('Bonding Program'!$P$53&lt;&gt;"",AQ$3='Bonding Program'!$P$53),'Bonding Program'!$O$53,0)-IF(AND('Bonding Program'!$R$53&lt;&gt;"",AQ$3='Bonding Program'!$R$53),'Bonding Program'!$Q$53,0),0)</f>
        <v>0</v>
      </c>
      <c r="AR194" s="19" t="n">
        <f aca="false">IF(AND('Bonding Program'!$S$53=1,AR$3='Bonding Program'!$H$53),'Bonding Program'!$AA$53,0)-IF(AR$3&lt;='Bonding Program'!$C$8,IF(AND('Bonding Program'!$K$53&lt;&gt;"",AR$3='Bonding Program'!$K$53),'Bonding Program'!$J$53,0)-IF(AND('Bonding Program'!$M$53&lt;&gt;"",AR$3='Bonding Program'!$M$53),'Bonding Program'!$L$53,0)-IF(AND('Bonding Program'!$P$53&lt;&gt;"",AR$3='Bonding Program'!$P$53),'Bonding Program'!$O$53,0)-IF(AND('Bonding Program'!$R$53&lt;&gt;"",AR$3='Bonding Program'!$R$53),'Bonding Program'!$Q$53,0),0)</f>
        <v>0</v>
      </c>
      <c r="AS194" s="19" t="n">
        <f aca="false">IF(AND('Bonding Program'!$S$53=1,AS$3='Bonding Program'!$H$53),'Bonding Program'!$AA$53,0)-IF(AS$3&lt;='Bonding Program'!$C$8,IF(AND('Bonding Program'!$K$53&lt;&gt;"",AS$3='Bonding Program'!$K$53),'Bonding Program'!$J$53,0)-IF(AND('Bonding Program'!$M$53&lt;&gt;"",AS$3='Bonding Program'!$M$53),'Bonding Program'!$L$53,0)-IF(AND('Bonding Program'!$P$53&lt;&gt;"",AS$3='Bonding Program'!$P$53),'Bonding Program'!$O$53,0)-IF(AND('Bonding Program'!$R$53&lt;&gt;"",AS$3='Bonding Program'!$R$53),'Bonding Program'!$Q$53,0),0)</f>
        <v>0</v>
      </c>
      <c r="AT194" s="19" t="n">
        <f aca="false">IF(AND('Bonding Program'!$S$53=1,AT$3='Bonding Program'!$H$53),'Bonding Program'!$AA$53,0)-IF(AT$3&lt;='Bonding Program'!$C$8,IF(AND('Bonding Program'!$K$53&lt;&gt;"",AT$3='Bonding Program'!$K$53),'Bonding Program'!$J$53,0)-IF(AND('Bonding Program'!$M$53&lt;&gt;"",AT$3='Bonding Program'!$M$53),'Bonding Program'!$L$53,0)-IF(AND('Bonding Program'!$P$53&lt;&gt;"",AT$3='Bonding Program'!$P$53),'Bonding Program'!$O$53,0)-IF(AND('Bonding Program'!$R$53&lt;&gt;"",AT$3='Bonding Program'!$R$53),'Bonding Program'!$Q$53,0),0)</f>
        <v>0</v>
      </c>
      <c r="AU194" s="19" t="n">
        <f aca="false">IF(AND('Bonding Program'!$S$53=1,AU$3='Bonding Program'!$H$53),'Bonding Program'!$AA$53,0)-IF(AU$3&lt;='Bonding Program'!$C$8,IF(AND('Bonding Program'!$K$53&lt;&gt;"",AU$3='Bonding Program'!$K$53),'Bonding Program'!$J$53,0)-IF(AND('Bonding Program'!$M$53&lt;&gt;"",AU$3='Bonding Program'!$M$53),'Bonding Program'!$L$53,0)-IF(AND('Bonding Program'!$P$53&lt;&gt;"",AU$3='Bonding Program'!$P$53),'Bonding Program'!$O$53,0)-IF(AND('Bonding Program'!$R$53&lt;&gt;"",AU$3='Bonding Program'!$R$53),'Bonding Program'!$Q$53,0),0)</f>
        <v>0</v>
      </c>
      <c r="AV194" s="19" t="n">
        <f aca="false">IF(AND('Bonding Program'!$S$53=1,AV$3='Bonding Program'!$H$53),'Bonding Program'!$AA$53,0)-IF(AV$3&lt;='Bonding Program'!$C$8,IF(AND('Bonding Program'!$K$53&lt;&gt;"",AV$3='Bonding Program'!$K$53),'Bonding Program'!$J$53,0)-IF(AND('Bonding Program'!$M$53&lt;&gt;"",AV$3='Bonding Program'!$M$53),'Bonding Program'!$L$53,0)-IF(AND('Bonding Program'!$P$53&lt;&gt;"",AV$3='Bonding Program'!$P$53),'Bonding Program'!$O$53,0)-IF(AND('Bonding Program'!$R$53&lt;&gt;"",AV$3='Bonding Program'!$R$53),'Bonding Program'!$Q$53,0),0)</f>
        <v>0</v>
      </c>
      <c r="AW194" s="19" t="n">
        <f aca="false">IF(AND('Bonding Program'!$S$53=1,AW$3='Bonding Program'!$H$53),'Bonding Program'!$AA$53,0)-IF(AW$3&lt;='Bonding Program'!$C$8,IF(AND('Bonding Program'!$K$53&lt;&gt;"",AW$3='Bonding Program'!$K$53),'Bonding Program'!$J$53,0)-IF(AND('Bonding Program'!$M$53&lt;&gt;"",AW$3='Bonding Program'!$M$53),'Bonding Program'!$L$53,0)-IF(AND('Bonding Program'!$P$53&lt;&gt;"",AW$3='Bonding Program'!$P$53),'Bonding Program'!$O$53,0)-IF(AND('Bonding Program'!$R$53&lt;&gt;"",AW$3='Bonding Program'!$R$53),'Bonding Program'!$Q$53,0),0)</f>
        <v>0</v>
      </c>
      <c r="AX194" s="19" t="n">
        <f aca="false">IF(AND('Bonding Program'!$S$53=1,AX$3='Bonding Program'!$H$53),'Bonding Program'!$AA$53,0)-IF(AX$3&lt;='Bonding Program'!$C$8,IF(AND('Bonding Program'!$K$53&lt;&gt;"",AX$3='Bonding Program'!$K$53),'Bonding Program'!$J$53,0)-IF(AND('Bonding Program'!$M$53&lt;&gt;"",AX$3='Bonding Program'!$M$53),'Bonding Program'!$L$53,0)-IF(AND('Bonding Program'!$P$53&lt;&gt;"",AX$3='Bonding Program'!$P$53),'Bonding Program'!$O$53,0)-IF(AND('Bonding Program'!$R$53&lt;&gt;"",AX$3='Bonding Program'!$R$53),'Bonding Program'!$Q$53,0),0)</f>
        <v>0</v>
      </c>
      <c r="AY194" s="19" t="n">
        <f aca="false">IF(AND('Bonding Program'!$S$53=1,AY$3='Bonding Program'!$H$53),'Bonding Program'!$AA$53,0)-IF(AY$3&lt;='Bonding Program'!$C$8,IF(AND('Bonding Program'!$K$53&lt;&gt;"",AY$3='Bonding Program'!$K$53),'Bonding Program'!$J$53,0)-IF(AND('Bonding Program'!$M$53&lt;&gt;"",AY$3='Bonding Program'!$M$53),'Bonding Program'!$L$53,0)-IF(AND('Bonding Program'!$P$53&lt;&gt;"",AY$3='Bonding Program'!$P$53),'Bonding Program'!$O$53,0)-IF(AND('Bonding Program'!$R$53&lt;&gt;"",AY$3='Bonding Program'!$R$53),'Bonding Program'!$Q$53,0),0)</f>
        <v>0</v>
      </c>
      <c r="AZ194" s="19" t="n">
        <f aca="false">IF(AND('Bonding Program'!$S$53=1,AZ$3='Bonding Program'!$H$53),'Bonding Program'!$AA$53,0)-IF(AZ$3&lt;='Bonding Program'!$C$8,IF(AND('Bonding Program'!$K$53&lt;&gt;"",AZ$3='Bonding Program'!$K$53),'Bonding Program'!$J$53,0)-IF(AND('Bonding Program'!$M$53&lt;&gt;"",AZ$3='Bonding Program'!$M$53),'Bonding Program'!$L$53,0)-IF(AND('Bonding Program'!$P$53&lt;&gt;"",AZ$3='Bonding Program'!$P$53),'Bonding Program'!$O$53,0)-IF(AND('Bonding Program'!$R$53&lt;&gt;"",AZ$3='Bonding Program'!$R$53),'Bonding Program'!$Q$53,0),0)</f>
        <v>0</v>
      </c>
      <c r="BA194" s="19" t="n">
        <f aca="false">IF(AND('Bonding Program'!$S$53=1,BA$3='Bonding Program'!$H$53),'Bonding Program'!$AA$53,0)-IF(BA$3&lt;='Bonding Program'!$C$8,IF(AND('Bonding Program'!$K$53&lt;&gt;"",BA$3='Bonding Program'!$K$53),'Bonding Program'!$J$53,0)-IF(AND('Bonding Program'!$M$53&lt;&gt;"",BA$3='Bonding Program'!$M$53),'Bonding Program'!$L$53,0)-IF(AND('Bonding Program'!$P$53&lt;&gt;"",BA$3='Bonding Program'!$P$53),'Bonding Program'!$O$53,0)-IF(AND('Bonding Program'!$R$53&lt;&gt;"",BA$3='Bonding Program'!$R$53),'Bonding Program'!$Q$53,0),0)</f>
        <v>0</v>
      </c>
      <c r="BB194" s="19" t="n">
        <f aca="false">IF(AND('Bonding Program'!$S$53=1,BB$3='Bonding Program'!$H$53),'Bonding Program'!$AA$53,0)-IF(BB$3&lt;='Bonding Program'!$C$8,IF(AND('Bonding Program'!$K$53&lt;&gt;"",BB$3='Bonding Program'!$K$53),'Bonding Program'!$J$53,0)-IF(AND('Bonding Program'!$M$53&lt;&gt;"",BB$3='Bonding Program'!$M$53),'Bonding Program'!$L$53,0)-IF(AND('Bonding Program'!$P$53&lt;&gt;"",BB$3='Bonding Program'!$P$53),'Bonding Program'!$O$53,0)-IF(AND('Bonding Program'!$R$53&lt;&gt;"",BB$3='Bonding Program'!$R$53),'Bonding Program'!$Q$53,0),0)</f>
        <v>0</v>
      </c>
      <c r="BC194" s="19" t="n">
        <f aca="false">IF(AND('Bonding Program'!$S$53=1,BC$3='Bonding Program'!$H$53),'Bonding Program'!$AA$53,0)-IF(BC$3&lt;='Bonding Program'!$C$8,IF(AND('Bonding Program'!$K$53&lt;&gt;"",BC$3='Bonding Program'!$K$53),'Bonding Program'!$J$53,0)-IF(AND('Bonding Program'!$M$53&lt;&gt;"",BC$3='Bonding Program'!$M$53),'Bonding Program'!$L$53,0)-IF(AND('Bonding Program'!$P$53&lt;&gt;"",BC$3='Bonding Program'!$P$53),'Bonding Program'!$O$53,0)-IF(AND('Bonding Program'!$R$53&lt;&gt;"",BC$3='Bonding Program'!$R$53),'Bonding Program'!$Q$53,0),0)</f>
        <v>0</v>
      </c>
      <c r="BD194" s="19" t="n">
        <f aca="false">IF(AND('Bonding Program'!$S$53=1,BD$3='Bonding Program'!$H$53),'Bonding Program'!$AA$53,0)-IF(BD$3&lt;='Bonding Program'!$C$8,IF(AND('Bonding Program'!$K$53&lt;&gt;"",BD$3='Bonding Program'!$K$53),'Bonding Program'!$J$53,0)-IF(AND('Bonding Program'!$M$53&lt;&gt;"",BD$3='Bonding Program'!$M$53),'Bonding Program'!$L$53,0)-IF(AND('Bonding Program'!$P$53&lt;&gt;"",BD$3='Bonding Program'!$P$53),'Bonding Program'!$O$53,0)-IF(AND('Bonding Program'!$R$53&lt;&gt;"",BD$3='Bonding Program'!$R$53),'Bonding Program'!$Q$53,0),0)</f>
        <v>0</v>
      </c>
      <c r="BE194" s="19" t="n">
        <f aca="false">IF(AND('Bonding Program'!$S$53=1,BE$3='Bonding Program'!$H$53),'Bonding Program'!$AA$53,0)-IF(BE$3&lt;='Bonding Program'!$C$8,IF(AND('Bonding Program'!$K$53&lt;&gt;"",BE$3='Bonding Program'!$K$53),'Bonding Program'!$J$53,0)-IF(AND('Bonding Program'!$M$53&lt;&gt;"",BE$3='Bonding Program'!$M$53),'Bonding Program'!$L$53,0)-IF(AND('Bonding Program'!$P$53&lt;&gt;"",BE$3='Bonding Program'!$P$53),'Bonding Program'!$O$53,0)-IF(AND('Bonding Program'!$R$53&lt;&gt;"",BE$3='Bonding Program'!$R$53),'Bonding Program'!$Q$53,0),0)</f>
        <v>0</v>
      </c>
      <c r="BF194" s="19" t="n">
        <f aca="false">IF(AND('Bonding Program'!$S$53=1,BF$3='Bonding Program'!$H$53),'Bonding Program'!$AA$53,0)-IF(BF$3&lt;='Bonding Program'!$C$8,IF(AND('Bonding Program'!$K$53&lt;&gt;"",BF$3='Bonding Program'!$K$53),'Bonding Program'!$J$53,0)-IF(AND('Bonding Program'!$M$53&lt;&gt;"",BF$3='Bonding Program'!$M$53),'Bonding Program'!$L$53,0)-IF(AND('Bonding Program'!$P$53&lt;&gt;"",BF$3='Bonding Program'!$P$53),'Bonding Program'!$O$53,0)-IF(AND('Bonding Program'!$R$53&lt;&gt;"",BF$3='Bonding Program'!$R$53),'Bonding Program'!$Q$53,0),0)</f>
        <v>0</v>
      </c>
      <c r="BG194" s="19" t="n">
        <f aca="false">IF(AND('Bonding Program'!$S$53=1,BG$3='Bonding Program'!$H$53),'Bonding Program'!$AA$53,0)-IF(BG$3&lt;='Bonding Program'!$C$8,IF(AND('Bonding Program'!$K$53&lt;&gt;"",BG$3='Bonding Program'!$K$53),'Bonding Program'!$J$53,0)-IF(AND('Bonding Program'!$M$53&lt;&gt;"",BG$3='Bonding Program'!$M$53),'Bonding Program'!$L$53,0)-IF(AND('Bonding Program'!$P$53&lt;&gt;"",BG$3='Bonding Program'!$P$53),'Bonding Program'!$O$53,0)-IF(AND('Bonding Program'!$R$53&lt;&gt;"",BG$3='Bonding Program'!$R$53),'Bonding Program'!$Q$53,0),0)</f>
        <v>0</v>
      </c>
      <c r="BH194" s="19" t="n">
        <f aca="false">IF(AND('Bonding Program'!$S$53=1,BH$3='Bonding Program'!$H$53),'Bonding Program'!$AA$53,0)-IF(BH$3&lt;='Bonding Program'!$C$8,IF(AND('Bonding Program'!$K$53&lt;&gt;"",BH$3='Bonding Program'!$K$53),'Bonding Program'!$J$53,0)-IF(AND('Bonding Program'!$M$53&lt;&gt;"",BH$3='Bonding Program'!$M$53),'Bonding Program'!$L$53,0)-IF(AND('Bonding Program'!$P$53&lt;&gt;"",BH$3='Bonding Program'!$P$53),'Bonding Program'!$O$53,0)-IF(AND('Bonding Program'!$R$53&lt;&gt;"",BH$3='Bonding Program'!$R$53),'Bonding Program'!$Q$53,0),0)</f>
        <v>0</v>
      </c>
      <c r="BI194" s="19" t="n">
        <f aca="false">IF(AND('Bonding Program'!$S$53=1,BI$3='Bonding Program'!$H$53),'Bonding Program'!$AA$53,0)-IF(BI$3&lt;='Bonding Program'!$C$8,IF(AND('Bonding Program'!$K$53&lt;&gt;"",BI$3='Bonding Program'!$K$53),'Bonding Program'!$J$53,0)-IF(AND('Bonding Program'!$M$53&lt;&gt;"",BI$3='Bonding Program'!$M$53),'Bonding Program'!$L$53,0)-IF(AND('Bonding Program'!$P$53&lt;&gt;"",BI$3='Bonding Program'!$P$53),'Bonding Program'!$O$53,0)-IF(AND('Bonding Program'!$R$53&lt;&gt;"",BI$3='Bonding Program'!$R$53),'Bonding Program'!$Q$53,0),0)</f>
        <v>0</v>
      </c>
      <c r="BJ194" s="19" t="n">
        <f aca="false">IF(AND('Bonding Program'!$S$53=1,BJ$3='Bonding Program'!$H$53),'Bonding Program'!$AA$53,0)-IF(BJ$3&lt;='Bonding Program'!$C$8,IF(AND('Bonding Program'!$K$53&lt;&gt;"",BJ$3='Bonding Program'!$K$53),'Bonding Program'!$J$53,0)-IF(AND('Bonding Program'!$M$53&lt;&gt;"",BJ$3='Bonding Program'!$M$53),'Bonding Program'!$L$53,0)-IF(AND('Bonding Program'!$P$53&lt;&gt;"",BJ$3='Bonding Program'!$P$53),'Bonding Program'!$O$53,0)-IF(AND('Bonding Program'!$R$53&lt;&gt;"",BJ$3='Bonding Program'!$R$53),'Bonding Program'!$Q$53,0),0)</f>
        <v>0</v>
      </c>
      <c r="BK194" s="19" t="n">
        <f aca="false">IF(AND('Bonding Program'!$S$53=1,BK$3='Bonding Program'!$H$53),'Bonding Program'!$AA$53,0)-IF(BK$3&lt;='Bonding Program'!$C$8,IF(AND('Bonding Program'!$K$53&lt;&gt;"",BK$3='Bonding Program'!$K$53),'Bonding Program'!$J$53,0)-IF(AND('Bonding Program'!$M$53&lt;&gt;"",BK$3='Bonding Program'!$M$53),'Bonding Program'!$L$53,0)-IF(AND('Bonding Program'!$P$53&lt;&gt;"",BK$3='Bonding Program'!$P$53),'Bonding Program'!$O$53,0)-IF(AND('Bonding Program'!$R$53&lt;&gt;"",BK$3='Bonding Program'!$R$53),'Bonding Program'!$Q$53,0),0)</f>
        <v>0</v>
      </c>
      <c r="BL194" s="19" t="n">
        <f aca="false">IF(AND('Bonding Program'!$S$53=1,BL$3='Bonding Program'!$H$53),'Bonding Program'!$AA$53,0)-IF(BL$3&lt;='Bonding Program'!$C$8,IF(AND('Bonding Program'!$K$53&lt;&gt;"",BL$3='Bonding Program'!$K$53),'Bonding Program'!$J$53,0)-IF(AND('Bonding Program'!$M$53&lt;&gt;"",BL$3='Bonding Program'!$M$53),'Bonding Program'!$L$53,0)-IF(AND('Bonding Program'!$P$53&lt;&gt;"",BL$3='Bonding Program'!$P$53),'Bonding Program'!$O$53,0)-IF(AND('Bonding Program'!$R$53&lt;&gt;"",BL$3='Bonding Program'!$R$53),'Bonding Program'!$Q$53,0),0)</f>
        <v>0</v>
      </c>
      <c r="BM194" s="19" t="n">
        <f aca="false">IF(AND('Bonding Program'!$S$53=1,BM$3='Bonding Program'!$H$53),'Bonding Program'!$AA$53,0)-IF(BM$3&lt;='Bonding Program'!$C$8,IF(AND('Bonding Program'!$K$53&lt;&gt;"",BM$3='Bonding Program'!$K$53),'Bonding Program'!$J$53,0)-IF(AND('Bonding Program'!$M$53&lt;&gt;"",BM$3='Bonding Program'!$M$53),'Bonding Program'!$L$53,0)-IF(AND('Bonding Program'!$P$53&lt;&gt;"",BM$3='Bonding Program'!$P$53),'Bonding Program'!$O$53,0)-IF(AND('Bonding Program'!$R$53&lt;&gt;"",BM$3='Bonding Program'!$R$53),'Bonding Program'!$Q$53,0),0)</f>
        <v>0</v>
      </c>
      <c r="BN194" s="19" t="n">
        <f aca="false">IF(AND('Bonding Program'!$S$53=1,BN$3='Bonding Program'!$H$53),'Bonding Program'!$AA$53,0)-IF(BN$3&lt;='Bonding Program'!$C$8,IF(AND('Bonding Program'!$K$53&lt;&gt;"",BN$3='Bonding Program'!$K$53),'Bonding Program'!$J$53,0)-IF(AND('Bonding Program'!$M$53&lt;&gt;"",BN$3='Bonding Program'!$M$53),'Bonding Program'!$L$53,0)-IF(AND('Bonding Program'!$P$53&lt;&gt;"",BN$3='Bonding Program'!$P$53),'Bonding Program'!$O$53,0)-IF(AND('Bonding Program'!$R$53&lt;&gt;"",BN$3='Bonding Program'!$R$53),'Bonding Program'!$Q$53,0),0)</f>
        <v>0</v>
      </c>
      <c r="BO194" s="19" t="n">
        <f aca="false">IF(AND('Bonding Program'!$S$53=1,BO$3='Bonding Program'!$H$53),'Bonding Program'!$AA$53,0)-IF(BO$3&lt;='Bonding Program'!$C$8,IF(AND('Bonding Program'!$K$53&lt;&gt;"",BO$3='Bonding Program'!$K$53),'Bonding Program'!$J$53,0)-IF(AND('Bonding Program'!$M$53&lt;&gt;"",BO$3='Bonding Program'!$M$53),'Bonding Program'!$L$53,0)-IF(AND('Bonding Program'!$P$53&lt;&gt;"",BO$3='Bonding Program'!$P$53),'Bonding Program'!$O$53,0)-IF(AND('Bonding Program'!$R$53&lt;&gt;"",BO$3='Bonding Program'!$R$53),'Bonding Program'!$Q$53,0),0)</f>
        <v>0</v>
      </c>
      <c r="BP194" s="19" t="n">
        <f aca="false">IF(AND('Bonding Program'!$S$53=1,BP$3='Bonding Program'!$H$53),'Bonding Program'!$AA$53,0)-IF(BP$3&lt;='Bonding Program'!$C$8,IF(AND('Bonding Program'!$K$53&lt;&gt;"",BP$3='Bonding Program'!$K$53),'Bonding Program'!$J$53,0)-IF(AND('Bonding Program'!$M$53&lt;&gt;"",BP$3='Bonding Program'!$M$53),'Bonding Program'!$L$53,0)-IF(AND('Bonding Program'!$P$53&lt;&gt;"",BP$3='Bonding Program'!$P$53),'Bonding Program'!$O$53,0)-IF(AND('Bonding Program'!$R$53&lt;&gt;"",BP$3='Bonding Program'!$R$53),'Bonding Program'!$Q$53,0),0)</f>
        <v>0</v>
      </c>
      <c r="BQ194" s="19" t="n">
        <f aca="false">IF(AND('Bonding Program'!$S$53=1,BQ$3='Bonding Program'!$H$53),'Bonding Program'!$AA$53,0)-IF(BQ$3&lt;='Bonding Program'!$C$8,IF(AND('Bonding Program'!$K$53&lt;&gt;"",BQ$3='Bonding Program'!$K$53),'Bonding Program'!$J$53,0)-IF(AND('Bonding Program'!$M$53&lt;&gt;"",BQ$3='Bonding Program'!$M$53),'Bonding Program'!$L$53,0)-IF(AND('Bonding Program'!$P$53&lt;&gt;"",BQ$3='Bonding Program'!$P$53),'Bonding Program'!$O$53,0)-IF(AND('Bonding Program'!$R$53&lt;&gt;"",BQ$3='Bonding Program'!$R$53),'Bonding Program'!$Q$53,0),0)</f>
        <v>0</v>
      </c>
      <c r="BR194" s="19" t="n">
        <f aca="false">IF(AND('Bonding Program'!$S$53=1,BR$3='Bonding Program'!$H$53),'Bonding Program'!$AA$53,0)-IF(BR$3&lt;='Bonding Program'!$C$8,IF(AND('Bonding Program'!$K$53&lt;&gt;"",BR$3='Bonding Program'!$K$53),'Bonding Program'!$J$53,0)-IF(AND('Bonding Program'!$M$53&lt;&gt;"",BR$3='Bonding Program'!$M$53),'Bonding Program'!$L$53,0)-IF(AND('Bonding Program'!$P$53&lt;&gt;"",BR$3='Bonding Program'!$P$53),'Bonding Program'!$O$53,0)-IF(AND('Bonding Program'!$R$53&lt;&gt;"",BR$3='Bonding Program'!$R$53),'Bonding Program'!$Q$53,0),0)</f>
        <v>0</v>
      </c>
      <c r="BS194" s="19" t="n">
        <f aca="false">IF(AND('Bonding Program'!$S$53=1,BS$3='Bonding Program'!$H$53),'Bonding Program'!$AA$53,0)-IF(BS$3&lt;='Bonding Program'!$C$8,IF(AND('Bonding Program'!$K$53&lt;&gt;"",BS$3='Bonding Program'!$K$53),'Bonding Program'!$J$53,0)-IF(AND('Bonding Program'!$M$53&lt;&gt;"",BS$3='Bonding Program'!$M$53),'Bonding Program'!$L$53,0)-IF(AND('Bonding Program'!$P$53&lt;&gt;"",BS$3='Bonding Program'!$P$53),'Bonding Program'!$O$53,0)-IF(AND('Bonding Program'!$R$53&lt;&gt;"",BS$3='Bonding Program'!$R$53),'Bonding Program'!$Q$53,0),0)</f>
        <v>0</v>
      </c>
      <c r="BT194" s="19" t="n">
        <f aca="false">IF(AND('Bonding Program'!$S$53=1,BT$3='Bonding Program'!$H$53),'Bonding Program'!$AA$53,0)-IF(BT$3&lt;='Bonding Program'!$C$8,IF(AND('Bonding Program'!$K$53&lt;&gt;"",BT$3='Bonding Program'!$K$53),'Bonding Program'!$J$53,0)-IF(AND('Bonding Program'!$M$53&lt;&gt;"",BT$3='Bonding Program'!$M$53),'Bonding Program'!$L$53,0)-IF(AND('Bonding Program'!$P$53&lt;&gt;"",BT$3='Bonding Program'!$P$53),'Bonding Program'!$O$53,0)-IF(AND('Bonding Program'!$R$53&lt;&gt;"",BT$3='Bonding Program'!$R$53),'Bonding Program'!$Q$53,0),0)</f>
        <v>0</v>
      </c>
      <c r="BU194" s="19" t="n">
        <f aca="false">IF(AND('Bonding Program'!$S$53=1,BU$3='Bonding Program'!$H$53),'Bonding Program'!$AA$53,0)-IF(BU$3&lt;='Bonding Program'!$C$8,IF(AND('Bonding Program'!$K$53&lt;&gt;"",BU$3='Bonding Program'!$K$53),'Bonding Program'!$J$53,0)-IF(AND('Bonding Program'!$M$53&lt;&gt;"",BU$3='Bonding Program'!$M$53),'Bonding Program'!$L$53,0)-IF(AND('Bonding Program'!$P$53&lt;&gt;"",BU$3='Bonding Program'!$P$53),'Bonding Program'!$O$53,0)-IF(AND('Bonding Program'!$R$53&lt;&gt;"",BU$3='Bonding Program'!$R$53),'Bonding Program'!$Q$53,0),0)</f>
        <v>0</v>
      </c>
      <c r="BV194" s="19" t="n">
        <f aca="false">IF(AND('Bonding Program'!$S$53=1,BV$3='Bonding Program'!$H$53),'Bonding Program'!$AA$53,0)-IF(BV$3&lt;='Bonding Program'!$C$8,IF(AND('Bonding Program'!$K$53&lt;&gt;"",BV$3='Bonding Program'!$K$53),'Bonding Program'!$J$53,0)-IF(AND('Bonding Program'!$M$53&lt;&gt;"",BV$3='Bonding Program'!$M$53),'Bonding Program'!$L$53,0)-IF(AND('Bonding Program'!$P$53&lt;&gt;"",BV$3='Bonding Program'!$P$53),'Bonding Program'!$O$53,0)-IF(AND('Bonding Program'!$R$53&lt;&gt;"",BV$3='Bonding Program'!$R$53),'Bonding Program'!$Q$53,0),0)</f>
        <v>0</v>
      </c>
      <c r="BW194" s="19" t="n">
        <f aca="false">IF(AND('Bonding Program'!$S$53=1,BW$3='Bonding Program'!$H$53),'Bonding Program'!$AA$53,0)-IF(BW$3&lt;='Bonding Program'!$C$8,IF(AND('Bonding Program'!$K$53&lt;&gt;"",BW$3='Bonding Program'!$K$53),'Bonding Program'!$J$53,0)-IF(AND('Bonding Program'!$M$53&lt;&gt;"",BW$3='Bonding Program'!$M$53),'Bonding Program'!$L$53,0)-IF(AND('Bonding Program'!$P$53&lt;&gt;"",BW$3='Bonding Program'!$P$53),'Bonding Program'!$O$53,0)-IF(AND('Bonding Program'!$R$53&lt;&gt;"",BW$3='Bonding Program'!$R$53),'Bonding Program'!$Q$53,0),0)</f>
        <v>0</v>
      </c>
      <c r="BX194" s="19" t="n">
        <f aca="false">IF(AND('Bonding Program'!$S$53=1,BX$3='Bonding Program'!$H$53),'Bonding Program'!$AA$53,0)-IF(BX$3&lt;='Bonding Program'!$C$8,IF(AND('Bonding Program'!$K$53&lt;&gt;"",BX$3='Bonding Program'!$K$53),'Bonding Program'!$J$53,0)-IF(AND('Bonding Program'!$M$53&lt;&gt;"",BX$3='Bonding Program'!$M$53),'Bonding Program'!$L$53,0)-IF(AND('Bonding Program'!$P$53&lt;&gt;"",BX$3='Bonding Program'!$P$53),'Bonding Program'!$O$53,0)-IF(AND('Bonding Program'!$R$53&lt;&gt;"",BX$3='Bonding Program'!$R$53),'Bonding Program'!$Q$53,0),0)</f>
        <v>0</v>
      </c>
      <c r="BY194" s="19" t="n">
        <f aca="false">IF(AND('Bonding Program'!$S$53=1,BY$3='Bonding Program'!$H$53),'Bonding Program'!$AA$53,0)-IF(BY$3&lt;='Bonding Program'!$C$8,IF(AND('Bonding Program'!$K$53&lt;&gt;"",BY$3='Bonding Program'!$K$53),'Bonding Program'!$J$53,0)-IF(AND('Bonding Program'!$M$53&lt;&gt;"",BY$3='Bonding Program'!$M$53),'Bonding Program'!$L$53,0)-IF(AND('Bonding Program'!$P$53&lt;&gt;"",BY$3='Bonding Program'!$P$53),'Bonding Program'!$O$53,0)-IF(AND('Bonding Program'!$R$53&lt;&gt;"",BY$3='Bonding Program'!$R$53),'Bonding Program'!$Q$53,0),0)</f>
        <v>0</v>
      </c>
      <c r="BZ194" s="19" t="n">
        <f aca="false">IF(AND('Bonding Program'!$S$53=1,BZ$3='Bonding Program'!$H$53),'Bonding Program'!$AA$53,0)-IF(BZ$3&lt;='Bonding Program'!$C$8,IF(AND('Bonding Program'!$K$53&lt;&gt;"",BZ$3='Bonding Program'!$K$53),'Bonding Program'!$J$53,0)-IF(AND('Bonding Program'!$M$53&lt;&gt;"",BZ$3='Bonding Program'!$M$53),'Bonding Program'!$L$53,0)-IF(AND('Bonding Program'!$P$53&lt;&gt;"",BZ$3='Bonding Program'!$P$53),'Bonding Program'!$O$53,0)-IF(AND('Bonding Program'!$R$53&lt;&gt;"",BZ$3='Bonding Program'!$R$53),'Bonding Program'!$Q$53,0),0)</f>
        <v>0</v>
      </c>
      <c r="CA194" s="19" t="n">
        <f aca="false">IF(AND('Bonding Program'!$S$53=1,CA$3='Bonding Program'!$H$53),'Bonding Program'!$AA$53,0)-IF(CA$3&lt;='Bonding Program'!$C$8,IF(AND('Bonding Program'!$K$53&lt;&gt;"",CA$3='Bonding Program'!$K$53),'Bonding Program'!$J$53,0)-IF(AND('Bonding Program'!$M$53&lt;&gt;"",CA$3='Bonding Program'!$M$53),'Bonding Program'!$L$53,0)-IF(AND('Bonding Program'!$P$53&lt;&gt;"",CA$3='Bonding Program'!$P$53),'Bonding Program'!$O$53,0)-IF(AND('Bonding Program'!$R$53&lt;&gt;"",CA$3='Bonding Program'!$R$53),'Bonding Program'!$Q$53,0),0)</f>
        <v>0</v>
      </c>
      <c r="CB194" s="19" t="n">
        <f aca="false">IF(AND('Bonding Program'!$S$53=1,CB$3='Bonding Program'!$H$53),'Bonding Program'!$AA$53,0)-IF(CB$3&lt;='Bonding Program'!$C$8,IF(AND('Bonding Program'!$K$53&lt;&gt;"",CB$3='Bonding Program'!$K$53),'Bonding Program'!$J$53,0)-IF(AND('Bonding Program'!$M$53&lt;&gt;"",CB$3='Bonding Program'!$M$53),'Bonding Program'!$L$53,0)-IF(AND('Bonding Program'!$P$53&lt;&gt;"",CB$3='Bonding Program'!$P$53),'Bonding Program'!$O$53,0)-IF(AND('Bonding Program'!$R$53&lt;&gt;"",CB$3='Bonding Program'!$R$53),'Bonding Program'!$Q$53,0),0)</f>
        <v>0</v>
      </c>
      <c r="CC194" s="19" t="n">
        <f aca="false">IF(AND('Bonding Program'!$S$53=1,CC$3='Bonding Program'!$H$53),'Bonding Program'!$AA$53,0)-IF(CC$3&lt;='Bonding Program'!$C$8,IF(AND('Bonding Program'!$K$53&lt;&gt;"",CC$3='Bonding Program'!$K$53),'Bonding Program'!$J$53,0)-IF(AND('Bonding Program'!$M$53&lt;&gt;"",CC$3='Bonding Program'!$M$53),'Bonding Program'!$L$53,0)-IF(AND('Bonding Program'!$P$53&lt;&gt;"",CC$3='Bonding Program'!$P$53),'Bonding Program'!$O$53,0)-IF(AND('Bonding Program'!$R$53&lt;&gt;"",CC$3='Bonding Program'!$R$53),'Bonding Program'!$Q$53,0),0)</f>
        <v>0</v>
      </c>
      <c r="CD194" s="19" t="n">
        <f aca="false">IF(AND('Bonding Program'!$S$53=1,CD$3='Bonding Program'!$H$53),'Bonding Program'!$AA$53,0)-IF(CD$3&lt;='Bonding Program'!$C$8,IF(AND('Bonding Program'!$K$53&lt;&gt;"",CD$3='Bonding Program'!$K$53),'Bonding Program'!$J$53,0)-IF(AND('Bonding Program'!$M$53&lt;&gt;"",CD$3='Bonding Program'!$M$53),'Bonding Program'!$L$53,0)-IF(AND('Bonding Program'!$P$53&lt;&gt;"",CD$3='Bonding Program'!$P$53),'Bonding Program'!$O$53,0)-IF(AND('Bonding Program'!$R$53&lt;&gt;"",CD$3='Bonding Program'!$R$53),'Bonding Program'!$Q$53,0),0)</f>
        <v>0</v>
      </c>
      <c r="CE194" s="19" t="n">
        <f aca="false">IF(AND('Bonding Program'!$S$53=1,CE$3='Bonding Program'!$H$53),'Bonding Program'!$AA$53,0)-IF(CE$3&lt;='Bonding Program'!$C$8,IF(AND('Bonding Program'!$K$53&lt;&gt;"",CE$3='Bonding Program'!$K$53),'Bonding Program'!$J$53,0)-IF(AND('Bonding Program'!$M$53&lt;&gt;"",CE$3='Bonding Program'!$M$53),'Bonding Program'!$L$53,0)-IF(AND('Bonding Program'!$P$53&lt;&gt;"",CE$3='Bonding Program'!$P$53),'Bonding Program'!$O$53,0)-IF(AND('Bonding Program'!$R$53&lt;&gt;"",CE$3='Bonding Program'!$R$53),'Bonding Program'!$Q$53,0),0)</f>
        <v>0</v>
      </c>
      <c r="CF194" s="19" t="n">
        <f aca="false">IF(AND('Bonding Program'!$S$53=1,CF$3='Bonding Program'!$H$53),'Bonding Program'!$AA$53,0)-IF(CF$3&lt;='Bonding Program'!$C$8,IF(AND('Bonding Program'!$K$53&lt;&gt;"",CF$3='Bonding Program'!$K$53),'Bonding Program'!$J$53,0)-IF(AND('Bonding Program'!$M$53&lt;&gt;"",CF$3='Bonding Program'!$M$53),'Bonding Program'!$L$53,0)-IF(AND('Bonding Program'!$P$53&lt;&gt;"",CF$3='Bonding Program'!$P$53),'Bonding Program'!$O$53,0)-IF(AND('Bonding Program'!$R$53&lt;&gt;"",CF$3='Bonding Program'!$R$53),'Bonding Program'!$Q$53,0),0)</f>
        <v>0</v>
      </c>
      <c r="CG194" s="19" t="n">
        <f aca="false">IF(AND('Bonding Program'!$S$53=1,CG$3='Bonding Program'!$H$53),'Bonding Program'!$AA$53,0)-IF(CG$3&lt;='Bonding Program'!$C$8,IF(AND('Bonding Program'!$K$53&lt;&gt;"",CG$3='Bonding Program'!$K$53),'Bonding Program'!$J$53,0)-IF(AND('Bonding Program'!$M$53&lt;&gt;"",CG$3='Bonding Program'!$M$53),'Bonding Program'!$L$53,0)-IF(AND('Bonding Program'!$P$53&lt;&gt;"",CG$3='Bonding Program'!$P$53),'Bonding Program'!$O$53,0)-IF(AND('Bonding Program'!$R$53&lt;&gt;"",CG$3='Bonding Program'!$R$53),'Bonding Program'!$Q$53,0),0)</f>
        <v>0</v>
      </c>
      <c r="CH194" s="19" t="n">
        <f aca="false">IF(AND('Bonding Program'!$S$53=1,CH$3='Bonding Program'!$H$53),'Bonding Program'!$AA$53,0)-IF(CH$3&lt;='Bonding Program'!$C$8,IF(AND('Bonding Program'!$K$53&lt;&gt;"",CH$3='Bonding Program'!$K$53),'Bonding Program'!$J$53,0)-IF(AND('Bonding Program'!$M$53&lt;&gt;"",CH$3='Bonding Program'!$M$53),'Bonding Program'!$L$53,0)-IF(AND('Bonding Program'!$P$53&lt;&gt;"",CH$3='Bonding Program'!$P$53),'Bonding Program'!$O$53,0)-IF(AND('Bonding Program'!$R$53&lt;&gt;"",CH$3='Bonding Program'!$R$53),'Bonding Program'!$Q$53,0),0)</f>
        <v>0</v>
      </c>
      <c r="CI194" s="19" t="n">
        <f aca="false">IF(AND('Bonding Program'!$S$53=1,CI$3='Bonding Program'!$H$53),'Bonding Program'!$AA$53,0)-IF(CI$3&lt;='Bonding Program'!$C$8,IF(AND('Bonding Program'!$K$53&lt;&gt;"",CI$3='Bonding Program'!$K$53),'Bonding Program'!$J$53,0)-IF(AND('Bonding Program'!$M$53&lt;&gt;"",CI$3='Bonding Program'!$M$53),'Bonding Program'!$L$53,0)-IF(AND('Bonding Program'!$P$53&lt;&gt;"",CI$3='Bonding Program'!$P$53),'Bonding Program'!$O$53,0)-IF(AND('Bonding Program'!$R$53&lt;&gt;"",CI$3='Bonding Program'!$R$53),'Bonding Program'!$Q$53,0),0)</f>
        <v>0</v>
      </c>
      <c r="CJ194" s="19" t="n">
        <f aca="false">IF(AND('Bonding Program'!$S$53=1,CJ$3='Bonding Program'!$H$53),'Bonding Program'!$AA$53,0)-IF(CJ$3&lt;='Bonding Program'!$C$8,IF(AND('Bonding Program'!$K$53&lt;&gt;"",CJ$3='Bonding Program'!$K$53),'Bonding Program'!$J$53,0)-IF(AND('Bonding Program'!$M$53&lt;&gt;"",CJ$3='Bonding Program'!$M$53),'Bonding Program'!$L$53,0)-IF(AND('Bonding Program'!$P$53&lt;&gt;"",CJ$3='Bonding Program'!$P$53),'Bonding Program'!$O$53,0)-IF(AND('Bonding Program'!$R$53&lt;&gt;"",CJ$3='Bonding Program'!$R$53),'Bonding Program'!$Q$53,0),0)</f>
        <v>0</v>
      </c>
      <c r="CK194" s="19" t="n">
        <f aca="false">IF(AND('Bonding Program'!$S$53=1,CK$3='Bonding Program'!$H$53),'Bonding Program'!$AA$53,0)-IF(CK$3&lt;='Bonding Program'!$C$8,IF(AND('Bonding Program'!$K$53&lt;&gt;"",CK$3='Bonding Program'!$K$53),'Bonding Program'!$J$53,0)-IF(AND('Bonding Program'!$M$53&lt;&gt;"",CK$3='Bonding Program'!$M$53),'Bonding Program'!$L$53,0)-IF(AND('Bonding Program'!$P$53&lt;&gt;"",CK$3='Bonding Program'!$P$53),'Bonding Program'!$O$53,0)-IF(AND('Bonding Program'!$R$53&lt;&gt;"",CK$3='Bonding Program'!$R$53),'Bonding Program'!$Q$53,0),0)</f>
        <v>0</v>
      </c>
      <c r="CL194" s="19" t="n">
        <f aca="false">IF(AND('Bonding Program'!$S$53=1,CL$3='Bonding Program'!$H$53),'Bonding Program'!$AA$53,0)-IF(CL$3&lt;='Bonding Program'!$C$8,IF(AND('Bonding Program'!$K$53&lt;&gt;"",CL$3='Bonding Program'!$K$53),'Bonding Program'!$J$53,0)-IF(AND('Bonding Program'!$M$53&lt;&gt;"",CL$3='Bonding Program'!$M$53),'Bonding Program'!$L$53,0)-IF(AND('Bonding Program'!$P$53&lt;&gt;"",CL$3='Bonding Program'!$P$53),'Bonding Program'!$O$53,0)-IF(AND('Bonding Program'!$R$53&lt;&gt;"",CL$3='Bonding Program'!$R$53),'Bonding Program'!$Q$53,0),0)</f>
        <v>0</v>
      </c>
      <c r="CM194" s="19" t="n">
        <f aca="false">IF(AND('Bonding Program'!$S$53=1,CM$3='Bonding Program'!$H$53),'Bonding Program'!$AA$53,0)-IF(CM$3&lt;='Bonding Program'!$C$8,IF(AND('Bonding Program'!$K$53&lt;&gt;"",CM$3='Bonding Program'!$K$53),'Bonding Program'!$J$53,0)-IF(AND('Bonding Program'!$M$53&lt;&gt;"",CM$3='Bonding Program'!$M$53),'Bonding Program'!$L$53,0)-IF(AND('Bonding Program'!$P$53&lt;&gt;"",CM$3='Bonding Program'!$P$53),'Bonding Program'!$O$53,0)-IF(AND('Bonding Program'!$R$53&lt;&gt;"",CM$3='Bonding Program'!$R$53),'Bonding Program'!$Q$53,0),0)</f>
        <v>0</v>
      </c>
      <c r="CN194" s="19" t="n">
        <f aca="false">IF(AND('Bonding Program'!$S$53=1,CN$3='Bonding Program'!$H$53),'Bonding Program'!$AA$53,0)-IF(CN$3&lt;='Bonding Program'!$C$8,IF(AND('Bonding Program'!$K$53&lt;&gt;"",CN$3='Bonding Program'!$K$53),'Bonding Program'!$J$53,0)-IF(AND('Bonding Program'!$M$53&lt;&gt;"",CN$3='Bonding Program'!$M$53),'Bonding Program'!$L$53,0)-IF(AND('Bonding Program'!$P$53&lt;&gt;"",CN$3='Bonding Program'!$P$53),'Bonding Program'!$O$53,0)-IF(AND('Bonding Program'!$R$53&lt;&gt;"",CN$3='Bonding Program'!$R$53),'Bonding Program'!$Q$53,0),0)</f>
        <v>0</v>
      </c>
      <c r="CO194" s="19" t="n">
        <f aca="false">IF(AND('Bonding Program'!$S$53=1,CO$3='Bonding Program'!$H$53),'Bonding Program'!$AA$53,0)-IF(CO$3&lt;='Bonding Program'!$C$8,IF(AND('Bonding Program'!$K$53&lt;&gt;"",CO$3='Bonding Program'!$K$53),'Bonding Program'!$J$53,0)-IF(AND('Bonding Program'!$M$53&lt;&gt;"",CO$3='Bonding Program'!$M$53),'Bonding Program'!$L$53,0)-IF(AND('Bonding Program'!$P$53&lt;&gt;"",CO$3='Bonding Program'!$P$53),'Bonding Program'!$O$53,0)-IF(AND('Bonding Program'!$R$53&lt;&gt;"",CO$3='Bonding Program'!$R$53),'Bonding Program'!$Q$53,0),0)</f>
        <v>0</v>
      </c>
      <c r="CP194" s="19" t="n">
        <f aca="false">IF(AND('Bonding Program'!$S$53=1,CP$3='Bonding Program'!$H$53),'Bonding Program'!$AA$53,0)-IF(CP$3&lt;='Bonding Program'!$C$8,IF(AND('Bonding Program'!$K$53&lt;&gt;"",CP$3='Bonding Program'!$K$53),'Bonding Program'!$J$53,0)-IF(AND('Bonding Program'!$M$53&lt;&gt;"",CP$3='Bonding Program'!$M$53),'Bonding Program'!$L$53,0)-IF(AND('Bonding Program'!$P$53&lt;&gt;"",CP$3='Bonding Program'!$P$53),'Bonding Program'!$O$53,0)-IF(AND('Bonding Program'!$R$53&lt;&gt;"",CP$3='Bonding Program'!$R$53),'Bonding Program'!$Q$53,0),0)</f>
        <v>0</v>
      </c>
      <c r="CQ194" s="19" t="n">
        <f aca="false">IF(AND('Bonding Program'!$S$53=1,CQ$3='Bonding Program'!$H$53),'Bonding Program'!$AA$53,0)-IF(CQ$3&lt;='Bonding Program'!$C$8,IF(AND('Bonding Program'!$K$53&lt;&gt;"",CQ$3='Bonding Program'!$K$53),'Bonding Program'!$J$53,0)-IF(AND('Bonding Program'!$M$53&lt;&gt;"",CQ$3='Bonding Program'!$M$53),'Bonding Program'!$L$53,0)-IF(AND('Bonding Program'!$P$53&lt;&gt;"",CQ$3='Bonding Program'!$P$53),'Bonding Program'!$O$53,0)-IF(AND('Bonding Program'!$R$53&lt;&gt;"",CQ$3='Bonding Program'!$R$53),'Bonding Program'!$Q$53,0),0)</f>
        <v>0</v>
      </c>
      <c r="CR194" s="19" t="n">
        <f aca="false">IF(AND('Bonding Program'!$S$53=1,CR$3='Bonding Program'!$H$53),'Bonding Program'!$AA$53,0)-IF(CR$3&lt;='Bonding Program'!$C$8,IF(AND('Bonding Program'!$K$53&lt;&gt;"",CR$3='Bonding Program'!$K$53),'Bonding Program'!$J$53,0)-IF(AND('Bonding Program'!$M$53&lt;&gt;"",CR$3='Bonding Program'!$M$53),'Bonding Program'!$L$53,0)-IF(AND('Bonding Program'!$P$53&lt;&gt;"",CR$3='Bonding Program'!$P$53),'Bonding Program'!$O$53,0)-IF(AND('Bonding Program'!$R$53&lt;&gt;"",CR$3='Bonding Program'!$R$53),'Bonding Program'!$Q$53,0),0)</f>
        <v>0</v>
      </c>
      <c r="CS194" s="19" t="n">
        <f aca="false">IF(AND('Bonding Program'!$S$53=1,CS$3='Bonding Program'!$H$53),'Bonding Program'!$AA$53,0)-IF(CS$3&lt;='Bonding Program'!$C$8,IF(AND('Bonding Program'!$K$53&lt;&gt;"",CS$3='Bonding Program'!$K$53),'Bonding Program'!$J$53,0)-IF(AND('Bonding Program'!$M$53&lt;&gt;"",CS$3='Bonding Program'!$M$53),'Bonding Program'!$L$53,0)-IF(AND('Bonding Program'!$P$53&lt;&gt;"",CS$3='Bonding Program'!$P$53),'Bonding Program'!$O$53,0)-IF(AND('Bonding Program'!$R$53&lt;&gt;"",CS$3='Bonding Program'!$R$53),'Bonding Program'!$Q$53,0),0)</f>
        <v>0</v>
      </c>
      <c r="CT194" s="19" t="n">
        <f aca="false">IF(AND('Bonding Program'!$S$53=1,CT$3='Bonding Program'!$H$53),'Bonding Program'!$AA$53,0)-IF(CT$3&lt;='Bonding Program'!$C$8,IF(AND('Bonding Program'!$K$53&lt;&gt;"",CT$3='Bonding Program'!$K$53),'Bonding Program'!$J$53,0)-IF(AND('Bonding Program'!$M$53&lt;&gt;"",CT$3='Bonding Program'!$M$53),'Bonding Program'!$L$53,0)-IF(AND('Bonding Program'!$P$53&lt;&gt;"",CT$3='Bonding Program'!$P$53),'Bonding Program'!$O$53,0)-IF(AND('Bonding Program'!$R$53&lt;&gt;"",CT$3='Bonding Program'!$R$53),'Bonding Program'!$Q$53,0),0)</f>
        <v>0</v>
      </c>
      <c r="CU194" s="19" t="n">
        <f aca="false">IF(AND('Bonding Program'!$S$53=1,CU$3='Bonding Program'!$H$53),'Bonding Program'!$AA$53,0)-IF(CU$3&lt;='Bonding Program'!$C$8,IF(AND('Bonding Program'!$K$53&lt;&gt;"",CU$3='Bonding Program'!$K$53),'Bonding Program'!$J$53,0)-IF(AND('Bonding Program'!$M$53&lt;&gt;"",CU$3='Bonding Program'!$M$53),'Bonding Program'!$L$53,0)-IF(AND('Bonding Program'!$P$53&lt;&gt;"",CU$3='Bonding Program'!$P$53),'Bonding Program'!$O$53,0)-IF(AND('Bonding Program'!$R$53&lt;&gt;"",CU$3='Bonding Program'!$R$53),'Bonding Program'!$Q$53,0),0)</f>
        <v>0</v>
      </c>
      <c r="CV194" s="19" t="n">
        <f aca="false">IF(AND('Bonding Program'!$S$53=1,CV$3='Bonding Program'!$H$53),'Bonding Program'!$AA$53,0)-IF(CV$3&lt;='Bonding Program'!$C$8,IF(AND('Bonding Program'!$K$53&lt;&gt;"",CV$3='Bonding Program'!$K$53),'Bonding Program'!$J$53,0)-IF(AND('Bonding Program'!$M$53&lt;&gt;"",CV$3='Bonding Program'!$M$53),'Bonding Program'!$L$53,0)-IF(AND('Bonding Program'!$P$53&lt;&gt;"",CV$3='Bonding Program'!$P$53),'Bonding Program'!$O$53,0)-IF(AND('Bonding Program'!$R$53&lt;&gt;"",CV$3='Bonding Program'!$R$53),'Bonding Program'!$Q$53,0),0)</f>
        <v>0</v>
      </c>
      <c r="CW194" s="19" t="n">
        <f aca="false">IF(AND('Bonding Program'!$S$53=1,CW$3='Bonding Program'!$H$53),'Bonding Program'!$AA$53,0)-IF(CW$3&lt;='Bonding Program'!$C$8,IF(AND('Bonding Program'!$K$53&lt;&gt;"",CW$3='Bonding Program'!$K$53),'Bonding Program'!$J$53,0)-IF(AND('Bonding Program'!$M$53&lt;&gt;"",CW$3='Bonding Program'!$M$53),'Bonding Program'!$L$53,0)-IF(AND('Bonding Program'!$P$53&lt;&gt;"",CW$3='Bonding Program'!$P$53),'Bonding Program'!$O$53,0)-IF(AND('Bonding Program'!$R$53&lt;&gt;"",CW$3='Bonding Program'!$R$53),'Bonding Program'!$Q$53,0),0)</f>
        <v>0</v>
      </c>
      <c r="CX194" s="19" t="n">
        <f aca="false">IF(AND('Bonding Program'!$S$53=1,CX$3='Bonding Program'!$H$53),'Bonding Program'!$AA$53,0)-IF(CX$3&lt;='Bonding Program'!$C$8,IF(AND('Bonding Program'!$K$53&lt;&gt;"",CX$3='Bonding Program'!$K$53),'Bonding Program'!$J$53,0)-IF(AND('Bonding Program'!$M$53&lt;&gt;"",CX$3='Bonding Program'!$M$53),'Bonding Program'!$L$53,0)-IF(AND('Bonding Program'!$P$53&lt;&gt;"",CX$3='Bonding Program'!$P$53),'Bonding Program'!$O$53,0)-IF(AND('Bonding Program'!$R$53&lt;&gt;"",CX$3='Bonding Program'!$R$53),'Bonding Program'!$Q$53,0),0)</f>
        <v>0</v>
      </c>
      <c r="CY194" s="19" t="n">
        <f aca="false">IF(AND('Bonding Program'!$S$53=1,CY$3='Bonding Program'!$H$53),'Bonding Program'!$AA$53,0)-IF(CY$3&lt;='Bonding Program'!$C$8,IF(AND('Bonding Program'!$K$53&lt;&gt;"",CY$3='Bonding Program'!$K$53),'Bonding Program'!$J$53,0)-IF(AND('Bonding Program'!$M$53&lt;&gt;"",CY$3='Bonding Program'!$M$53),'Bonding Program'!$L$53,0)-IF(AND('Bonding Program'!$P$53&lt;&gt;"",CY$3='Bonding Program'!$P$53),'Bonding Program'!$O$53,0)-IF(AND('Bonding Program'!$R$53&lt;&gt;"",CY$3='Bonding Program'!$R$53),'Bonding Program'!$Q$53,0),0)</f>
        <v>0</v>
      </c>
      <c r="CZ194" s="19" t="n">
        <f aca="false">IF(AND('Bonding Program'!$S$53=1,CZ$3='Bonding Program'!$H$53),'Bonding Program'!$AA$53,0)-IF(CZ$3&lt;='Bonding Program'!$C$8,IF(AND('Bonding Program'!$K$53&lt;&gt;"",CZ$3='Bonding Program'!$K$53),'Bonding Program'!$J$53,0)-IF(AND('Bonding Program'!$M$53&lt;&gt;"",CZ$3='Bonding Program'!$M$53),'Bonding Program'!$L$53,0)-IF(AND('Bonding Program'!$P$53&lt;&gt;"",CZ$3='Bonding Program'!$P$53),'Bonding Program'!$O$53,0)-IF(AND('Bonding Program'!$R$53&lt;&gt;"",CZ$3='Bonding Program'!$R$53),'Bonding Program'!$Q$53,0),0)</f>
        <v>0</v>
      </c>
      <c r="DA194" s="19" t="n">
        <f aca="false">IF(AND('Bonding Program'!$S$53=1,DA$3='Bonding Program'!$H$53),'Bonding Program'!$AA$53,0)-IF(DA$3&lt;='Bonding Program'!$C$8,IF(AND('Bonding Program'!$K$53&lt;&gt;"",DA$3='Bonding Program'!$K$53),'Bonding Program'!$J$53,0)-IF(AND('Bonding Program'!$M$53&lt;&gt;"",DA$3='Bonding Program'!$M$53),'Bonding Program'!$L$53,0)-IF(AND('Bonding Program'!$P$53&lt;&gt;"",DA$3='Bonding Program'!$P$53),'Bonding Program'!$O$53,0)-IF(AND('Bonding Program'!$R$53&lt;&gt;"",DA$3='Bonding Program'!$R$53),'Bonding Program'!$Q$53,0),0)</f>
        <v>0</v>
      </c>
      <c r="DB194" s="19" t="n">
        <f aca="false">IF(AND('Bonding Program'!$S$53=1,DB$3='Bonding Program'!$H$53),'Bonding Program'!$AA$53,0)-IF(DB$3&lt;='Bonding Program'!$C$8,IF(AND('Bonding Program'!$K$53&lt;&gt;"",DB$3='Bonding Program'!$K$53),'Bonding Program'!$J$53,0)-IF(AND('Bonding Program'!$M$53&lt;&gt;"",DB$3='Bonding Program'!$M$53),'Bonding Program'!$L$53,0)-IF(AND('Bonding Program'!$P$53&lt;&gt;"",DB$3='Bonding Program'!$P$53),'Bonding Program'!$O$53,0)-IF(AND('Bonding Program'!$R$53&lt;&gt;"",DB$3='Bonding Program'!$R$53),'Bonding Program'!$Q$53,0),0)</f>
        <v>0</v>
      </c>
      <c r="DC194" s="19" t="n">
        <f aca="false">IF(AND('Bonding Program'!$S$53=1,DC$3='Bonding Program'!$H$53),'Bonding Program'!$AA$53,0)-IF(DC$3&lt;='Bonding Program'!$C$8,IF(AND('Bonding Program'!$K$53&lt;&gt;"",DC$3='Bonding Program'!$K$53),'Bonding Program'!$J$53,0)-IF(AND('Bonding Program'!$M$53&lt;&gt;"",DC$3='Bonding Program'!$M$53),'Bonding Program'!$L$53,0)-IF(AND('Bonding Program'!$P$53&lt;&gt;"",DC$3='Bonding Program'!$P$53),'Bonding Program'!$O$53,0)-IF(AND('Bonding Program'!$R$53&lt;&gt;"",DC$3='Bonding Program'!$R$53),'Bonding Program'!$Q$53,0),0)</f>
        <v>0</v>
      </c>
      <c r="DD194" s="19" t="n">
        <f aca="false">IF(AND('Bonding Program'!$S$53=1,DD$3='Bonding Program'!$H$53),'Bonding Program'!$AA$53,0)-IF(DD$3&lt;='Bonding Program'!$C$8,IF(AND('Bonding Program'!$K$53&lt;&gt;"",DD$3='Bonding Program'!$K$53),'Bonding Program'!$J$53,0)-IF(AND('Bonding Program'!$M$53&lt;&gt;"",DD$3='Bonding Program'!$M$53),'Bonding Program'!$L$53,0)-IF(AND('Bonding Program'!$P$53&lt;&gt;"",DD$3='Bonding Program'!$P$53),'Bonding Program'!$O$53,0)-IF(AND('Bonding Program'!$R$53&lt;&gt;"",DD$3='Bonding Program'!$R$53),'Bonding Program'!$Q$53,0),0)</f>
        <v>0</v>
      </c>
      <c r="DE194" s="19" t="n">
        <f aca="false">IF(AND('Bonding Program'!$S$53=1,DE$3='Bonding Program'!$H$53),'Bonding Program'!$AA$53,0)-IF(DE$3&lt;='Bonding Program'!$C$8,IF(AND('Bonding Program'!$K$53&lt;&gt;"",DE$3='Bonding Program'!$K$53),'Bonding Program'!$J$53,0)-IF(AND('Bonding Program'!$M$53&lt;&gt;"",DE$3='Bonding Program'!$M$53),'Bonding Program'!$L$53,0)-IF(AND('Bonding Program'!$P$53&lt;&gt;"",DE$3='Bonding Program'!$P$53),'Bonding Program'!$O$53,0)-IF(AND('Bonding Program'!$R$53&lt;&gt;"",DE$3='Bonding Program'!$R$53),'Bonding Program'!$Q$53,0),0)</f>
        <v>0</v>
      </c>
    </row>
    <row r="195" customFormat="false" ht="15" hidden="false" customHeight="true" outlineLevel="1" collapsed="false">
      <c r="A195" s="28" t="s">
        <v>50</v>
      </c>
      <c r="B195" s="19" t="n">
        <f aca="false">IF(AND('Bonding Program'!$S$54=1,B$3='Bonding Program'!$H$54),'Bonding Program'!$AA$54,0)-IF(B$3&lt;='Bonding Program'!$C$8,IF(AND('Bonding Program'!$K$54&lt;&gt;"",B$3='Bonding Program'!$K$54),'Bonding Program'!$J$54,0)-IF(AND('Bonding Program'!$M$54&lt;&gt;"",B$3='Bonding Program'!$M$54),'Bonding Program'!$L$54,0)-IF(AND('Bonding Program'!$P$54&lt;&gt;"",B$3='Bonding Program'!$P$54),'Bonding Program'!$O$54,0)-IF(AND('Bonding Program'!$R$54&lt;&gt;"",B$3='Bonding Program'!$R$54),'Bonding Program'!$Q$54,0),0)</f>
        <v>0</v>
      </c>
      <c r="C195" s="19" t="n">
        <f aca="false">IF(AND('Bonding Program'!$S$54=1,C$3='Bonding Program'!$H$54),'Bonding Program'!$AA$54,0)-IF(C$3&lt;='Bonding Program'!$C$8,IF(AND('Bonding Program'!$K$54&lt;&gt;"",C$3='Bonding Program'!$K$54),'Bonding Program'!$J$54,0)-IF(AND('Bonding Program'!$M$54&lt;&gt;"",C$3='Bonding Program'!$M$54),'Bonding Program'!$L$54,0)-IF(AND('Bonding Program'!$P$54&lt;&gt;"",C$3='Bonding Program'!$P$54),'Bonding Program'!$O$54,0)-IF(AND('Bonding Program'!$R$54&lt;&gt;"",C$3='Bonding Program'!$R$54),'Bonding Program'!$Q$54,0),0)</f>
        <v>0</v>
      </c>
      <c r="D195" s="19" t="n">
        <f aca="false">IF(AND('Bonding Program'!$S$54=1,D$3='Bonding Program'!$H$54),'Bonding Program'!$AA$54,0)-IF(D$3&lt;='Bonding Program'!$C$8,IF(AND('Bonding Program'!$K$54&lt;&gt;"",D$3='Bonding Program'!$K$54),'Bonding Program'!$J$54,0)-IF(AND('Bonding Program'!$M$54&lt;&gt;"",D$3='Bonding Program'!$M$54),'Bonding Program'!$L$54,0)-IF(AND('Bonding Program'!$P$54&lt;&gt;"",D$3='Bonding Program'!$P$54),'Bonding Program'!$O$54,0)-IF(AND('Bonding Program'!$R$54&lt;&gt;"",D$3='Bonding Program'!$R$54),'Bonding Program'!$Q$54,0),0)</f>
        <v>0</v>
      </c>
      <c r="E195" s="19" t="n">
        <f aca="false">IF(AND('Bonding Program'!$S$54=1,E$3='Bonding Program'!$H$54),'Bonding Program'!$AA$54,0)-IF(E$3&lt;='Bonding Program'!$C$8,IF(AND('Bonding Program'!$K$54&lt;&gt;"",E$3='Bonding Program'!$K$54),'Bonding Program'!$J$54,0)-IF(AND('Bonding Program'!$M$54&lt;&gt;"",E$3='Bonding Program'!$M$54),'Bonding Program'!$L$54,0)-IF(AND('Bonding Program'!$P$54&lt;&gt;"",E$3='Bonding Program'!$P$54),'Bonding Program'!$O$54,0)-IF(AND('Bonding Program'!$R$54&lt;&gt;"",E$3='Bonding Program'!$R$54),'Bonding Program'!$Q$54,0),0)</f>
        <v>0</v>
      </c>
      <c r="F195" s="19" t="n">
        <f aca="false">IF(AND('Bonding Program'!$S$54=1,F$3='Bonding Program'!$H$54),'Bonding Program'!$AA$54,0)-IF(F$3&lt;='Bonding Program'!$C$8,IF(AND('Bonding Program'!$K$54&lt;&gt;"",F$3='Bonding Program'!$K$54),'Bonding Program'!$J$54,0)-IF(AND('Bonding Program'!$M$54&lt;&gt;"",F$3='Bonding Program'!$M$54),'Bonding Program'!$L$54,0)-IF(AND('Bonding Program'!$P$54&lt;&gt;"",F$3='Bonding Program'!$P$54),'Bonding Program'!$O$54,0)-IF(AND('Bonding Program'!$R$54&lt;&gt;"",F$3='Bonding Program'!$R$54),'Bonding Program'!$Q$54,0),0)</f>
        <v>0</v>
      </c>
      <c r="G195" s="19" t="n">
        <f aca="false">IF(AND('Bonding Program'!$S$54=1,G$3='Bonding Program'!$H$54),'Bonding Program'!$AA$54,0)-IF(G$3&lt;='Bonding Program'!$C$8,IF(AND('Bonding Program'!$K$54&lt;&gt;"",G$3='Bonding Program'!$K$54),'Bonding Program'!$J$54,0)-IF(AND('Bonding Program'!$M$54&lt;&gt;"",G$3='Bonding Program'!$M$54),'Bonding Program'!$L$54,0)-IF(AND('Bonding Program'!$P$54&lt;&gt;"",G$3='Bonding Program'!$P$54),'Bonding Program'!$O$54,0)-IF(AND('Bonding Program'!$R$54&lt;&gt;"",G$3='Bonding Program'!$R$54),'Bonding Program'!$Q$54,0),0)</f>
        <v>0</v>
      </c>
      <c r="H195" s="19" t="n">
        <f aca="false">IF(AND('Bonding Program'!$S$54=1,H$3='Bonding Program'!$H$54),'Bonding Program'!$AA$54,0)-IF(H$3&lt;='Bonding Program'!$C$8,IF(AND('Bonding Program'!$K$54&lt;&gt;"",H$3='Bonding Program'!$K$54),'Bonding Program'!$J$54,0)-IF(AND('Bonding Program'!$M$54&lt;&gt;"",H$3='Bonding Program'!$M$54),'Bonding Program'!$L$54,0)-IF(AND('Bonding Program'!$P$54&lt;&gt;"",H$3='Bonding Program'!$P$54),'Bonding Program'!$O$54,0)-IF(AND('Bonding Program'!$R$54&lt;&gt;"",H$3='Bonding Program'!$R$54),'Bonding Program'!$Q$54,0),0)</f>
        <v>0</v>
      </c>
      <c r="I195" s="19" t="n">
        <f aca="false">IF(AND('Bonding Program'!$S$54=1,I$3='Bonding Program'!$H$54),'Bonding Program'!$AA$54,0)-IF(I$3&lt;='Bonding Program'!$C$8,IF(AND('Bonding Program'!$K$54&lt;&gt;"",I$3='Bonding Program'!$K$54),'Bonding Program'!$J$54,0)-IF(AND('Bonding Program'!$M$54&lt;&gt;"",I$3='Bonding Program'!$M$54),'Bonding Program'!$L$54,0)-IF(AND('Bonding Program'!$P$54&lt;&gt;"",I$3='Bonding Program'!$P$54),'Bonding Program'!$O$54,0)-IF(AND('Bonding Program'!$R$54&lt;&gt;"",I$3='Bonding Program'!$R$54),'Bonding Program'!$Q$54,0),0)</f>
        <v>0</v>
      </c>
      <c r="J195" s="19" t="n">
        <f aca="false">IF(AND('Bonding Program'!$S$54=1,J$3='Bonding Program'!$H$54),'Bonding Program'!$AA$54,0)-IF(J$3&lt;='Bonding Program'!$C$8,IF(AND('Bonding Program'!$K$54&lt;&gt;"",J$3='Bonding Program'!$K$54),'Bonding Program'!$J$54,0)-IF(AND('Bonding Program'!$M$54&lt;&gt;"",J$3='Bonding Program'!$M$54),'Bonding Program'!$L$54,0)-IF(AND('Bonding Program'!$P$54&lt;&gt;"",J$3='Bonding Program'!$P$54),'Bonding Program'!$O$54,0)-IF(AND('Bonding Program'!$R$54&lt;&gt;"",J$3='Bonding Program'!$R$54),'Bonding Program'!$Q$54,0),0)</f>
        <v>0</v>
      </c>
      <c r="K195" s="19" t="n">
        <f aca="false">IF(AND('Bonding Program'!$S$54=1,K$3='Bonding Program'!$H$54),'Bonding Program'!$AA$54,0)-IF(K$3&lt;='Bonding Program'!$C$8,IF(AND('Bonding Program'!$K$54&lt;&gt;"",K$3='Bonding Program'!$K$54),'Bonding Program'!$J$54,0)-IF(AND('Bonding Program'!$M$54&lt;&gt;"",K$3='Bonding Program'!$M$54),'Bonding Program'!$L$54,0)-IF(AND('Bonding Program'!$P$54&lt;&gt;"",K$3='Bonding Program'!$P$54),'Bonding Program'!$O$54,0)-IF(AND('Bonding Program'!$R$54&lt;&gt;"",K$3='Bonding Program'!$R$54),'Bonding Program'!$Q$54,0),0)</f>
        <v>0</v>
      </c>
      <c r="L195" s="19" t="n">
        <f aca="false">IF(AND('Bonding Program'!$S$54=1,L$3='Bonding Program'!$H$54),'Bonding Program'!$AA$54,0)-IF(L$3&lt;='Bonding Program'!$C$8,IF(AND('Bonding Program'!$K$54&lt;&gt;"",L$3='Bonding Program'!$K$54),'Bonding Program'!$J$54,0)-IF(AND('Bonding Program'!$M$54&lt;&gt;"",L$3='Bonding Program'!$M$54),'Bonding Program'!$L$54,0)-IF(AND('Bonding Program'!$P$54&lt;&gt;"",L$3='Bonding Program'!$P$54),'Bonding Program'!$O$54,0)-IF(AND('Bonding Program'!$R$54&lt;&gt;"",L$3='Bonding Program'!$R$54),'Bonding Program'!$Q$54,0),0)</f>
        <v>0</v>
      </c>
      <c r="M195" s="19" t="n">
        <f aca="false">IF(AND('Bonding Program'!$S$54=1,M$3='Bonding Program'!$H$54),'Bonding Program'!$AA$54,0)-IF(M$3&lt;='Bonding Program'!$C$8,IF(AND('Bonding Program'!$K$54&lt;&gt;"",M$3='Bonding Program'!$K$54),'Bonding Program'!$J$54,0)-IF(AND('Bonding Program'!$M$54&lt;&gt;"",M$3='Bonding Program'!$M$54),'Bonding Program'!$L$54,0)-IF(AND('Bonding Program'!$P$54&lt;&gt;"",M$3='Bonding Program'!$P$54),'Bonding Program'!$O$54,0)-IF(AND('Bonding Program'!$R$54&lt;&gt;"",M$3='Bonding Program'!$R$54),'Bonding Program'!$Q$54,0),0)</f>
        <v>0</v>
      </c>
      <c r="N195" s="19" t="n">
        <f aca="false">IF(AND('Bonding Program'!$S$54=1,N$3='Bonding Program'!$H$54),'Bonding Program'!$AA$54,0)-IF(N$3&lt;='Bonding Program'!$C$8,IF(AND('Bonding Program'!$K$54&lt;&gt;"",N$3='Bonding Program'!$K$54),'Bonding Program'!$J$54,0)-IF(AND('Bonding Program'!$M$54&lt;&gt;"",N$3='Bonding Program'!$M$54),'Bonding Program'!$L$54,0)-IF(AND('Bonding Program'!$P$54&lt;&gt;"",N$3='Bonding Program'!$P$54),'Bonding Program'!$O$54,0)-IF(AND('Bonding Program'!$R$54&lt;&gt;"",N$3='Bonding Program'!$R$54),'Bonding Program'!$Q$54,0),0)</f>
        <v>0</v>
      </c>
      <c r="O195" s="19" t="n">
        <f aca="false">IF(AND('Bonding Program'!$S$54=1,O$3='Bonding Program'!$H$54),'Bonding Program'!$AA$54,0)-IF(O$3&lt;='Bonding Program'!$C$8,IF(AND('Bonding Program'!$K$54&lt;&gt;"",O$3='Bonding Program'!$K$54),'Bonding Program'!$J$54,0)-IF(AND('Bonding Program'!$M$54&lt;&gt;"",O$3='Bonding Program'!$M$54),'Bonding Program'!$L$54,0)-IF(AND('Bonding Program'!$P$54&lt;&gt;"",O$3='Bonding Program'!$P$54),'Bonding Program'!$O$54,0)-IF(AND('Bonding Program'!$R$54&lt;&gt;"",O$3='Bonding Program'!$R$54),'Bonding Program'!$Q$54,0),0)</f>
        <v>0</v>
      </c>
      <c r="P195" s="19" t="n">
        <f aca="false">IF(AND('Bonding Program'!$S$54=1,P$3='Bonding Program'!$H$54),'Bonding Program'!$AA$54,0)-IF(P$3&lt;='Bonding Program'!$C$8,IF(AND('Bonding Program'!$K$54&lt;&gt;"",P$3='Bonding Program'!$K$54),'Bonding Program'!$J$54,0)-IF(AND('Bonding Program'!$M$54&lt;&gt;"",P$3='Bonding Program'!$M$54),'Bonding Program'!$L$54,0)-IF(AND('Bonding Program'!$P$54&lt;&gt;"",P$3='Bonding Program'!$P$54),'Bonding Program'!$O$54,0)-IF(AND('Bonding Program'!$R$54&lt;&gt;"",P$3='Bonding Program'!$R$54),'Bonding Program'!$Q$54,0),0)</f>
        <v>0</v>
      </c>
      <c r="Q195" s="19" t="n">
        <f aca="false">IF(AND('Bonding Program'!$S$54=1,Q$3='Bonding Program'!$H$54),'Bonding Program'!$AA$54,0)-IF(Q$3&lt;='Bonding Program'!$C$8,IF(AND('Bonding Program'!$K$54&lt;&gt;"",Q$3='Bonding Program'!$K$54),'Bonding Program'!$J$54,0)-IF(AND('Bonding Program'!$M$54&lt;&gt;"",Q$3='Bonding Program'!$M$54),'Bonding Program'!$L$54,0)-IF(AND('Bonding Program'!$P$54&lt;&gt;"",Q$3='Bonding Program'!$P$54),'Bonding Program'!$O$54,0)-IF(AND('Bonding Program'!$R$54&lt;&gt;"",Q$3='Bonding Program'!$R$54),'Bonding Program'!$Q$54,0),0)</f>
        <v>0</v>
      </c>
      <c r="R195" s="19" t="n">
        <f aca="false">IF(AND('Bonding Program'!$S$54=1,R$3='Bonding Program'!$H$54),'Bonding Program'!$AA$54,0)-IF(R$3&lt;='Bonding Program'!$C$8,IF(AND('Bonding Program'!$K$54&lt;&gt;"",R$3='Bonding Program'!$K$54),'Bonding Program'!$J$54,0)-IF(AND('Bonding Program'!$M$54&lt;&gt;"",R$3='Bonding Program'!$M$54),'Bonding Program'!$L$54,0)-IF(AND('Bonding Program'!$P$54&lt;&gt;"",R$3='Bonding Program'!$P$54),'Bonding Program'!$O$54,0)-IF(AND('Bonding Program'!$R$54&lt;&gt;"",R$3='Bonding Program'!$R$54),'Bonding Program'!$Q$54,0),0)</f>
        <v>0</v>
      </c>
      <c r="S195" s="19" t="n">
        <f aca="false">IF(AND('Bonding Program'!$S$54=1,S$3='Bonding Program'!$H$54),'Bonding Program'!$AA$54,0)-IF(S$3&lt;='Bonding Program'!$C$8,IF(AND('Bonding Program'!$K$54&lt;&gt;"",S$3='Bonding Program'!$K$54),'Bonding Program'!$J$54,0)-IF(AND('Bonding Program'!$M$54&lt;&gt;"",S$3='Bonding Program'!$M$54),'Bonding Program'!$L$54,0)-IF(AND('Bonding Program'!$P$54&lt;&gt;"",S$3='Bonding Program'!$P$54),'Bonding Program'!$O$54,0)-IF(AND('Bonding Program'!$R$54&lt;&gt;"",S$3='Bonding Program'!$R$54),'Bonding Program'!$Q$54,0),0)</f>
        <v>0</v>
      </c>
      <c r="T195" s="19" t="n">
        <f aca="false">IF(AND('Bonding Program'!$S$54=1,T$3='Bonding Program'!$H$54),'Bonding Program'!$AA$54,0)-IF(T$3&lt;='Bonding Program'!$C$8,IF(AND('Bonding Program'!$K$54&lt;&gt;"",T$3='Bonding Program'!$K$54),'Bonding Program'!$J$54,0)-IF(AND('Bonding Program'!$M$54&lt;&gt;"",T$3='Bonding Program'!$M$54),'Bonding Program'!$L$54,0)-IF(AND('Bonding Program'!$P$54&lt;&gt;"",T$3='Bonding Program'!$P$54),'Bonding Program'!$O$54,0)-IF(AND('Bonding Program'!$R$54&lt;&gt;"",T$3='Bonding Program'!$R$54),'Bonding Program'!$Q$54,0),0)</f>
        <v>0</v>
      </c>
      <c r="U195" s="19" t="n">
        <f aca="false">IF(AND('Bonding Program'!$S$54=1,U$3='Bonding Program'!$H$54),'Bonding Program'!$AA$54,0)-IF(U$3&lt;='Bonding Program'!$C$8,IF(AND('Bonding Program'!$K$54&lt;&gt;"",U$3='Bonding Program'!$K$54),'Bonding Program'!$J$54,0)-IF(AND('Bonding Program'!$M$54&lt;&gt;"",U$3='Bonding Program'!$M$54),'Bonding Program'!$L$54,0)-IF(AND('Bonding Program'!$P$54&lt;&gt;"",U$3='Bonding Program'!$P$54),'Bonding Program'!$O$54,0)-IF(AND('Bonding Program'!$R$54&lt;&gt;"",U$3='Bonding Program'!$R$54),'Bonding Program'!$Q$54,0),0)</f>
        <v>0</v>
      </c>
      <c r="V195" s="19" t="n">
        <f aca="false">IF(AND('Bonding Program'!$S$54=1,V$3='Bonding Program'!$H$54),'Bonding Program'!$AA$54,0)-IF(V$3&lt;='Bonding Program'!$C$8,IF(AND('Bonding Program'!$K$54&lt;&gt;"",V$3='Bonding Program'!$K$54),'Bonding Program'!$J$54,0)-IF(AND('Bonding Program'!$M$54&lt;&gt;"",V$3='Bonding Program'!$M$54),'Bonding Program'!$L$54,0)-IF(AND('Bonding Program'!$P$54&lt;&gt;"",V$3='Bonding Program'!$P$54),'Bonding Program'!$O$54,0)-IF(AND('Bonding Program'!$R$54&lt;&gt;"",V$3='Bonding Program'!$R$54),'Bonding Program'!$Q$54,0),0)</f>
        <v>0</v>
      </c>
      <c r="W195" s="19" t="n">
        <f aca="false">IF(AND('Bonding Program'!$S$54=1,W$3='Bonding Program'!$H$54),'Bonding Program'!$AA$54,0)-IF(W$3&lt;='Bonding Program'!$C$8,IF(AND('Bonding Program'!$K$54&lt;&gt;"",W$3='Bonding Program'!$K$54),'Bonding Program'!$J$54,0)-IF(AND('Bonding Program'!$M$54&lt;&gt;"",W$3='Bonding Program'!$M$54),'Bonding Program'!$L$54,0)-IF(AND('Bonding Program'!$P$54&lt;&gt;"",W$3='Bonding Program'!$P$54),'Bonding Program'!$O$54,0)-IF(AND('Bonding Program'!$R$54&lt;&gt;"",W$3='Bonding Program'!$R$54),'Bonding Program'!$Q$54,0),0)</f>
        <v>0</v>
      </c>
      <c r="X195" s="19" t="n">
        <f aca="false">IF(AND('Bonding Program'!$S$54=1,X$3='Bonding Program'!$H$54),'Bonding Program'!$AA$54,0)-IF(X$3&lt;='Bonding Program'!$C$8,IF(AND('Bonding Program'!$K$54&lt;&gt;"",X$3='Bonding Program'!$K$54),'Bonding Program'!$J$54,0)-IF(AND('Bonding Program'!$M$54&lt;&gt;"",X$3='Bonding Program'!$M$54),'Bonding Program'!$L$54,0)-IF(AND('Bonding Program'!$P$54&lt;&gt;"",X$3='Bonding Program'!$P$54),'Bonding Program'!$O$54,0)-IF(AND('Bonding Program'!$R$54&lt;&gt;"",X$3='Bonding Program'!$R$54),'Bonding Program'!$Q$54,0),0)</f>
        <v>0</v>
      </c>
      <c r="Y195" s="19" t="n">
        <f aca="false">IF(AND('Bonding Program'!$S$54=1,Y$3='Bonding Program'!$H$54),'Bonding Program'!$AA$54,0)-IF(Y$3&lt;='Bonding Program'!$C$8,IF(AND('Bonding Program'!$K$54&lt;&gt;"",Y$3='Bonding Program'!$K$54),'Bonding Program'!$J$54,0)-IF(AND('Bonding Program'!$M$54&lt;&gt;"",Y$3='Bonding Program'!$M$54),'Bonding Program'!$L$54,0)-IF(AND('Bonding Program'!$P$54&lt;&gt;"",Y$3='Bonding Program'!$P$54),'Bonding Program'!$O$54,0)-IF(AND('Bonding Program'!$R$54&lt;&gt;"",Y$3='Bonding Program'!$R$54),'Bonding Program'!$Q$54,0),0)</f>
        <v>0</v>
      </c>
      <c r="Z195" s="19" t="n">
        <f aca="false">IF(AND('Bonding Program'!$S$54=1,Z$3='Bonding Program'!$H$54),'Bonding Program'!$AA$54,0)-IF(Z$3&lt;='Bonding Program'!$C$8,IF(AND('Bonding Program'!$K$54&lt;&gt;"",Z$3='Bonding Program'!$K$54),'Bonding Program'!$J$54,0)-IF(AND('Bonding Program'!$M$54&lt;&gt;"",Z$3='Bonding Program'!$M$54),'Bonding Program'!$L$54,0)-IF(AND('Bonding Program'!$P$54&lt;&gt;"",Z$3='Bonding Program'!$P$54),'Bonding Program'!$O$54,0)-IF(AND('Bonding Program'!$R$54&lt;&gt;"",Z$3='Bonding Program'!$R$54),'Bonding Program'!$Q$54,0),0)</f>
        <v>0</v>
      </c>
      <c r="AA195" s="19" t="n">
        <f aca="false">IF(AND('Bonding Program'!$S$54=1,AA$3='Bonding Program'!$H$54),'Bonding Program'!$AA$54,0)-IF(AA$3&lt;='Bonding Program'!$C$8,IF(AND('Bonding Program'!$K$54&lt;&gt;"",AA$3='Bonding Program'!$K$54),'Bonding Program'!$J$54,0)-IF(AND('Bonding Program'!$M$54&lt;&gt;"",AA$3='Bonding Program'!$M$54),'Bonding Program'!$L$54,0)-IF(AND('Bonding Program'!$P$54&lt;&gt;"",AA$3='Bonding Program'!$P$54),'Bonding Program'!$O$54,0)-IF(AND('Bonding Program'!$R$54&lt;&gt;"",AA$3='Bonding Program'!$R$54),'Bonding Program'!$Q$54,0),0)</f>
        <v>0</v>
      </c>
      <c r="AB195" s="19" t="n">
        <f aca="false">IF(AND('Bonding Program'!$S$54=1,AB$3='Bonding Program'!$H$54),'Bonding Program'!$AA$54,0)-IF(AB$3&lt;='Bonding Program'!$C$8,IF(AND('Bonding Program'!$K$54&lt;&gt;"",AB$3='Bonding Program'!$K$54),'Bonding Program'!$J$54,0)-IF(AND('Bonding Program'!$M$54&lt;&gt;"",AB$3='Bonding Program'!$M$54),'Bonding Program'!$L$54,0)-IF(AND('Bonding Program'!$P$54&lt;&gt;"",AB$3='Bonding Program'!$P$54),'Bonding Program'!$O$54,0)-IF(AND('Bonding Program'!$R$54&lt;&gt;"",AB$3='Bonding Program'!$R$54),'Bonding Program'!$Q$54,0),0)</f>
        <v>0</v>
      </c>
      <c r="AC195" s="19" t="n">
        <f aca="false">IF(AND('Bonding Program'!$S$54=1,AC$3='Bonding Program'!$H$54),'Bonding Program'!$AA$54,0)-IF(AC$3&lt;='Bonding Program'!$C$8,IF(AND('Bonding Program'!$K$54&lt;&gt;"",AC$3='Bonding Program'!$K$54),'Bonding Program'!$J$54,0)-IF(AND('Bonding Program'!$M$54&lt;&gt;"",AC$3='Bonding Program'!$M$54),'Bonding Program'!$L$54,0)-IF(AND('Bonding Program'!$P$54&lt;&gt;"",AC$3='Bonding Program'!$P$54),'Bonding Program'!$O$54,0)-IF(AND('Bonding Program'!$R$54&lt;&gt;"",AC$3='Bonding Program'!$R$54),'Bonding Program'!$Q$54,0),0)</f>
        <v>0</v>
      </c>
      <c r="AD195" s="19" t="n">
        <f aca="false">IF(AND('Bonding Program'!$S$54=1,AD$3='Bonding Program'!$H$54),'Bonding Program'!$AA$54,0)-IF(AD$3&lt;='Bonding Program'!$C$8,IF(AND('Bonding Program'!$K$54&lt;&gt;"",AD$3='Bonding Program'!$K$54),'Bonding Program'!$J$54,0)-IF(AND('Bonding Program'!$M$54&lt;&gt;"",AD$3='Bonding Program'!$M$54),'Bonding Program'!$L$54,0)-IF(AND('Bonding Program'!$P$54&lt;&gt;"",AD$3='Bonding Program'!$P$54),'Bonding Program'!$O$54,0)-IF(AND('Bonding Program'!$R$54&lt;&gt;"",AD$3='Bonding Program'!$R$54),'Bonding Program'!$Q$54,0),0)</f>
        <v>0</v>
      </c>
      <c r="AE195" s="19" t="n">
        <f aca="false">IF(AND('Bonding Program'!$S$54=1,AE$3='Bonding Program'!$H$54),'Bonding Program'!$AA$54,0)-IF(AE$3&lt;='Bonding Program'!$C$8,IF(AND('Bonding Program'!$K$54&lt;&gt;"",AE$3='Bonding Program'!$K$54),'Bonding Program'!$J$54,0)-IF(AND('Bonding Program'!$M$54&lt;&gt;"",AE$3='Bonding Program'!$M$54),'Bonding Program'!$L$54,0)-IF(AND('Bonding Program'!$P$54&lt;&gt;"",AE$3='Bonding Program'!$P$54),'Bonding Program'!$O$54,0)-IF(AND('Bonding Program'!$R$54&lt;&gt;"",AE$3='Bonding Program'!$R$54),'Bonding Program'!$Q$54,0),0)</f>
        <v>0</v>
      </c>
      <c r="AF195" s="19" t="n">
        <f aca="false">IF(AND('Bonding Program'!$S$54=1,AF$3='Bonding Program'!$H$54),'Bonding Program'!$AA$54,0)-IF(AF$3&lt;='Bonding Program'!$C$8,IF(AND('Bonding Program'!$K$54&lt;&gt;"",AF$3='Bonding Program'!$K$54),'Bonding Program'!$J$54,0)-IF(AND('Bonding Program'!$M$54&lt;&gt;"",AF$3='Bonding Program'!$M$54),'Bonding Program'!$L$54,0)-IF(AND('Bonding Program'!$P$54&lt;&gt;"",AF$3='Bonding Program'!$P$54),'Bonding Program'!$O$54,0)-IF(AND('Bonding Program'!$R$54&lt;&gt;"",AF$3='Bonding Program'!$R$54),'Bonding Program'!$Q$54,0),0)</f>
        <v>0</v>
      </c>
      <c r="AG195" s="19" t="n">
        <f aca="false">IF(AND('Bonding Program'!$S$54=1,AG$3='Bonding Program'!$H$54),'Bonding Program'!$AA$54,0)-IF(AG$3&lt;='Bonding Program'!$C$8,IF(AND('Bonding Program'!$K$54&lt;&gt;"",AG$3='Bonding Program'!$K$54),'Bonding Program'!$J$54,0)-IF(AND('Bonding Program'!$M$54&lt;&gt;"",AG$3='Bonding Program'!$M$54),'Bonding Program'!$L$54,0)-IF(AND('Bonding Program'!$P$54&lt;&gt;"",AG$3='Bonding Program'!$P$54),'Bonding Program'!$O$54,0)-IF(AND('Bonding Program'!$R$54&lt;&gt;"",AG$3='Bonding Program'!$R$54),'Bonding Program'!$Q$54,0),0)</f>
        <v>0</v>
      </c>
      <c r="AH195" s="19" t="n">
        <f aca="false">IF(AND('Bonding Program'!$S$54=1,AH$3='Bonding Program'!$H$54),'Bonding Program'!$AA$54,0)-IF(AH$3&lt;='Bonding Program'!$C$8,IF(AND('Bonding Program'!$K$54&lt;&gt;"",AH$3='Bonding Program'!$K$54),'Bonding Program'!$J$54,0)-IF(AND('Bonding Program'!$M$54&lt;&gt;"",AH$3='Bonding Program'!$M$54),'Bonding Program'!$L$54,0)-IF(AND('Bonding Program'!$P$54&lt;&gt;"",AH$3='Bonding Program'!$P$54),'Bonding Program'!$O$54,0)-IF(AND('Bonding Program'!$R$54&lt;&gt;"",AH$3='Bonding Program'!$R$54),'Bonding Program'!$Q$54,0),0)</f>
        <v>0</v>
      </c>
      <c r="AI195" s="19" t="n">
        <f aca="false">IF(AND('Bonding Program'!$S$54=1,AI$3='Bonding Program'!$H$54),'Bonding Program'!$AA$54,0)-IF(AI$3&lt;='Bonding Program'!$C$8,IF(AND('Bonding Program'!$K$54&lt;&gt;"",AI$3='Bonding Program'!$K$54),'Bonding Program'!$J$54,0)-IF(AND('Bonding Program'!$M$54&lt;&gt;"",AI$3='Bonding Program'!$M$54),'Bonding Program'!$L$54,0)-IF(AND('Bonding Program'!$P$54&lt;&gt;"",AI$3='Bonding Program'!$P$54),'Bonding Program'!$O$54,0)-IF(AND('Bonding Program'!$R$54&lt;&gt;"",AI$3='Bonding Program'!$R$54),'Bonding Program'!$Q$54,0),0)</f>
        <v>0</v>
      </c>
      <c r="AJ195" s="19" t="n">
        <f aca="false">IF(AND('Bonding Program'!$S$54=1,AJ$3='Bonding Program'!$H$54),'Bonding Program'!$AA$54,0)-IF(AJ$3&lt;='Bonding Program'!$C$8,IF(AND('Bonding Program'!$K$54&lt;&gt;"",AJ$3='Bonding Program'!$K$54),'Bonding Program'!$J$54,0)-IF(AND('Bonding Program'!$M$54&lt;&gt;"",AJ$3='Bonding Program'!$M$54),'Bonding Program'!$L$54,0)-IF(AND('Bonding Program'!$P$54&lt;&gt;"",AJ$3='Bonding Program'!$P$54),'Bonding Program'!$O$54,0)-IF(AND('Bonding Program'!$R$54&lt;&gt;"",AJ$3='Bonding Program'!$R$54),'Bonding Program'!$Q$54,0),0)</f>
        <v>0</v>
      </c>
      <c r="AK195" s="19" t="n">
        <f aca="false">IF(AND('Bonding Program'!$S$54=1,AK$3='Bonding Program'!$H$54),'Bonding Program'!$AA$54,0)-IF(AK$3&lt;='Bonding Program'!$C$8,IF(AND('Bonding Program'!$K$54&lt;&gt;"",AK$3='Bonding Program'!$K$54),'Bonding Program'!$J$54,0)-IF(AND('Bonding Program'!$M$54&lt;&gt;"",AK$3='Bonding Program'!$M$54),'Bonding Program'!$L$54,0)-IF(AND('Bonding Program'!$P$54&lt;&gt;"",AK$3='Bonding Program'!$P$54),'Bonding Program'!$O$54,0)-IF(AND('Bonding Program'!$R$54&lt;&gt;"",AK$3='Bonding Program'!$R$54),'Bonding Program'!$Q$54,0),0)</f>
        <v>0</v>
      </c>
      <c r="AL195" s="19" t="n">
        <f aca="false">IF(AND('Bonding Program'!$S$54=1,AL$3='Bonding Program'!$H$54),'Bonding Program'!$AA$54,0)-IF(AL$3&lt;='Bonding Program'!$C$8,IF(AND('Bonding Program'!$K$54&lt;&gt;"",AL$3='Bonding Program'!$K$54),'Bonding Program'!$J$54,0)-IF(AND('Bonding Program'!$M$54&lt;&gt;"",AL$3='Bonding Program'!$M$54),'Bonding Program'!$L$54,0)-IF(AND('Bonding Program'!$P$54&lt;&gt;"",AL$3='Bonding Program'!$P$54),'Bonding Program'!$O$54,0)-IF(AND('Bonding Program'!$R$54&lt;&gt;"",AL$3='Bonding Program'!$R$54),'Bonding Program'!$Q$54,0),0)</f>
        <v>0</v>
      </c>
      <c r="AM195" s="19" t="n">
        <f aca="false">IF(AND('Bonding Program'!$S$54=1,AM$3='Bonding Program'!$H$54),'Bonding Program'!$AA$54,0)-IF(AM$3&lt;='Bonding Program'!$C$8,IF(AND('Bonding Program'!$K$54&lt;&gt;"",AM$3='Bonding Program'!$K$54),'Bonding Program'!$J$54,0)-IF(AND('Bonding Program'!$M$54&lt;&gt;"",AM$3='Bonding Program'!$M$54),'Bonding Program'!$L$54,0)-IF(AND('Bonding Program'!$P$54&lt;&gt;"",AM$3='Bonding Program'!$P$54),'Bonding Program'!$O$54,0)-IF(AND('Bonding Program'!$R$54&lt;&gt;"",AM$3='Bonding Program'!$R$54),'Bonding Program'!$Q$54,0),0)</f>
        <v>0</v>
      </c>
      <c r="AN195" s="19" t="n">
        <f aca="false">IF(AND('Bonding Program'!$S$54=1,AN$3='Bonding Program'!$H$54),'Bonding Program'!$AA$54,0)-IF(AN$3&lt;='Bonding Program'!$C$8,IF(AND('Bonding Program'!$K$54&lt;&gt;"",AN$3='Bonding Program'!$K$54),'Bonding Program'!$J$54,0)-IF(AND('Bonding Program'!$M$54&lt;&gt;"",AN$3='Bonding Program'!$M$54),'Bonding Program'!$L$54,0)-IF(AND('Bonding Program'!$P$54&lt;&gt;"",AN$3='Bonding Program'!$P$54),'Bonding Program'!$O$54,0)-IF(AND('Bonding Program'!$R$54&lt;&gt;"",AN$3='Bonding Program'!$R$54),'Bonding Program'!$Q$54,0),0)</f>
        <v>0</v>
      </c>
      <c r="AO195" s="19" t="n">
        <f aca="false">IF(AND('Bonding Program'!$S$54=1,AO$3='Bonding Program'!$H$54),'Bonding Program'!$AA$54,0)-IF(AO$3&lt;='Bonding Program'!$C$8,IF(AND('Bonding Program'!$K$54&lt;&gt;"",AO$3='Bonding Program'!$K$54),'Bonding Program'!$J$54,0)-IF(AND('Bonding Program'!$M$54&lt;&gt;"",AO$3='Bonding Program'!$M$54),'Bonding Program'!$L$54,0)-IF(AND('Bonding Program'!$P$54&lt;&gt;"",AO$3='Bonding Program'!$P$54),'Bonding Program'!$O$54,0)-IF(AND('Bonding Program'!$R$54&lt;&gt;"",AO$3='Bonding Program'!$R$54),'Bonding Program'!$Q$54,0),0)</f>
        <v>0</v>
      </c>
      <c r="AP195" s="19" t="n">
        <f aca="false">IF(AND('Bonding Program'!$S$54=1,AP$3='Bonding Program'!$H$54),'Bonding Program'!$AA$54,0)-IF(AP$3&lt;='Bonding Program'!$C$8,IF(AND('Bonding Program'!$K$54&lt;&gt;"",AP$3='Bonding Program'!$K$54),'Bonding Program'!$J$54,0)-IF(AND('Bonding Program'!$M$54&lt;&gt;"",AP$3='Bonding Program'!$M$54),'Bonding Program'!$L$54,0)-IF(AND('Bonding Program'!$P$54&lt;&gt;"",AP$3='Bonding Program'!$P$54),'Bonding Program'!$O$54,0)-IF(AND('Bonding Program'!$R$54&lt;&gt;"",AP$3='Bonding Program'!$R$54),'Bonding Program'!$Q$54,0),0)</f>
        <v>0</v>
      </c>
      <c r="AQ195" s="19" t="n">
        <f aca="false">IF(AND('Bonding Program'!$S$54=1,AQ$3='Bonding Program'!$H$54),'Bonding Program'!$AA$54,0)-IF(AQ$3&lt;='Bonding Program'!$C$8,IF(AND('Bonding Program'!$K$54&lt;&gt;"",AQ$3='Bonding Program'!$K$54),'Bonding Program'!$J$54,0)-IF(AND('Bonding Program'!$M$54&lt;&gt;"",AQ$3='Bonding Program'!$M$54),'Bonding Program'!$L$54,0)-IF(AND('Bonding Program'!$P$54&lt;&gt;"",AQ$3='Bonding Program'!$P$54),'Bonding Program'!$O$54,0)-IF(AND('Bonding Program'!$R$54&lt;&gt;"",AQ$3='Bonding Program'!$R$54),'Bonding Program'!$Q$54,0),0)</f>
        <v>0</v>
      </c>
      <c r="AR195" s="19" t="n">
        <f aca="false">IF(AND('Bonding Program'!$S$54=1,AR$3='Bonding Program'!$H$54),'Bonding Program'!$AA$54,0)-IF(AR$3&lt;='Bonding Program'!$C$8,IF(AND('Bonding Program'!$K$54&lt;&gt;"",AR$3='Bonding Program'!$K$54),'Bonding Program'!$J$54,0)-IF(AND('Bonding Program'!$M$54&lt;&gt;"",AR$3='Bonding Program'!$M$54),'Bonding Program'!$L$54,0)-IF(AND('Bonding Program'!$P$54&lt;&gt;"",AR$3='Bonding Program'!$P$54),'Bonding Program'!$O$54,0)-IF(AND('Bonding Program'!$R$54&lt;&gt;"",AR$3='Bonding Program'!$R$54),'Bonding Program'!$Q$54,0),0)</f>
        <v>0</v>
      </c>
      <c r="AS195" s="19" t="n">
        <f aca="false">IF(AND('Bonding Program'!$S$54=1,AS$3='Bonding Program'!$H$54),'Bonding Program'!$AA$54,0)-IF(AS$3&lt;='Bonding Program'!$C$8,IF(AND('Bonding Program'!$K$54&lt;&gt;"",AS$3='Bonding Program'!$K$54),'Bonding Program'!$J$54,0)-IF(AND('Bonding Program'!$M$54&lt;&gt;"",AS$3='Bonding Program'!$M$54),'Bonding Program'!$L$54,0)-IF(AND('Bonding Program'!$P$54&lt;&gt;"",AS$3='Bonding Program'!$P$54),'Bonding Program'!$O$54,0)-IF(AND('Bonding Program'!$R$54&lt;&gt;"",AS$3='Bonding Program'!$R$54),'Bonding Program'!$Q$54,0),0)</f>
        <v>0</v>
      </c>
      <c r="AT195" s="19" t="n">
        <f aca="false">IF(AND('Bonding Program'!$S$54=1,AT$3='Bonding Program'!$H$54),'Bonding Program'!$AA$54,0)-IF(AT$3&lt;='Bonding Program'!$C$8,IF(AND('Bonding Program'!$K$54&lt;&gt;"",AT$3='Bonding Program'!$K$54),'Bonding Program'!$J$54,0)-IF(AND('Bonding Program'!$M$54&lt;&gt;"",AT$3='Bonding Program'!$M$54),'Bonding Program'!$L$54,0)-IF(AND('Bonding Program'!$P$54&lt;&gt;"",AT$3='Bonding Program'!$P$54),'Bonding Program'!$O$54,0)-IF(AND('Bonding Program'!$R$54&lt;&gt;"",AT$3='Bonding Program'!$R$54),'Bonding Program'!$Q$54,0),0)</f>
        <v>0</v>
      </c>
      <c r="AU195" s="19" t="n">
        <f aca="false">IF(AND('Bonding Program'!$S$54=1,AU$3='Bonding Program'!$H$54),'Bonding Program'!$AA$54,0)-IF(AU$3&lt;='Bonding Program'!$C$8,IF(AND('Bonding Program'!$K$54&lt;&gt;"",AU$3='Bonding Program'!$K$54),'Bonding Program'!$J$54,0)-IF(AND('Bonding Program'!$M$54&lt;&gt;"",AU$3='Bonding Program'!$M$54),'Bonding Program'!$L$54,0)-IF(AND('Bonding Program'!$P$54&lt;&gt;"",AU$3='Bonding Program'!$P$54),'Bonding Program'!$O$54,0)-IF(AND('Bonding Program'!$R$54&lt;&gt;"",AU$3='Bonding Program'!$R$54),'Bonding Program'!$Q$54,0),0)</f>
        <v>0</v>
      </c>
      <c r="AV195" s="19" t="n">
        <f aca="false">IF(AND('Bonding Program'!$S$54=1,AV$3='Bonding Program'!$H$54),'Bonding Program'!$AA$54,0)-IF(AV$3&lt;='Bonding Program'!$C$8,IF(AND('Bonding Program'!$K$54&lt;&gt;"",AV$3='Bonding Program'!$K$54),'Bonding Program'!$J$54,0)-IF(AND('Bonding Program'!$M$54&lt;&gt;"",AV$3='Bonding Program'!$M$54),'Bonding Program'!$L$54,0)-IF(AND('Bonding Program'!$P$54&lt;&gt;"",AV$3='Bonding Program'!$P$54),'Bonding Program'!$O$54,0)-IF(AND('Bonding Program'!$R$54&lt;&gt;"",AV$3='Bonding Program'!$R$54),'Bonding Program'!$Q$54,0),0)</f>
        <v>0</v>
      </c>
      <c r="AW195" s="19" t="n">
        <f aca="false">IF(AND('Bonding Program'!$S$54=1,AW$3='Bonding Program'!$H$54),'Bonding Program'!$AA$54,0)-IF(AW$3&lt;='Bonding Program'!$C$8,IF(AND('Bonding Program'!$K$54&lt;&gt;"",AW$3='Bonding Program'!$K$54),'Bonding Program'!$J$54,0)-IF(AND('Bonding Program'!$M$54&lt;&gt;"",AW$3='Bonding Program'!$M$54),'Bonding Program'!$L$54,0)-IF(AND('Bonding Program'!$P$54&lt;&gt;"",AW$3='Bonding Program'!$P$54),'Bonding Program'!$O$54,0)-IF(AND('Bonding Program'!$R$54&lt;&gt;"",AW$3='Bonding Program'!$R$54),'Bonding Program'!$Q$54,0),0)</f>
        <v>0</v>
      </c>
      <c r="AX195" s="19" t="n">
        <f aca="false">IF(AND('Bonding Program'!$S$54=1,AX$3='Bonding Program'!$H$54),'Bonding Program'!$AA$54,0)-IF(AX$3&lt;='Bonding Program'!$C$8,IF(AND('Bonding Program'!$K$54&lt;&gt;"",AX$3='Bonding Program'!$K$54),'Bonding Program'!$J$54,0)-IF(AND('Bonding Program'!$M$54&lt;&gt;"",AX$3='Bonding Program'!$M$54),'Bonding Program'!$L$54,0)-IF(AND('Bonding Program'!$P$54&lt;&gt;"",AX$3='Bonding Program'!$P$54),'Bonding Program'!$O$54,0)-IF(AND('Bonding Program'!$R$54&lt;&gt;"",AX$3='Bonding Program'!$R$54),'Bonding Program'!$Q$54,0),0)</f>
        <v>0</v>
      </c>
      <c r="AY195" s="19" t="n">
        <f aca="false">IF(AND('Bonding Program'!$S$54=1,AY$3='Bonding Program'!$H$54),'Bonding Program'!$AA$54,0)-IF(AY$3&lt;='Bonding Program'!$C$8,IF(AND('Bonding Program'!$K$54&lt;&gt;"",AY$3='Bonding Program'!$K$54),'Bonding Program'!$J$54,0)-IF(AND('Bonding Program'!$M$54&lt;&gt;"",AY$3='Bonding Program'!$M$54),'Bonding Program'!$L$54,0)-IF(AND('Bonding Program'!$P$54&lt;&gt;"",AY$3='Bonding Program'!$P$54),'Bonding Program'!$O$54,0)-IF(AND('Bonding Program'!$R$54&lt;&gt;"",AY$3='Bonding Program'!$R$54),'Bonding Program'!$Q$54,0),0)</f>
        <v>0</v>
      </c>
      <c r="AZ195" s="19" t="n">
        <f aca="false">IF(AND('Bonding Program'!$S$54=1,AZ$3='Bonding Program'!$H$54),'Bonding Program'!$AA$54,0)-IF(AZ$3&lt;='Bonding Program'!$C$8,IF(AND('Bonding Program'!$K$54&lt;&gt;"",AZ$3='Bonding Program'!$K$54),'Bonding Program'!$J$54,0)-IF(AND('Bonding Program'!$M$54&lt;&gt;"",AZ$3='Bonding Program'!$M$54),'Bonding Program'!$L$54,0)-IF(AND('Bonding Program'!$P$54&lt;&gt;"",AZ$3='Bonding Program'!$P$54),'Bonding Program'!$O$54,0)-IF(AND('Bonding Program'!$R$54&lt;&gt;"",AZ$3='Bonding Program'!$R$54),'Bonding Program'!$Q$54,0),0)</f>
        <v>0</v>
      </c>
      <c r="BA195" s="19" t="n">
        <f aca="false">IF(AND('Bonding Program'!$S$54=1,BA$3='Bonding Program'!$H$54),'Bonding Program'!$AA$54,0)-IF(BA$3&lt;='Bonding Program'!$C$8,IF(AND('Bonding Program'!$K$54&lt;&gt;"",BA$3='Bonding Program'!$K$54),'Bonding Program'!$J$54,0)-IF(AND('Bonding Program'!$M$54&lt;&gt;"",BA$3='Bonding Program'!$M$54),'Bonding Program'!$L$54,0)-IF(AND('Bonding Program'!$P$54&lt;&gt;"",BA$3='Bonding Program'!$P$54),'Bonding Program'!$O$54,0)-IF(AND('Bonding Program'!$R$54&lt;&gt;"",BA$3='Bonding Program'!$R$54),'Bonding Program'!$Q$54,0),0)</f>
        <v>0</v>
      </c>
      <c r="BB195" s="19" t="n">
        <f aca="false">IF(AND('Bonding Program'!$S$54=1,BB$3='Bonding Program'!$H$54),'Bonding Program'!$AA$54,0)-IF(BB$3&lt;='Bonding Program'!$C$8,IF(AND('Bonding Program'!$K$54&lt;&gt;"",BB$3='Bonding Program'!$K$54),'Bonding Program'!$J$54,0)-IF(AND('Bonding Program'!$M$54&lt;&gt;"",BB$3='Bonding Program'!$M$54),'Bonding Program'!$L$54,0)-IF(AND('Bonding Program'!$P$54&lt;&gt;"",BB$3='Bonding Program'!$P$54),'Bonding Program'!$O$54,0)-IF(AND('Bonding Program'!$R$54&lt;&gt;"",BB$3='Bonding Program'!$R$54),'Bonding Program'!$Q$54,0),0)</f>
        <v>0</v>
      </c>
      <c r="BC195" s="19" t="n">
        <f aca="false">IF(AND('Bonding Program'!$S$54=1,BC$3='Bonding Program'!$H$54),'Bonding Program'!$AA$54,0)-IF(BC$3&lt;='Bonding Program'!$C$8,IF(AND('Bonding Program'!$K$54&lt;&gt;"",BC$3='Bonding Program'!$K$54),'Bonding Program'!$J$54,0)-IF(AND('Bonding Program'!$M$54&lt;&gt;"",BC$3='Bonding Program'!$M$54),'Bonding Program'!$L$54,0)-IF(AND('Bonding Program'!$P$54&lt;&gt;"",BC$3='Bonding Program'!$P$54),'Bonding Program'!$O$54,0)-IF(AND('Bonding Program'!$R$54&lt;&gt;"",BC$3='Bonding Program'!$R$54),'Bonding Program'!$Q$54,0),0)</f>
        <v>0</v>
      </c>
      <c r="BD195" s="19" t="n">
        <f aca="false">IF(AND('Bonding Program'!$S$54=1,BD$3='Bonding Program'!$H$54),'Bonding Program'!$AA$54,0)-IF(BD$3&lt;='Bonding Program'!$C$8,IF(AND('Bonding Program'!$K$54&lt;&gt;"",BD$3='Bonding Program'!$K$54),'Bonding Program'!$J$54,0)-IF(AND('Bonding Program'!$M$54&lt;&gt;"",BD$3='Bonding Program'!$M$54),'Bonding Program'!$L$54,0)-IF(AND('Bonding Program'!$P$54&lt;&gt;"",BD$3='Bonding Program'!$P$54),'Bonding Program'!$O$54,0)-IF(AND('Bonding Program'!$R$54&lt;&gt;"",BD$3='Bonding Program'!$R$54),'Bonding Program'!$Q$54,0),0)</f>
        <v>0</v>
      </c>
      <c r="BE195" s="19" t="n">
        <f aca="false">IF(AND('Bonding Program'!$S$54=1,BE$3='Bonding Program'!$H$54),'Bonding Program'!$AA$54,0)-IF(BE$3&lt;='Bonding Program'!$C$8,IF(AND('Bonding Program'!$K$54&lt;&gt;"",BE$3='Bonding Program'!$K$54),'Bonding Program'!$J$54,0)-IF(AND('Bonding Program'!$M$54&lt;&gt;"",BE$3='Bonding Program'!$M$54),'Bonding Program'!$L$54,0)-IF(AND('Bonding Program'!$P$54&lt;&gt;"",BE$3='Bonding Program'!$P$54),'Bonding Program'!$O$54,0)-IF(AND('Bonding Program'!$R$54&lt;&gt;"",BE$3='Bonding Program'!$R$54),'Bonding Program'!$Q$54,0),0)</f>
        <v>0</v>
      </c>
      <c r="BF195" s="19" t="n">
        <f aca="false">IF(AND('Bonding Program'!$S$54=1,BF$3='Bonding Program'!$H$54),'Bonding Program'!$AA$54,0)-IF(BF$3&lt;='Bonding Program'!$C$8,IF(AND('Bonding Program'!$K$54&lt;&gt;"",BF$3='Bonding Program'!$K$54),'Bonding Program'!$J$54,0)-IF(AND('Bonding Program'!$M$54&lt;&gt;"",BF$3='Bonding Program'!$M$54),'Bonding Program'!$L$54,0)-IF(AND('Bonding Program'!$P$54&lt;&gt;"",BF$3='Bonding Program'!$P$54),'Bonding Program'!$O$54,0)-IF(AND('Bonding Program'!$R$54&lt;&gt;"",BF$3='Bonding Program'!$R$54),'Bonding Program'!$Q$54,0),0)</f>
        <v>0</v>
      </c>
      <c r="BG195" s="19" t="n">
        <f aca="false">IF(AND('Bonding Program'!$S$54=1,BG$3='Bonding Program'!$H$54),'Bonding Program'!$AA$54,0)-IF(BG$3&lt;='Bonding Program'!$C$8,IF(AND('Bonding Program'!$K$54&lt;&gt;"",BG$3='Bonding Program'!$K$54),'Bonding Program'!$J$54,0)-IF(AND('Bonding Program'!$M$54&lt;&gt;"",BG$3='Bonding Program'!$M$54),'Bonding Program'!$L$54,0)-IF(AND('Bonding Program'!$P$54&lt;&gt;"",BG$3='Bonding Program'!$P$54),'Bonding Program'!$O$54,0)-IF(AND('Bonding Program'!$R$54&lt;&gt;"",BG$3='Bonding Program'!$R$54),'Bonding Program'!$Q$54,0),0)</f>
        <v>0</v>
      </c>
      <c r="BH195" s="19" t="n">
        <f aca="false">IF(AND('Bonding Program'!$S$54=1,BH$3='Bonding Program'!$H$54),'Bonding Program'!$AA$54,0)-IF(BH$3&lt;='Bonding Program'!$C$8,IF(AND('Bonding Program'!$K$54&lt;&gt;"",BH$3='Bonding Program'!$K$54),'Bonding Program'!$J$54,0)-IF(AND('Bonding Program'!$M$54&lt;&gt;"",BH$3='Bonding Program'!$M$54),'Bonding Program'!$L$54,0)-IF(AND('Bonding Program'!$P$54&lt;&gt;"",BH$3='Bonding Program'!$P$54),'Bonding Program'!$O$54,0)-IF(AND('Bonding Program'!$R$54&lt;&gt;"",BH$3='Bonding Program'!$R$54),'Bonding Program'!$Q$54,0),0)</f>
        <v>0</v>
      </c>
      <c r="BI195" s="19" t="n">
        <f aca="false">IF(AND('Bonding Program'!$S$54=1,BI$3='Bonding Program'!$H$54),'Bonding Program'!$AA$54,0)-IF(BI$3&lt;='Bonding Program'!$C$8,IF(AND('Bonding Program'!$K$54&lt;&gt;"",BI$3='Bonding Program'!$K$54),'Bonding Program'!$J$54,0)-IF(AND('Bonding Program'!$M$54&lt;&gt;"",BI$3='Bonding Program'!$M$54),'Bonding Program'!$L$54,0)-IF(AND('Bonding Program'!$P$54&lt;&gt;"",BI$3='Bonding Program'!$P$54),'Bonding Program'!$O$54,0)-IF(AND('Bonding Program'!$R$54&lt;&gt;"",BI$3='Bonding Program'!$R$54),'Bonding Program'!$Q$54,0),0)</f>
        <v>0</v>
      </c>
      <c r="BJ195" s="19" t="n">
        <f aca="false">IF(AND('Bonding Program'!$S$54=1,BJ$3='Bonding Program'!$H$54),'Bonding Program'!$AA$54,0)-IF(BJ$3&lt;='Bonding Program'!$C$8,IF(AND('Bonding Program'!$K$54&lt;&gt;"",BJ$3='Bonding Program'!$K$54),'Bonding Program'!$J$54,0)-IF(AND('Bonding Program'!$M$54&lt;&gt;"",BJ$3='Bonding Program'!$M$54),'Bonding Program'!$L$54,0)-IF(AND('Bonding Program'!$P$54&lt;&gt;"",BJ$3='Bonding Program'!$P$54),'Bonding Program'!$O$54,0)-IF(AND('Bonding Program'!$R$54&lt;&gt;"",BJ$3='Bonding Program'!$R$54),'Bonding Program'!$Q$54,0),0)</f>
        <v>0</v>
      </c>
      <c r="BK195" s="19" t="n">
        <f aca="false">IF(AND('Bonding Program'!$S$54=1,BK$3='Bonding Program'!$H$54),'Bonding Program'!$AA$54,0)-IF(BK$3&lt;='Bonding Program'!$C$8,IF(AND('Bonding Program'!$K$54&lt;&gt;"",BK$3='Bonding Program'!$K$54),'Bonding Program'!$J$54,0)-IF(AND('Bonding Program'!$M$54&lt;&gt;"",BK$3='Bonding Program'!$M$54),'Bonding Program'!$L$54,0)-IF(AND('Bonding Program'!$P$54&lt;&gt;"",BK$3='Bonding Program'!$P$54),'Bonding Program'!$O$54,0)-IF(AND('Bonding Program'!$R$54&lt;&gt;"",BK$3='Bonding Program'!$R$54),'Bonding Program'!$Q$54,0),0)</f>
        <v>0</v>
      </c>
      <c r="BL195" s="19" t="n">
        <f aca="false">IF(AND('Bonding Program'!$S$54=1,BL$3='Bonding Program'!$H$54),'Bonding Program'!$AA$54,0)-IF(BL$3&lt;='Bonding Program'!$C$8,IF(AND('Bonding Program'!$K$54&lt;&gt;"",BL$3='Bonding Program'!$K$54),'Bonding Program'!$J$54,0)-IF(AND('Bonding Program'!$M$54&lt;&gt;"",BL$3='Bonding Program'!$M$54),'Bonding Program'!$L$54,0)-IF(AND('Bonding Program'!$P$54&lt;&gt;"",BL$3='Bonding Program'!$P$54),'Bonding Program'!$O$54,0)-IF(AND('Bonding Program'!$R$54&lt;&gt;"",BL$3='Bonding Program'!$R$54),'Bonding Program'!$Q$54,0),0)</f>
        <v>0</v>
      </c>
      <c r="BM195" s="19" t="n">
        <f aca="false">IF(AND('Bonding Program'!$S$54=1,BM$3='Bonding Program'!$H$54),'Bonding Program'!$AA$54,0)-IF(BM$3&lt;='Bonding Program'!$C$8,IF(AND('Bonding Program'!$K$54&lt;&gt;"",BM$3='Bonding Program'!$K$54),'Bonding Program'!$J$54,0)-IF(AND('Bonding Program'!$M$54&lt;&gt;"",BM$3='Bonding Program'!$M$54),'Bonding Program'!$L$54,0)-IF(AND('Bonding Program'!$P$54&lt;&gt;"",BM$3='Bonding Program'!$P$54),'Bonding Program'!$O$54,0)-IF(AND('Bonding Program'!$R$54&lt;&gt;"",BM$3='Bonding Program'!$R$54),'Bonding Program'!$Q$54,0),0)</f>
        <v>0</v>
      </c>
      <c r="BN195" s="19" t="n">
        <f aca="false">IF(AND('Bonding Program'!$S$54=1,BN$3='Bonding Program'!$H$54),'Bonding Program'!$AA$54,0)-IF(BN$3&lt;='Bonding Program'!$C$8,IF(AND('Bonding Program'!$K$54&lt;&gt;"",BN$3='Bonding Program'!$K$54),'Bonding Program'!$J$54,0)-IF(AND('Bonding Program'!$M$54&lt;&gt;"",BN$3='Bonding Program'!$M$54),'Bonding Program'!$L$54,0)-IF(AND('Bonding Program'!$P$54&lt;&gt;"",BN$3='Bonding Program'!$P$54),'Bonding Program'!$O$54,0)-IF(AND('Bonding Program'!$R$54&lt;&gt;"",BN$3='Bonding Program'!$R$54),'Bonding Program'!$Q$54,0),0)</f>
        <v>0</v>
      </c>
      <c r="BO195" s="19" t="n">
        <f aca="false">IF(AND('Bonding Program'!$S$54=1,BO$3='Bonding Program'!$H$54),'Bonding Program'!$AA$54,0)-IF(BO$3&lt;='Bonding Program'!$C$8,IF(AND('Bonding Program'!$K$54&lt;&gt;"",BO$3='Bonding Program'!$K$54),'Bonding Program'!$J$54,0)-IF(AND('Bonding Program'!$M$54&lt;&gt;"",BO$3='Bonding Program'!$M$54),'Bonding Program'!$L$54,0)-IF(AND('Bonding Program'!$P$54&lt;&gt;"",BO$3='Bonding Program'!$P$54),'Bonding Program'!$O$54,0)-IF(AND('Bonding Program'!$R$54&lt;&gt;"",BO$3='Bonding Program'!$R$54),'Bonding Program'!$Q$54,0),0)</f>
        <v>0</v>
      </c>
      <c r="BP195" s="19" t="n">
        <f aca="false">IF(AND('Bonding Program'!$S$54=1,BP$3='Bonding Program'!$H$54),'Bonding Program'!$AA$54,0)-IF(BP$3&lt;='Bonding Program'!$C$8,IF(AND('Bonding Program'!$K$54&lt;&gt;"",BP$3='Bonding Program'!$K$54),'Bonding Program'!$J$54,0)-IF(AND('Bonding Program'!$M$54&lt;&gt;"",BP$3='Bonding Program'!$M$54),'Bonding Program'!$L$54,0)-IF(AND('Bonding Program'!$P$54&lt;&gt;"",BP$3='Bonding Program'!$P$54),'Bonding Program'!$O$54,0)-IF(AND('Bonding Program'!$R$54&lt;&gt;"",BP$3='Bonding Program'!$R$54),'Bonding Program'!$Q$54,0),0)</f>
        <v>0</v>
      </c>
      <c r="BQ195" s="19" t="n">
        <f aca="false">IF(AND('Bonding Program'!$S$54=1,BQ$3='Bonding Program'!$H$54),'Bonding Program'!$AA$54,0)-IF(BQ$3&lt;='Bonding Program'!$C$8,IF(AND('Bonding Program'!$K$54&lt;&gt;"",BQ$3='Bonding Program'!$K$54),'Bonding Program'!$J$54,0)-IF(AND('Bonding Program'!$M$54&lt;&gt;"",BQ$3='Bonding Program'!$M$54),'Bonding Program'!$L$54,0)-IF(AND('Bonding Program'!$P$54&lt;&gt;"",BQ$3='Bonding Program'!$P$54),'Bonding Program'!$O$54,0)-IF(AND('Bonding Program'!$R$54&lt;&gt;"",BQ$3='Bonding Program'!$R$54),'Bonding Program'!$Q$54,0),0)</f>
        <v>0</v>
      </c>
      <c r="BR195" s="19" t="n">
        <f aca="false">IF(AND('Bonding Program'!$S$54=1,BR$3='Bonding Program'!$H$54),'Bonding Program'!$AA$54,0)-IF(BR$3&lt;='Bonding Program'!$C$8,IF(AND('Bonding Program'!$K$54&lt;&gt;"",BR$3='Bonding Program'!$K$54),'Bonding Program'!$J$54,0)-IF(AND('Bonding Program'!$M$54&lt;&gt;"",BR$3='Bonding Program'!$M$54),'Bonding Program'!$L$54,0)-IF(AND('Bonding Program'!$P$54&lt;&gt;"",BR$3='Bonding Program'!$P$54),'Bonding Program'!$O$54,0)-IF(AND('Bonding Program'!$R$54&lt;&gt;"",BR$3='Bonding Program'!$R$54),'Bonding Program'!$Q$54,0),0)</f>
        <v>0</v>
      </c>
      <c r="BS195" s="19" t="n">
        <f aca="false">IF(AND('Bonding Program'!$S$54=1,BS$3='Bonding Program'!$H$54),'Bonding Program'!$AA$54,0)-IF(BS$3&lt;='Bonding Program'!$C$8,IF(AND('Bonding Program'!$K$54&lt;&gt;"",BS$3='Bonding Program'!$K$54),'Bonding Program'!$J$54,0)-IF(AND('Bonding Program'!$M$54&lt;&gt;"",BS$3='Bonding Program'!$M$54),'Bonding Program'!$L$54,0)-IF(AND('Bonding Program'!$P$54&lt;&gt;"",BS$3='Bonding Program'!$P$54),'Bonding Program'!$O$54,0)-IF(AND('Bonding Program'!$R$54&lt;&gt;"",BS$3='Bonding Program'!$R$54),'Bonding Program'!$Q$54,0),0)</f>
        <v>0</v>
      </c>
      <c r="BT195" s="19" t="n">
        <f aca="false">IF(AND('Bonding Program'!$S$54=1,BT$3='Bonding Program'!$H$54),'Bonding Program'!$AA$54,0)-IF(BT$3&lt;='Bonding Program'!$C$8,IF(AND('Bonding Program'!$K$54&lt;&gt;"",BT$3='Bonding Program'!$K$54),'Bonding Program'!$J$54,0)-IF(AND('Bonding Program'!$M$54&lt;&gt;"",BT$3='Bonding Program'!$M$54),'Bonding Program'!$L$54,0)-IF(AND('Bonding Program'!$P$54&lt;&gt;"",BT$3='Bonding Program'!$P$54),'Bonding Program'!$O$54,0)-IF(AND('Bonding Program'!$R$54&lt;&gt;"",BT$3='Bonding Program'!$R$54),'Bonding Program'!$Q$54,0),0)</f>
        <v>0</v>
      </c>
      <c r="BU195" s="19" t="n">
        <f aca="false">IF(AND('Bonding Program'!$S$54=1,BU$3='Bonding Program'!$H$54),'Bonding Program'!$AA$54,0)-IF(BU$3&lt;='Bonding Program'!$C$8,IF(AND('Bonding Program'!$K$54&lt;&gt;"",BU$3='Bonding Program'!$K$54),'Bonding Program'!$J$54,0)-IF(AND('Bonding Program'!$M$54&lt;&gt;"",BU$3='Bonding Program'!$M$54),'Bonding Program'!$L$54,0)-IF(AND('Bonding Program'!$P$54&lt;&gt;"",BU$3='Bonding Program'!$P$54),'Bonding Program'!$O$54,0)-IF(AND('Bonding Program'!$R$54&lt;&gt;"",BU$3='Bonding Program'!$R$54),'Bonding Program'!$Q$54,0),0)</f>
        <v>0</v>
      </c>
      <c r="BV195" s="19" t="n">
        <f aca="false">IF(AND('Bonding Program'!$S$54=1,BV$3='Bonding Program'!$H$54),'Bonding Program'!$AA$54,0)-IF(BV$3&lt;='Bonding Program'!$C$8,IF(AND('Bonding Program'!$K$54&lt;&gt;"",BV$3='Bonding Program'!$K$54),'Bonding Program'!$J$54,0)-IF(AND('Bonding Program'!$M$54&lt;&gt;"",BV$3='Bonding Program'!$M$54),'Bonding Program'!$L$54,0)-IF(AND('Bonding Program'!$P$54&lt;&gt;"",BV$3='Bonding Program'!$P$54),'Bonding Program'!$O$54,0)-IF(AND('Bonding Program'!$R$54&lt;&gt;"",BV$3='Bonding Program'!$R$54),'Bonding Program'!$Q$54,0),0)</f>
        <v>0</v>
      </c>
      <c r="BW195" s="19" t="n">
        <f aca="false">IF(AND('Bonding Program'!$S$54=1,BW$3='Bonding Program'!$H$54),'Bonding Program'!$AA$54,0)-IF(BW$3&lt;='Bonding Program'!$C$8,IF(AND('Bonding Program'!$K$54&lt;&gt;"",BW$3='Bonding Program'!$K$54),'Bonding Program'!$J$54,0)-IF(AND('Bonding Program'!$M$54&lt;&gt;"",BW$3='Bonding Program'!$M$54),'Bonding Program'!$L$54,0)-IF(AND('Bonding Program'!$P$54&lt;&gt;"",BW$3='Bonding Program'!$P$54),'Bonding Program'!$O$54,0)-IF(AND('Bonding Program'!$R$54&lt;&gt;"",BW$3='Bonding Program'!$R$54),'Bonding Program'!$Q$54,0),0)</f>
        <v>0</v>
      </c>
      <c r="BX195" s="19" t="n">
        <f aca="false">IF(AND('Bonding Program'!$S$54=1,BX$3='Bonding Program'!$H$54),'Bonding Program'!$AA$54,0)-IF(BX$3&lt;='Bonding Program'!$C$8,IF(AND('Bonding Program'!$K$54&lt;&gt;"",BX$3='Bonding Program'!$K$54),'Bonding Program'!$J$54,0)-IF(AND('Bonding Program'!$M$54&lt;&gt;"",BX$3='Bonding Program'!$M$54),'Bonding Program'!$L$54,0)-IF(AND('Bonding Program'!$P$54&lt;&gt;"",BX$3='Bonding Program'!$P$54),'Bonding Program'!$O$54,0)-IF(AND('Bonding Program'!$R$54&lt;&gt;"",BX$3='Bonding Program'!$R$54),'Bonding Program'!$Q$54,0),0)</f>
        <v>0</v>
      </c>
      <c r="BY195" s="19" t="n">
        <f aca="false">IF(AND('Bonding Program'!$S$54=1,BY$3='Bonding Program'!$H$54),'Bonding Program'!$AA$54,0)-IF(BY$3&lt;='Bonding Program'!$C$8,IF(AND('Bonding Program'!$K$54&lt;&gt;"",BY$3='Bonding Program'!$K$54),'Bonding Program'!$J$54,0)-IF(AND('Bonding Program'!$M$54&lt;&gt;"",BY$3='Bonding Program'!$M$54),'Bonding Program'!$L$54,0)-IF(AND('Bonding Program'!$P$54&lt;&gt;"",BY$3='Bonding Program'!$P$54),'Bonding Program'!$O$54,0)-IF(AND('Bonding Program'!$R$54&lt;&gt;"",BY$3='Bonding Program'!$R$54),'Bonding Program'!$Q$54,0),0)</f>
        <v>0</v>
      </c>
      <c r="BZ195" s="19" t="n">
        <f aca="false">IF(AND('Bonding Program'!$S$54=1,BZ$3='Bonding Program'!$H$54),'Bonding Program'!$AA$54,0)-IF(BZ$3&lt;='Bonding Program'!$C$8,IF(AND('Bonding Program'!$K$54&lt;&gt;"",BZ$3='Bonding Program'!$K$54),'Bonding Program'!$J$54,0)-IF(AND('Bonding Program'!$M$54&lt;&gt;"",BZ$3='Bonding Program'!$M$54),'Bonding Program'!$L$54,0)-IF(AND('Bonding Program'!$P$54&lt;&gt;"",BZ$3='Bonding Program'!$P$54),'Bonding Program'!$O$54,0)-IF(AND('Bonding Program'!$R$54&lt;&gt;"",BZ$3='Bonding Program'!$R$54),'Bonding Program'!$Q$54,0),0)</f>
        <v>0</v>
      </c>
      <c r="CA195" s="19" t="n">
        <f aca="false">IF(AND('Bonding Program'!$S$54=1,CA$3='Bonding Program'!$H$54),'Bonding Program'!$AA$54,0)-IF(CA$3&lt;='Bonding Program'!$C$8,IF(AND('Bonding Program'!$K$54&lt;&gt;"",CA$3='Bonding Program'!$K$54),'Bonding Program'!$J$54,0)-IF(AND('Bonding Program'!$M$54&lt;&gt;"",CA$3='Bonding Program'!$M$54),'Bonding Program'!$L$54,0)-IF(AND('Bonding Program'!$P$54&lt;&gt;"",CA$3='Bonding Program'!$P$54),'Bonding Program'!$O$54,0)-IF(AND('Bonding Program'!$R$54&lt;&gt;"",CA$3='Bonding Program'!$R$54),'Bonding Program'!$Q$54,0),0)</f>
        <v>0</v>
      </c>
      <c r="CB195" s="19" t="n">
        <f aca="false">IF(AND('Bonding Program'!$S$54=1,CB$3='Bonding Program'!$H$54),'Bonding Program'!$AA$54,0)-IF(CB$3&lt;='Bonding Program'!$C$8,IF(AND('Bonding Program'!$K$54&lt;&gt;"",CB$3='Bonding Program'!$K$54),'Bonding Program'!$J$54,0)-IF(AND('Bonding Program'!$M$54&lt;&gt;"",CB$3='Bonding Program'!$M$54),'Bonding Program'!$L$54,0)-IF(AND('Bonding Program'!$P$54&lt;&gt;"",CB$3='Bonding Program'!$P$54),'Bonding Program'!$O$54,0)-IF(AND('Bonding Program'!$R$54&lt;&gt;"",CB$3='Bonding Program'!$R$54),'Bonding Program'!$Q$54,0),0)</f>
        <v>0</v>
      </c>
      <c r="CC195" s="19" t="n">
        <f aca="false">IF(AND('Bonding Program'!$S$54=1,CC$3='Bonding Program'!$H$54),'Bonding Program'!$AA$54,0)-IF(CC$3&lt;='Bonding Program'!$C$8,IF(AND('Bonding Program'!$K$54&lt;&gt;"",CC$3='Bonding Program'!$K$54),'Bonding Program'!$J$54,0)-IF(AND('Bonding Program'!$M$54&lt;&gt;"",CC$3='Bonding Program'!$M$54),'Bonding Program'!$L$54,0)-IF(AND('Bonding Program'!$P$54&lt;&gt;"",CC$3='Bonding Program'!$P$54),'Bonding Program'!$O$54,0)-IF(AND('Bonding Program'!$R$54&lt;&gt;"",CC$3='Bonding Program'!$R$54),'Bonding Program'!$Q$54,0),0)</f>
        <v>0</v>
      </c>
      <c r="CD195" s="19" t="n">
        <f aca="false">IF(AND('Bonding Program'!$S$54=1,CD$3='Bonding Program'!$H$54),'Bonding Program'!$AA$54,0)-IF(CD$3&lt;='Bonding Program'!$C$8,IF(AND('Bonding Program'!$K$54&lt;&gt;"",CD$3='Bonding Program'!$K$54),'Bonding Program'!$J$54,0)-IF(AND('Bonding Program'!$M$54&lt;&gt;"",CD$3='Bonding Program'!$M$54),'Bonding Program'!$L$54,0)-IF(AND('Bonding Program'!$P$54&lt;&gt;"",CD$3='Bonding Program'!$P$54),'Bonding Program'!$O$54,0)-IF(AND('Bonding Program'!$R$54&lt;&gt;"",CD$3='Bonding Program'!$R$54),'Bonding Program'!$Q$54,0),0)</f>
        <v>0</v>
      </c>
      <c r="CE195" s="19" t="n">
        <f aca="false">IF(AND('Bonding Program'!$S$54=1,CE$3='Bonding Program'!$H$54),'Bonding Program'!$AA$54,0)-IF(CE$3&lt;='Bonding Program'!$C$8,IF(AND('Bonding Program'!$K$54&lt;&gt;"",CE$3='Bonding Program'!$K$54),'Bonding Program'!$J$54,0)-IF(AND('Bonding Program'!$M$54&lt;&gt;"",CE$3='Bonding Program'!$M$54),'Bonding Program'!$L$54,0)-IF(AND('Bonding Program'!$P$54&lt;&gt;"",CE$3='Bonding Program'!$P$54),'Bonding Program'!$O$54,0)-IF(AND('Bonding Program'!$R$54&lt;&gt;"",CE$3='Bonding Program'!$R$54),'Bonding Program'!$Q$54,0),0)</f>
        <v>0</v>
      </c>
      <c r="CF195" s="19" t="n">
        <f aca="false">IF(AND('Bonding Program'!$S$54=1,CF$3='Bonding Program'!$H$54),'Bonding Program'!$AA$54,0)-IF(CF$3&lt;='Bonding Program'!$C$8,IF(AND('Bonding Program'!$K$54&lt;&gt;"",CF$3='Bonding Program'!$K$54),'Bonding Program'!$J$54,0)-IF(AND('Bonding Program'!$M$54&lt;&gt;"",CF$3='Bonding Program'!$M$54),'Bonding Program'!$L$54,0)-IF(AND('Bonding Program'!$P$54&lt;&gt;"",CF$3='Bonding Program'!$P$54),'Bonding Program'!$O$54,0)-IF(AND('Bonding Program'!$R$54&lt;&gt;"",CF$3='Bonding Program'!$R$54),'Bonding Program'!$Q$54,0),0)</f>
        <v>0</v>
      </c>
      <c r="CG195" s="19" t="n">
        <f aca="false">IF(AND('Bonding Program'!$S$54=1,CG$3='Bonding Program'!$H$54),'Bonding Program'!$AA$54,0)-IF(CG$3&lt;='Bonding Program'!$C$8,IF(AND('Bonding Program'!$K$54&lt;&gt;"",CG$3='Bonding Program'!$K$54),'Bonding Program'!$J$54,0)-IF(AND('Bonding Program'!$M$54&lt;&gt;"",CG$3='Bonding Program'!$M$54),'Bonding Program'!$L$54,0)-IF(AND('Bonding Program'!$P$54&lt;&gt;"",CG$3='Bonding Program'!$P$54),'Bonding Program'!$O$54,0)-IF(AND('Bonding Program'!$R$54&lt;&gt;"",CG$3='Bonding Program'!$R$54),'Bonding Program'!$Q$54,0),0)</f>
        <v>0</v>
      </c>
      <c r="CH195" s="19" t="n">
        <f aca="false">IF(AND('Bonding Program'!$S$54=1,CH$3='Bonding Program'!$H$54),'Bonding Program'!$AA$54,0)-IF(CH$3&lt;='Bonding Program'!$C$8,IF(AND('Bonding Program'!$K$54&lt;&gt;"",CH$3='Bonding Program'!$K$54),'Bonding Program'!$J$54,0)-IF(AND('Bonding Program'!$M$54&lt;&gt;"",CH$3='Bonding Program'!$M$54),'Bonding Program'!$L$54,0)-IF(AND('Bonding Program'!$P$54&lt;&gt;"",CH$3='Bonding Program'!$P$54),'Bonding Program'!$O$54,0)-IF(AND('Bonding Program'!$R$54&lt;&gt;"",CH$3='Bonding Program'!$R$54),'Bonding Program'!$Q$54,0),0)</f>
        <v>0</v>
      </c>
      <c r="CI195" s="19" t="n">
        <f aca="false">IF(AND('Bonding Program'!$S$54=1,CI$3='Bonding Program'!$H$54),'Bonding Program'!$AA$54,0)-IF(CI$3&lt;='Bonding Program'!$C$8,IF(AND('Bonding Program'!$K$54&lt;&gt;"",CI$3='Bonding Program'!$K$54),'Bonding Program'!$J$54,0)-IF(AND('Bonding Program'!$M$54&lt;&gt;"",CI$3='Bonding Program'!$M$54),'Bonding Program'!$L$54,0)-IF(AND('Bonding Program'!$P$54&lt;&gt;"",CI$3='Bonding Program'!$P$54),'Bonding Program'!$O$54,0)-IF(AND('Bonding Program'!$R$54&lt;&gt;"",CI$3='Bonding Program'!$R$54),'Bonding Program'!$Q$54,0),0)</f>
        <v>0</v>
      </c>
      <c r="CJ195" s="19" t="n">
        <f aca="false">IF(AND('Bonding Program'!$S$54=1,CJ$3='Bonding Program'!$H$54),'Bonding Program'!$AA$54,0)-IF(CJ$3&lt;='Bonding Program'!$C$8,IF(AND('Bonding Program'!$K$54&lt;&gt;"",CJ$3='Bonding Program'!$K$54),'Bonding Program'!$J$54,0)-IF(AND('Bonding Program'!$M$54&lt;&gt;"",CJ$3='Bonding Program'!$M$54),'Bonding Program'!$L$54,0)-IF(AND('Bonding Program'!$P$54&lt;&gt;"",CJ$3='Bonding Program'!$P$54),'Bonding Program'!$O$54,0)-IF(AND('Bonding Program'!$R$54&lt;&gt;"",CJ$3='Bonding Program'!$R$54),'Bonding Program'!$Q$54,0),0)</f>
        <v>0</v>
      </c>
      <c r="CK195" s="19" t="n">
        <f aca="false">IF(AND('Bonding Program'!$S$54=1,CK$3='Bonding Program'!$H$54),'Bonding Program'!$AA$54,0)-IF(CK$3&lt;='Bonding Program'!$C$8,IF(AND('Bonding Program'!$K$54&lt;&gt;"",CK$3='Bonding Program'!$K$54),'Bonding Program'!$J$54,0)-IF(AND('Bonding Program'!$M$54&lt;&gt;"",CK$3='Bonding Program'!$M$54),'Bonding Program'!$L$54,0)-IF(AND('Bonding Program'!$P$54&lt;&gt;"",CK$3='Bonding Program'!$P$54),'Bonding Program'!$O$54,0)-IF(AND('Bonding Program'!$R$54&lt;&gt;"",CK$3='Bonding Program'!$R$54),'Bonding Program'!$Q$54,0),0)</f>
        <v>0</v>
      </c>
      <c r="CL195" s="19" t="n">
        <f aca="false">IF(AND('Bonding Program'!$S$54=1,CL$3='Bonding Program'!$H$54),'Bonding Program'!$AA$54,0)-IF(CL$3&lt;='Bonding Program'!$C$8,IF(AND('Bonding Program'!$K$54&lt;&gt;"",CL$3='Bonding Program'!$K$54),'Bonding Program'!$J$54,0)-IF(AND('Bonding Program'!$M$54&lt;&gt;"",CL$3='Bonding Program'!$M$54),'Bonding Program'!$L$54,0)-IF(AND('Bonding Program'!$P$54&lt;&gt;"",CL$3='Bonding Program'!$P$54),'Bonding Program'!$O$54,0)-IF(AND('Bonding Program'!$R$54&lt;&gt;"",CL$3='Bonding Program'!$R$54),'Bonding Program'!$Q$54,0),0)</f>
        <v>0</v>
      </c>
      <c r="CM195" s="19" t="n">
        <f aca="false">IF(AND('Bonding Program'!$S$54=1,CM$3='Bonding Program'!$H$54),'Bonding Program'!$AA$54,0)-IF(CM$3&lt;='Bonding Program'!$C$8,IF(AND('Bonding Program'!$K$54&lt;&gt;"",CM$3='Bonding Program'!$K$54),'Bonding Program'!$J$54,0)-IF(AND('Bonding Program'!$M$54&lt;&gt;"",CM$3='Bonding Program'!$M$54),'Bonding Program'!$L$54,0)-IF(AND('Bonding Program'!$P$54&lt;&gt;"",CM$3='Bonding Program'!$P$54),'Bonding Program'!$O$54,0)-IF(AND('Bonding Program'!$R$54&lt;&gt;"",CM$3='Bonding Program'!$R$54),'Bonding Program'!$Q$54,0),0)</f>
        <v>0</v>
      </c>
      <c r="CN195" s="19" t="n">
        <f aca="false">IF(AND('Bonding Program'!$S$54=1,CN$3='Bonding Program'!$H$54),'Bonding Program'!$AA$54,0)-IF(CN$3&lt;='Bonding Program'!$C$8,IF(AND('Bonding Program'!$K$54&lt;&gt;"",CN$3='Bonding Program'!$K$54),'Bonding Program'!$J$54,0)-IF(AND('Bonding Program'!$M$54&lt;&gt;"",CN$3='Bonding Program'!$M$54),'Bonding Program'!$L$54,0)-IF(AND('Bonding Program'!$P$54&lt;&gt;"",CN$3='Bonding Program'!$P$54),'Bonding Program'!$O$54,0)-IF(AND('Bonding Program'!$R$54&lt;&gt;"",CN$3='Bonding Program'!$R$54),'Bonding Program'!$Q$54,0),0)</f>
        <v>0</v>
      </c>
      <c r="CO195" s="19" t="n">
        <f aca="false">IF(AND('Bonding Program'!$S$54=1,CO$3='Bonding Program'!$H$54),'Bonding Program'!$AA$54,0)-IF(CO$3&lt;='Bonding Program'!$C$8,IF(AND('Bonding Program'!$K$54&lt;&gt;"",CO$3='Bonding Program'!$K$54),'Bonding Program'!$J$54,0)-IF(AND('Bonding Program'!$M$54&lt;&gt;"",CO$3='Bonding Program'!$M$54),'Bonding Program'!$L$54,0)-IF(AND('Bonding Program'!$P$54&lt;&gt;"",CO$3='Bonding Program'!$P$54),'Bonding Program'!$O$54,0)-IF(AND('Bonding Program'!$R$54&lt;&gt;"",CO$3='Bonding Program'!$R$54),'Bonding Program'!$Q$54,0),0)</f>
        <v>0</v>
      </c>
      <c r="CP195" s="19" t="n">
        <f aca="false">IF(AND('Bonding Program'!$S$54=1,CP$3='Bonding Program'!$H$54),'Bonding Program'!$AA$54,0)-IF(CP$3&lt;='Bonding Program'!$C$8,IF(AND('Bonding Program'!$K$54&lt;&gt;"",CP$3='Bonding Program'!$K$54),'Bonding Program'!$J$54,0)-IF(AND('Bonding Program'!$M$54&lt;&gt;"",CP$3='Bonding Program'!$M$54),'Bonding Program'!$L$54,0)-IF(AND('Bonding Program'!$P$54&lt;&gt;"",CP$3='Bonding Program'!$P$54),'Bonding Program'!$O$54,0)-IF(AND('Bonding Program'!$R$54&lt;&gt;"",CP$3='Bonding Program'!$R$54),'Bonding Program'!$Q$54,0),0)</f>
        <v>0</v>
      </c>
      <c r="CQ195" s="19" t="n">
        <f aca="false">IF(AND('Bonding Program'!$S$54=1,CQ$3='Bonding Program'!$H$54),'Bonding Program'!$AA$54,0)-IF(CQ$3&lt;='Bonding Program'!$C$8,IF(AND('Bonding Program'!$K$54&lt;&gt;"",CQ$3='Bonding Program'!$K$54),'Bonding Program'!$J$54,0)-IF(AND('Bonding Program'!$M$54&lt;&gt;"",CQ$3='Bonding Program'!$M$54),'Bonding Program'!$L$54,0)-IF(AND('Bonding Program'!$P$54&lt;&gt;"",CQ$3='Bonding Program'!$P$54),'Bonding Program'!$O$54,0)-IF(AND('Bonding Program'!$R$54&lt;&gt;"",CQ$3='Bonding Program'!$R$54),'Bonding Program'!$Q$54,0),0)</f>
        <v>0</v>
      </c>
      <c r="CR195" s="19" t="n">
        <f aca="false">IF(AND('Bonding Program'!$S$54=1,CR$3='Bonding Program'!$H$54),'Bonding Program'!$AA$54,0)-IF(CR$3&lt;='Bonding Program'!$C$8,IF(AND('Bonding Program'!$K$54&lt;&gt;"",CR$3='Bonding Program'!$K$54),'Bonding Program'!$J$54,0)-IF(AND('Bonding Program'!$M$54&lt;&gt;"",CR$3='Bonding Program'!$M$54),'Bonding Program'!$L$54,0)-IF(AND('Bonding Program'!$P$54&lt;&gt;"",CR$3='Bonding Program'!$P$54),'Bonding Program'!$O$54,0)-IF(AND('Bonding Program'!$R$54&lt;&gt;"",CR$3='Bonding Program'!$R$54),'Bonding Program'!$Q$54,0),0)</f>
        <v>0</v>
      </c>
      <c r="CS195" s="19" t="n">
        <f aca="false">IF(AND('Bonding Program'!$S$54=1,CS$3='Bonding Program'!$H$54),'Bonding Program'!$AA$54,0)-IF(CS$3&lt;='Bonding Program'!$C$8,IF(AND('Bonding Program'!$K$54&lt;&gt;"",CS$3='Bonding Program'!$K$54),'Bonding Program'!$J$54,0)-IF(AND('Bonding Program'!$M$54&lt;&gt;"",CS$3='Bonding Program'!$M$54),'Bonding Program'!$L$54,0)-IF(AND('Bonding Program'!$P$54&lt;&gt;"",CS$3='Bonding Program'!$P$54),'Bonding Program'!$O$54,0)-IF(AND('Bonding Program'!$R$54&lt;&gt;"",CS$3='Bonding Program'!$R$54),'Bonding Program'!$Q$54,0),0)</f>
        <v>0</v>
      </c>
      <c r="CT195" s="19" t="n">
        <f aca="false">IF(AND('Bonding Program'!$S$54=1,CT$3='Bonding Program'!$H$54),'Bonding Program'!$AA$54,0)-IF(CT$3&lt;='Bonding Program'!$C$8,IF(AND('Bonding Program'!$K$54&lt;&gt;"",CT$3='Bonding Program'!$K$54),'Bonding Program'!$J$54,0)-IF(AND('Bonding Program'!$M$54&lt;&gt;"",CT$3='Bonding Program'!$M$54),'Bonding Program'!$L$54,0)-IF(AND('Bonding Program'!$P$54&lt;&gt;"",CT$3='Bonding Program'!$P$54),'Bonding Program'!$O$54,0)-IF(AND('Bonding Program'!$R$54&lt;&gt;"",CT$3='Bonding Program'!$R$54),'Bonding Program'!$Q$54,0),0)</f>
        <v>0</v>
      </c>
      <c r="CU195" s="19" t="n">
        <f aca="false">IF(AND('Bonding Program'!$S$54=1,CU$3='Bonding Program'!$H$54),'Bonding Program'!$AA$54,0)-IF(CU$3&lt;='Bonding Program'!$C$8,IF(AND('Bonding Program'!$K$54&lt;&gt;"",CU$3='Bonding Program'!$K$54),'Bonding Program'!$J$54,0)-IF(AND('Bonding Program'!$M$54&lt;&gt;"",CU$3='Bonding Program'!$M$54),'Bonding Program'!$L$54,0)-IF(AND('Bonding Program'!$P$54&lt;&gt;"",CU$3='Bonding Program'!$P$54),'Bonding Program'!$O$54,0)-IF(AND('Bonding Program'!$R$54&lt;&gt;"",CU$3='Bonding Program'!$R$54),'Bonding Program'!$Q$54,0),0)</f>
        <v>0</v>
      </c>
      <c r="CV195" s="19" t="n">
        <f aca="false">IF(AND('Bonding Program'!$S$54=1,CV$3='Bonding Program'!$H$54),'Bonding Program'!$AA$54,0)-IF(CV$3&lt;='Bonding Program'!$C$8,IF(AND('Bonding Program'!$K$54&lt;&gt;"",CV$3='Bonding Program'!$K$54),'Bonding Program'!$J$54,0)-IF(AND('Bonding Program'!$M$54&lt;&gt;"",CV$3='Bonding Program'!$M$54),'Bonding Program'!$L$54,0)-IF(AND('Bonding Program'!$P$54&lt;&gt;"",CV$3='Bonding Program'!$P$54),'Bonding Program'!$O$54,0)-IF(AND('Bonding Program'!$R$54&lt;&gt;"",CV$3='Bonding Program'!$R$54),'Bonding Program'!$Q$54,0),0)</f>
        <v>0</v>
      </c>
      <c r="CW195" s="19" t="n">
        <f aca="false">IF(AND('Bonding Program'!$S$54=1,CW$3='Bonding Program'!$H$54),'Bonding Program'!$AA$54,0)-IF(CW$3&lt;='Bonding Program'!$C$8,IF(AND('Bonding Program'!$K$54&lt;&gt;"",CW$3='Bonding Program'!$K$54),'Bonding Program'!$J$54,0)-IF(AND('Bonding Program'!$M$54&lt;&gt;"",CW$3='Bonding Program'!$M$54),'Bonding Program'!$L$54,0)-IF(AND('Bonding Program'!$P$54&lt;&gt;"",CW$3='Bonding Program'!$P$54),'Bonding Program'!$O$54,0)-IF(AND('Bonding Program'!$R$54&lt;&gt;"",CW$3='Bonding Program'!$R$54),'Bonding Program'!$Q$54,0),0)</f>
        <v>0</v>
      </c>
      <c r="CX195" s="19" t="n">
        <f aca="false">IF(AND('Bonding Program'!$S$54=1,CX$3='Bonding Program'!$H$54),'Bonding Program'!$AA$54,0)-IF(CX$3&lt;='Bonding Program'!$C$8,IF(AND('Bonding Program'!$K$54&lt;&gt;"",CX$3='Bonding Program'!$K$54),'Bonding Program'!$J$54,0)-IF(AND('Bonding Program'!$M$54&lt;&gt;"",CX$3='Bonding Program'!$M$54),'Bonding Program'!$L$54,0)-IF(AND('Bonding Program'!$P$54&lt;&gt;"",CX$3='Bonding Program'!$P$54),'Bonding Program'!$O$54,0)-IF(AND('Bonding Program'!$R$54&lt;&gt;"",CX$3='Bonding Program'!$R$54),'Bonding Program'!$Q$54,0),0)</f>
        <v>0</v>
      </c>
      <c r="CY195" s="19" t="n">
        <f aca="false">IF(AND('Bonding Program'!$S$54=1,CY$3='Bonding Program'!$H$54),'Bonding Program'!$AA$54,0)-IF(CY$3&lt;='Bonding Program'!$C$8,IF(AND('Bonding Program'!$K$54&lt;&gt;"",CY$3='Bonding Program'!$K$54),'Bonding Program'!$J$54,0)-IF(AND('Bonding Program'!$M$54&lt;&gt;"",CY$3='Bonding Program'!$M$54),'Bonding Program'!$L$54,0)-IF(AND('Bonding Program'!$P$54&lt;&gt;"",CY$3='Bonding Program'!$P$54),'Bonding Program'!$O$54,0)-IF(AND('Bonding Program'!$R$54&lt;&gt;"",CY$3='Bonding Program'!$R$54),'Bonding Program'!$Q$54,0),0)</f>
        <v>0</v>
      </c>
      <c r="CZ195" s="19" t="n">
        <f aca="false">IF(AND('Bonding Program'!$S$54=1,CZ$3='Bonding Program'!$H$54),'Bonding Program'!$AA$54,0)-IF(CZ$3&lt;='Bonding Program'!$C$8,IF(AND('Bonding Program'!$K$54&lt;&gt;"",CZ$3='Bonding Program'!$K$54),'Bonding Program'!$J$54,0)-IF(AND('Bonding Program'!$M$54&lt;&gt;"",CZ$3='Bonding Program'!$M$54),'Bonding Program'!$L$54,0)-IF(AND('Bonding Program'!$P$54&lt;&gt;"",CZ$3='Bonding Program'!$P$54),'Bonding Program'!$O$54,0)-IF(AND('Bonding Program'!$R$54&lt;&gt;"",CZ$3='Bonding Program'!$R$54),'Bonding Program'!$Q$54,0),0)</f>
        <v>0</v>
      </c>
      <c r="DA195" s="19" t="n">
        <f aca="false">IF(AND('Bonding Program'!$S$54=1,DA$3='Bonding Program'!$H$54),'Bonding Program'!$AA$54,0)-IF(DA$3&lt;='Bonding Program'!$C$8,IF(AND('Bonding Program'!$K$54&lt;&gt;"",DA$3='Bonding Program'!$K$54),'Bonding Program'!$J$54,0)-IF(AND('Bonding Program'!$M$54&lt;&gt;"",DA$3='Bonding Program'!$M$54),'Bonding Program'!$L$54,0)-IF(AND('Bonding Program'!$P$54&lt;&gt;"",DA$3='Bonding Program'!$P$54),'Bonding Program'!$O$54,0)-IF(AND('Bonding Program'!$R$54&lt;&gt;"",DA$3='Bonding Program'!$R$54),'Bonding Program'!$Q$54,0),0)</f>
        <v>0</v>
      </c>
      <c r="DB195" s="19" t="n">
        <f aca="false">IF(AND('Bonding Program'!$S$54=1,DB$3='Bonding Program'!$H$54),'Bonding Program'!$AA$54,0)-IF(DB$3&lt;='Bonding Program'!$C$8,IF(AND('Bonding Program'!$K$54&lt;&gt;"",DB$3='Bonding Program'!$K$54),'Bonding Program'!$J$54,0)-IF(AND('Bonding Program'!$M$54&lt;&gt;"",DB$3='Bonding Program'!$M$54),'Bonding Program'!$L$54,0)-IF(AND('Bonding Program'!$P$54&lt;&gt;"",DB$3='Bonding Program'!$P$54),'Bonding Program'!$O$54,0)-IF(AND('Bonding Program'!$R$54&lt;&gt;"",DB$3='Bonding Program'!$R$54),'Bonding Program'!$Q$54,0),0)</f>
        <v>0</v>
      </c>
      <c r="DC195" s="19" t="n">
        <f aca="false">IF(AND('Bonding Program'!$S$54=1,DC$3='Bonding Program'!$H$54),'Bonding Program'!$AA$54,0)-IF(DC$3&lt;='Bonding Program'!$C$8,IF(AND('Bonding Program'!$K$54&lt;&gt;"",DC$3='Bonding Program'!$K$54),'Bonding Program'!$J$54,0)-IF(AND('Bonding Program'!$M$54&lt;&gt;"",DC$3='Bonding Program'!$M$54),'Bonding Program'!$L$54,0)-IF(AND('Bonding Program'!$P$54&lt;&gt;"",DC$3='Bonding Program'!$P$54),'Bonding Program'!$O$54,0)-IF(AND('Bonding Program'!$R$54&lt;&gt;"",DC$3='Bonding Program'!$R$54),'Bonding Program'!$Q$54,0),0)</f>
        <v>0</v>
      </c>
      <c r="DD195" s="19" t="n">
        <f aca="false">IF(AND('Bonding Program'!$S$54=1,DD$3='Bonding Program'!$H$54),'Bonding Program'!$AA$54,0)-IF(DD$3&lt;='Bonding Program'!$C$8,IF(AND('Bonding Program'!$K$54&lt;&gt;"",DD$3='Bonding Program'!$K$54),'Bonding Program'!$J$54,0)-IF(AND('Bonding Program'!$M$54&lt;&gt;"",DD$3='Bonding Program'!$M$54),'Bonding Program'!$L$54,0)-IF(AND('Bonding Program'!$P$54&lt;&gt;"",DD$3='Bonding Program'!$P$54),'Bonding Program'!$O$54,0)-IF(AND('Bonding Program'!$R$54&lt;&gt;"",DD$3='Bonding Program'!$R$54),'Bonding Program'!$Q$54,0),0)</f>
        <v>0</v>
      </c>
      <c r="DE195" s="19" t="n">
        <f aca="false">IF(AND('Bonding Program'!$S$54=1,DE$3='Bonding Program'!$H$54),'Bonding Program'!$AA$54,0)-IF(DE$3&lt;='Bonding Program'!$C$8,IF(AND('Bonding Program'!$K$54&lt;&gt;"",DE$3='Bonding Program'!$K$54),'Bonding Program'!$J$54,0)-IF(AND('Bonding Program'!$M$54&lt;&gt;"",DE$3='Bonding Program'!$M$54),'Bonding Program'!$L$54,0)-IF(AND('Bonding Program'!$P$54&lt;&gt;"",DE$3='Bonding Program'!$P$54),'Bonding Program'!$O$54,0)-IF(AND('Bonding Program'!$R$54&lt;&gt;"",DE$3='Bonding Program'!$R$54),'Bonding Program'!$Q$54,0),0)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-947024</v>
      </c>
      <c r="I196" s="30" t="n">
        <f aca="false">SUM(I152:I195)</f>
        <v>-13528.7216250001</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819625.510000001</v>
      </c>
      <c r="I199" s="32" t="n">
        <f aca="false">I197+I198+I10+I11+I57+I104+I196</f>
        <v>547206.668375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0.116662778621483</v>
      </c>
      <c r="I200" s="33" t="n">
        <f aca="false">IFERROR(I199/I58,0)</f>
        <v>0.0902276605053434</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498113.940000001</v>
      </c>
      <c r="I237" s="37" t="n">
        <f aca="false">I199+I236</f>
        <v>162043.498375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0.0708998873284148</v>
      </c>
      <c r="I238" s="33" t="n">
        <f aca="false">IFERROR(I237/I58,0)</f>
        <v>0.0267189831620583</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0</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0</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147347.33</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87938.4904</v>
      </c>
      <c r="R261" s="30" t="n">
        <f aca="false">SUM(R240:R260)</f>
        <v>81688.2904</v>
      </c>
      <c r="S261" s="30" t="n">
        <f aca="false">SUM(S240:S260)</f>
        <v>81688.2904</v>
      </c>
      <c r="T261" s="30" t="n">
        <f aca="false">SUM(T240:T260)</f>
        <v>56182.0404</v>
      </c>
      <c r="U261" s="30" t="n">
        <f aca="false">SUM(U240:U260)</f>
        <v>53282.0404</v>
      </c>
      <c r="V261" s="30" t="n">
        <f aca="false">SUM(V240:V260)</f>
        <v>53282.0404</v>
      </c>
      <c r="W261" s="30" t="n">
        <f aca="false">SUM(W240:W260)</f>
        <v>69854.3028</v>
      </c>
      <c r="X261" s="30" t="n">
        <f aca="false">SUM(X240:X260)</f>
        <v>85887.7652</v>
      </c>
      <c r="Y261" s="30" t="n">
        <f aca="false">SUM(Y240:Y260)</f>
        <v>159835.0276</v>
      </c>
      <c r="Z261" s="30" t="n">
        <f aca="false">SUM(Z240:Z260)</f>
        <v>105410.004</v>
      </c>
      <c r="AA261" s="30" t="n">
        <f aca="false">SUM(AA240:AA260)</f>
        <v>120946.506</v>
      </c>
      <c r="AB261" s="30" t="n">
        <f aca="false">SUM(AB240:AB260)</f>
        <v>193857.996</v>
      </c>
      <c r="AC261" s="30" t="n">
        <f aca="false">SUM(AC240:AC260)</f>
        <v>152019.486</v>
      </c>
      <c r="AD261" s="30" t="n">
        <f aca="false">SUM(AD240:AD260)</f>
        <v>167555.982</v>
      </c>
      <c r="AE261" s="30" t="n">
        <f aca="false">SUM(AE240:AE260)</f>
        <v>240467.484</v>
      </c>
      <c r="AF261" s="30" t="n">
        <f aca="false">SUM(AF240:AF260)</f>
        <v>185883.577</v>
      </c>
      <c r="AG261" s="30" t="n">
        <f aca="false">SUM(AG240:AG260)</f>
        <v>189072.7405</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-37067.94</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-100269.9656</v>
      </c>
      <c r="R293" s="37" t="n">
        <f aca="false">R261+R292</f>
        <v>-106520.1656</v>
      </c>
      <c r="S293" s="37" t="n">
        <f aca="false">S261+S292</f>
        <v>-106520.1656</v>
      </c>
      <c r="T293" s="37" t="n">
        <f aca="false">T261+T292</f>
        <v>-132026.4156</v>
      </c>
      <c r="U293" s="37" t="n">
        <f aca="false">U261+U292</f>
        <v>-134926.4156</v>
      </c>
      <c r="V293" s="37" t="n">
        <f aca="false">V261+V292</f>
        <v>-134926.4156</v>
      </c>
      <c r="W293" s="37" t="n">
        <f aca="false">W261+W292</f>
        <v>-118354.1532</v>
      </c>
      <c r="X293" s="37" t="n">
        <f aca="false">X261+X292</f>
        <v>-102320.6908</v>
      </c>
      <c r="Y293" s="37" t="n">
        <f aca="false">Y261+Y292</f>
        <v>-28373.4284</v>
      </c>
      <c r="Z293" s="37" t="n">
        <f aca="false">Z261+Z292</f>
        <v>-82798.452</v>
      </c>
      <c r="AA293" s="37" t="n">
        <f aca="false">AA261+AA292</f>
        <v>-67261.95</v>
      </c>
      <c r="AB293" s="37" t="n">
        <f aca="false">AB261+AB292</f>
        <v>5649.53999999998</v>
      </c>
      <c r="AC293" s="37" t="n">
        <f aca="false">AC261+AC292</f>
        <v>-39853.13912</v>
      </c>
      <c r="AD293" s="37" t="n">
        <f aca="false">AD261+AD292</f>
        <v>-24316.64312</v>
      </c>
      <c r="AE293" s="37" t="n">
        <f aca="false">AE261+AE292</f>
        <v>48594.85888</v>
      </c>
      <c r="AF293" s="37" t="n">
        <f aca="false">AF261+AF292</f>
        <v>-5989.04812000002</v>
      </c>
      <c r="AG293" s="37" t="n">
        <f aca="false">AG261+AG292</f>
        <v>-2799.88462</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819625.510000001</v>
      </c>
      <c r="I296" s="13" t="n">
        <f aca="false">I199</f>
        <v>547206.668375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147347.33</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87938.4904</v>
      </c>
      <c r="R297" s="13" t="n">
        <f aca="false">R261</f>
        <v>81688.2904</v>
      </c>
      <c r="S297" s="13" t="n">
        <f aca="false">S261</f>
        <v>81688.2904</v>
      </c>
      <c r="T297" s="13" t="n">
        <f aca="false">T261</f>
        <v>56182.0404</v>
      </c>
      <c r="U297" s="13" t="n">
        <f aca="false">U261</f>
        <v>53282.0404</v>
      </c>
      <c r="V297" s="13" t="n">
        <f aca="false">V261</f>
        <v>53282.0404</v>
      </c>
      <c r="W297" s="13" t="n">
        <f aca="false">W261</f>
        <v>69854.3028</v>
      </c>
      <c r="X297" s="13" t="n">
        <f aca="false">X261</f>
        <v>85887.7652</v>
      </c>
      <c r="Y297" s="13" t="n">
        <f aca="false">Y261</f>
        <v>159835.0276</v>
      </c>
      <c r="Z297" s="13" t="n">
        <f aca="false">Z261</f>
        <v>105410.004</v>
      </c>
      <c r="AA297" s="13" t="n">
        <f aca="false">AA261</f>
        <v>120946.506</v>
      </c>
      <c r="AB297" s="13" t="n">
        <f aca="false">AB261</f>
        <v>193857.996</v>
      </c>
      <c r="AC297" s="13" t="n">
        <f aca="false">AC261</f>
        <v>152019.486</v>
      </c>
      <c r="AD297" s="13" t="n">
        <f aca="false">AD261</f>
        <v>167555.982</v>
      </c>
      <c r="AE297" s="13" t="n">
        <f aca="false">AE261</f>
        <v>240467.484</v>
      </c>
      <c r="AF297" s="13" t="n">
        <f aca="false">AF261</f>
        <v>185883.577</v>
      </c>
      <c r="AG297" s="13" t="n">
        <f aca="false">AG261</f>
        <v>189072.7405</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897740.090000001</v>
      </c>
      <c r="I298" s="30" t="n">
        <f aca="false">I296+I297</f>
        <v>694553.998375</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257366.171611907</v>
      </c>
      <c r="R298" s="30" t="n">
        <f aca="false">R296+R297</f>
        <v>818170.992131266</v>
      </c>
      <c r="S298" s="30" t="n">
        <f aca="false">S296+S297</f>
        <v>942939.917820825</v>
      </c>
      <c r="T298" s="30" t="n">
        <f aca="false">T296+T297</f>
        <v>979155.379334083</v>
      </c>
      <c r="U298" s="30" t="n">
        <f aca="false">U296+U297</f>
        <v>1197362.84538088</v>
      </c>
      <c r="V298" s="30" t="n">
        <f aca="false">V296+V297</f>
        <v>1275941.93538088</v>
      </c>
      <c r="W298" s="30" t="n">
        <f aca="false">W296+W297</f>
        <v>1180827.89778088</v>
      </c>
      <c r="X298" s="30" t="n">
        <f aca="false">X296+X297</f>
        <v>1490739.3050398</v>
      </c>
      <c r="Y298" s="30" t="n">
        <f aca="false">Y296+Y297</f>
        <v>1402925.7474398</v>
      </c>
      <c r="Z298" s="30" t="n">
        <f aca="false">Z296+Z297</f>
        <v>1474846.9038398</v>
      </c>
      <c r="AA298" s="30" t="n">
        <f aca="false">AA296+AA297</f>
        <v>1519622.05920094</v>
      </c>
      <c r="AB298" s="30" t="n">
        <f aca="false">AB296+AB297</f>
        <v>1406201.82710043</v>
      </c>
      <c r="AC298" s="30" t="n">
        <f aca="false">AC296+AC297</f>
        <v>1135637.84785688</v>
      </c>
      <c r="AD298" s="30" t="n">
        <f aca="false">AD296+AD297</f>
        <v>1174124.25385688</v>
      </c>
      <c r="AE298" s="30" t="n">
        <f aca="false">AE296+AE297</f>
        <v>662754.063769761</v>
      </c>
      <c r="AF298" s="30" t="n">
        <f aca="false">AF296+AF297</f>
        <v>1510663.31384014</v>
      </c>
      <c r="AG298" s="30" t="n">
        <f aca="false">AG296+AG297</f>
        <v>1423949.56559166</v>
      </c>
      <c r="AH298" s="30" t="n">
        <f aca="false">AH296+AH297</f>
        <v>1307914.78762976</v>
      </c>
      <c r="AI298" s="30" t="n">
        <f aca="false">AI296+AI297</f>
        <v>1243122.68762976</v>
      </c>
      <c r="AJ298" s="30" t="n">
        <f aca="false">AJ296+AJ297</f>
        <v>1341119.47129076</v>
      </c>
      <c r="AK298" s="30" t="n">
        <f aca="false">AK296+AK297</f>
        <v>970949.736172127</v>
      </c>
      <c r="AL298" s="30" t="n">
        <f aca="false">AL296+AL297</f>
        <v>960456.007052578</v>
      </c>
      <c r="AM298" s="30" t="n">
        <f aca="false">AM296+AM297</f>
        <v>750733.601784678</v>
      </c>
      <c r="AN298" s="30" t="n">
        <f aca="false">AN296+AN297</f>
        <v>656923.500284678</v>
      </c>
      <c r="AO298" s="30" t="n">
        <f aca="false">AO296+AO297</f>
        <v>603183.268284678</v>
      </c>
      <c r="AP298" s="30" t="n">
        <f aca="false">AP296+AP297</f>
        <v>589371.640784678</v>
      </c>
      <c r="AQ298" s="30" t="n">
        <f aca="false">AQ296+AQ297</f>
        <v>575560.013284677</v>
      </c>
      <c r="AR298" s="30" t="n">
        <f aca="false">AR296+AR297</f>
        <v>561748.380284678</v>
      </c>
      <c r="AS298" s="30" t="n">
        <f aca="false">AS296+AS297</f>
        <v>540123.984784677</v>
      </c>
      <c r="AT298" s="30" t="n">
        <f aca="false">AT296+AT297</f>
        <v>881736.545138177</v>
      </c>
      <c r="AU298" s="30" t="n">
        <f aca="false">AU296+AU297</f>
        <v>493084.9739703</v>
      </c>
      <c r="AV298" s="30" t="n">
        <f aca="false">AV296+AV297</f>
        <v>210619.300868547</v>
      </c>
      <c r="AW298" s="30" t="n">
        <f aca="false">AW296+AW297</f>
        <v>279260.689368547</v>
      </c>
      <c r="AX298" s="30" t="n">
        <f aca="false">AX296+AX297</f>
        <v>238456.690868547</v>
      </c>
      <c r="AY298" s="30" t="n">
        <f aca="false">AY296+AY297</f>
        <v>225509.615868547</v>
      </c>
      <c r="AZ298" s="30" t="n">
        <f aca="false">AZ296+AZ297</f>
        <v>281398.253368547</v>
      </c>
      <c r="BA298" s="30" t="n">
        <f aca="false">BA296+BA297</f>
        <v>199286.092868547</v>
      </c>
      <c r="BB298" s="30" t="n">
        <f aca="false">BB296+BB297</f>
        <v>198855.926868547</v>
      </c>
      <c r="BC298" s="30" t="n">
        <f aca="false">BC296+BC297</f>
        <v>1131946.77186855</v>
      </c>
      <c r="BD298" s="30" t="n">
        <f aca="false">BD296+BD297</f>
        <v>197995.611368547</v>
      </c>
      <c r="BE298" s="30" t="n">
        <f aca="false">BE296+BE297</f>
        <v>197565.450868547</v>
      </c>
      <c r="BF298" s="30" t="n">
        <f aca="false">BF296+BF297</f>
        <v>328013.290368547</v>
      </c>
      <c r="BG298" s="30" t="n">
        <f aca="false">BG296+BG297</f>
        <v>196705.129868547</v>
      </c>
      <c r="BH298" s="30" t="n">
        <f aca="false">BH296+BH297</f>
        <v>445211.244424147</v>
      </c>
      <c r="BI298" s="30" t="n">
        <f aca="false">BI296+BI297</f>
        <v>169061.168</v>
      </c>
      <c r="BJ298" s="30" t="n">
        <f aca="false">BJ296+BJ297</f>
        <v>37755.0075</v>
      </c>
      <c r="BK298" s="30" t="n">
        <f aca="false">BK296+BK297</f>
        <v>37324.847</v>
      </c>
      <c r="BL298" s="30" t="n">
        <f aca="false">BL296+BL297</f>
        <v>167770.692</v>
      </c>
      <c r="BM298" s="30" t="n">
        <f aca="false">BM296+BM297</f>
        <v>59965.026</v>
      </c>
      <c r="BN298" s="30" t="n">
        <f aca="false">BN296+BN297</f>
        <v>59534.8655</v>
      </c>
      <c r="BO298" s="30" t="n">
        <f aca="false">BO296+BO297</f>
        <v>243806.995</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379730.580000001</v>
      </c>
      <c r="I302" s="37" t="n">
        <f aca="false">I298+I301</f>
        <v>124975.558375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-498555.788088093</v>
      </c>
      <c r="R302" s="37" t="n">
        <f aca="false">R298+R301</f>
        <v>13488.7824312663</v>
      </c>
      <c r="S302" s="37" t="n">
        <f aca="false">S298+S301</f>
        <v>124552.045620824</v>
      </c>
      <c r="T302" s="37" t="n">
        <f aca="false">T298+T301</f>
        <v>158598.457134083</v>
      </c>
      <c r="U302" s="37" t="n">
        <f aca="false">U298+U301</f>
        <v>377742.463180882</v>
      </c>
      <c r="V302" s="37" t="n">
        <f aca="false">V298+V301</f>
        <v>502428.47568088</v>
      </c>
      <c r="W302" s="37" t="n">
        <f aca="false">W298+W301</f>
        <v>407314.438080882</v>
      </c>
      <c r="X302" s="37" t="n">
        <f aca="false">X298+X301</f>
        <v>717225.845339797</v>
      </c>
      <c r="Y302" s="37" t="n">
        <f aca="false">Y298+Y301</f>
        <v>566846.461289796</v>
      </c>
      <c r="Z302" s="37" t="n">
        <f aca="false">Z298+Z301</f>
        <v>703883.684524412</v>
      </c>
      <c r="AA302" s="37" t="n">
        <f aca="false">AA298+AA301</f>
        <v>758274.224500936</v>
      </c>
      <c r="AB302" s="37" t="n">
        <f aca="false">AB298+AB301</f>
        <v>646486.146246588</v>
      </c>
      <c r="AC302" s="37" t="n">
        <f aca="false">AC298+AC301</f>
        <v>367104.776462878</v>
      </c>
      <c r="AD302" s="37" t="n">
        <f aca="false">AD298+AD301</f>
        <v>411960.483039801</v>
      </c>
      <c r="AE302" s="37" t="n">
        <f aca="false">AE298+AE301</f>
        <v>-77486.630124239</v>
      </c>
      <c r="AF302" s="37" t="n">
        <f aca="false">AF298+AF301</f>
        <v>770422.619946138</v>
      </c>
      <c r="AG302" s="37" t="n">
        <f aca="false">AG298+AG301</f>
        <v>683708.871697664</v>
      </c>
      <c r="AH302" s="37" t="n">
        <f aca="false">AH298+AH301</f>
        <v>571249.841428071</v>
      </c>
      <c r="AI302" s="37" t="n">
        <f aca="false">AI298+AI301</f>
        <v>518765.433735763</v>
      </c>
      <c r="AJ302" s="37" t="n">
        <f aca="false">AJ298+AJ301</f>
        <v>616762.217396764</v>
      </c>
      <c r="AK302" s="37" t="n">
        <f aca="false">AK298+AK301</f>
        <v>246592.482278127</v>
      </c>
      <c r="AL302" s="37" t="n">
        <f aca="false">AL298+AL301</f>
        <v>237886.627004731</v>
      </c>
      <c r="AM302" s="37" t="n">
        <f aca="false">AM298+AM301</f>
        <v>48397.5744291389</v>
      </c>
      <c r="AN302" s="37" t="n">
        <f aca="false">AN298+AN301</f>
        <v>9418.3119676006</v>
      </c>
      <c r="AO302" s="37" t="n">
        <f aca="false">AO298+AO301</f>
        <v>-34810.4853372023</v>
      </c>
      <c r="AP302" s="37" t="n">
        <f aca="false">AP298+AP301</f>
        <v>-48622.1128372023</v>
      </c>
      <c r="AQ302" s="37" t="n">
        <f aca="false">AQ298+AQ301</f>
        <v>-56228.6078025874</v>
      </c>
      <c r="AR302" s="37" t="n">
        <f aca="false">AR298+AR301</f>
        <v>-50424.8561872023</v>
      </c>
      <c r="AS302" s="37" t="n">
        <f aca="false">AS298+AS301</f>
        <v>-69007.5200525874</v>
      </c>
      <c r="AT302" s="37" t="n">
        <f aca="false">AT298+AT301</f>
        <v>200537.424916297</v>
      </c>
      <c r="AU302" s="37" t="n">
        <f aca="false">AU298+AU301</f>
        <v>-106431.14625158</v>
      </c>
      <c r="AV302" s="37" t="n">
        <f aca="false">AV298+AV301</f>
        <v>-388896.819353333</v>
      </c>
      <c r="AW302" s="37" t="n">
        <f aca="false">AW298+AW301</f>
        <v>-401937.430853333</v>
      </c>
      <c r="AX302" s="37" t="n">
        <f aca="false">AX298+AX301</f>
        <v>-361059.429353333</v>
      </c>
      <c r="AY302" s="37" t="n">
        <f aca="false">AY298+AY301</f>
        <v>-374006.504353333</v>
      </c>
      <c r="AZ302" s="37" t="n">
        <f aca="false">AZ298+AZ301</f>
        <v>-399799.866853333</v>
      </c>
      <c r="BA302" s="37" t="n">
        <f aca="false">BA298+BA301</f>
        <v>-412120.349757771</v>
      </c>
      <c r="BB302" s="37" t="n">
        <f aca="false">BB298+BB301</f>
        <v>-412550.515757771</v>
      </c>
      <c r="BC302" s="37" t="n">
        <f aca="false">BC298+BC301</f>
        <v>-412980.670757771</v>
      </c>
      <c r="BD302" s="37" t="n">
        <f aca="false">BD298+BD301</f>
        <v>-413410.831257771</v>
      </c>
      <c r="BE302" s="37" t="n">
        <f aca="false">BE298+BE301</f>
        <v>-413840.991757771</v>
      </c>
      <c r="BF302" s="37" t="n">
        <f aca="false">BF298+BF301</f>
        <v>-414271.152257771</v>
      </c>
      <c r="BG302" s="37" t="n">
        <f aca="false">BG298+BG301</f>
        <v>-414701.312757771</v>
      </c>
      <c r="BH302" s="37" t="n">
        <f aca="false">BH298+BH301</f>
        <v>-166195.198202171</v>
      </c>
      <c r="BI302" s="37" t="n">
        <f aca="false">BI298+BI301</f>
        <v>-573221.274626318</v>
      </c>
      <c r="BJ302" s="37" t="n">
        <f aca="false">BJ298+BJ301</f>
        <v>-573651.435126318</v>
      </c>
      <c r="BK302" s="37" t="n">
        <f aca="false">BK298+BK301</f>
        <v>-574081.595626318</v>
      </c>
      <c r="BL302" s="37" t="n">
        <f aca="false">BL298+BL301</f>
        <v>-574511.750626318</v>
      </c>
      <c r="BM302" s="37" t="n">
        <f aca="false">BM298+BM301</f>
        <v>-563569.545478844</v>
      </c>
      <c r="BN302" s="37" t="n">
        <f aca="false">BN298+BN301</f>
        <v>-563999.705978844</v>
      </c>
      <c r="BO302" s="37" t="n">
        <f aca="false">BO298+BO301</f>
        <v>-510603.576478844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0.422984986668024</v>
      </c>
      <c r="I303" s="33" t="n">
        <f aca="false">IFERROR(IF(OR(I298&lt;=0,I302/I298&lt;0,I302/I298&gt;1),0,I302/I298),0)</f>
        <v>0.179936417711793</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0.0164865077850403</v>
      </c>
      <c r="S303" s="33" t="n">
        <f aca="false">IFERROR(IF(OR(S298&lt;=0,S302/S298&lt;0,S302/S298&gt;1),0,S302/S298),0)</f>
        <v>0.132089058132855</v>
      </c>
      <c r="T303" s="33" t="n">
        <f aca="false">IFERROR(IF(OR(T298&lt;=0,T302/T298&lt;0,T302/T298&gt;1),0,T302/T298),0)</f>
        <v>0.161974759554448</v>
      </c>
      <c r="U303" s="33" t="n">
        <f aca="false">IFERROR(IF(OR(U298&lt;=0,U302/U298&lt;0,U302/U298&gt;1),0,U302/U298),0)</f>
        <v>0.315478691056863</v>
      </c>
      <c r="V303" s="33" t="n">
        <f aca="false">IFERROR(IF(OR(V298&lt;=0,V302/V298&lt;0,V302/V298&gt;1),0,V302/V298),0)</f>
        <v>0.393770642494715</v>
      </c>
      <c r="W303" s="33" t="n">
        <f aca="false">IFERROR(IF(OR(W298&lt;=0,W302/W298&lt;0,W302/W298&gt;1),0,W302/W298),0)</f>
        <v>0.344939714624243</v>
      </c>
      <c r="X303" s="33" t="n">
        <f aca="false">IFERROR(IF(OR(X298&lt;=0,X302/X298&lt;0,X302/X298&gt;1),0,X302/X298),0)</f>
        <v>0.481120906194024</v>
      </c>
      <c r="Y303" s="33" t="n">
        <f aca="false">IFERROR(IF(OR(Y298&lt;=0,Y302/Y298&lt;0,Y302/Y298&gt;1),0,Y302/Y298),0)</f>
        <v>0.404045946354778</v>
      </c>
      <c r="Z303" s="33" t="n">
        <f aca="false">IFERROR(IF(OR(Z298&lt;=0,Z302/Z298&lt;0,Z302/Z298&gt;1),0,Z302/Z298),0)</f>
        <v>0.477258814248337</v>
      </c>
      <c r="AA303" s="33" t="n">
        <f aca="false">IFERROR(IF(OR(AA298&lt;=0,AA302/AA298&lt;0,AA302/AA298&gt;1),0,AA302/AA298),0)</f>
        <v>0.498988692556661</v>
      </c>
      <c r="AB303" s="33" t="n">
        <f aca="false">IFERROR(IF(OR(AB298&lt;=0,AB302/AB298&lt;0,AB302/AB298&gt;1),0,AB302/AB298),0)</f>
        <v>0.459739230733068</v>
      </c>
      <c r="AC303" s="33" t="n">
        <f aca="false">IFERROR(IF(OR(AC298&lt;=0,AC302/AC298&lt;0,AC302/AC298&gt;1),0,AC302/AC298),0)</f>
        <v>0.323258666621283</v>
      </c>
      <c r="AD303" s="33" t="n">
        <f aca="false">IFERROR(IF(OR(AD298&lt;=0,AD302/AD298&lt;0,AD302/AD298&gt;1),0,AD302/AD298),0)</f>
        <v>0.350866172542261</v>
      </c>
      <c r="AE303" s="33" t="n">
        <f aca="false">IFERROR(IF(OR(AE298&lt;=0,AE302/AE298&lt;0,AE302/AE298&gt;1),0,AE302/AE298),0)</f>
        <v>0</v>
      </c>
      <c r="AF303" s="33" t="n">
        <f aca="false">IFERROR(IF(OR(AF298&lt;=0,AF302/AF298&lt;0,AF302/AF298&gt;1),0,AF302/AF298),0)</f>
        <v>0.509989626998823</v>
      </c>
      <c r="AG303" s="33" t="n">
        <f aca="false">IFERROR(IF(OR(AG298&lt;=0,AG302/AG298&lt;0,AG302/AG298&gt;1),0,AG302/AG298),0)</f>
        <v>0.480149640281379</v>
      </c>
      <c r="AH303" s="33" t="n">
        <f aca="false">IFERROR(IF(OR(AH298&lt;=0,AH302/AH298&lt;0,AH302/AH298&gt;1),0,AH302/AH298),0)</f>
        <v>0.436763806656934</v>
      </c>
      <c r="AI303" s="33" t="n">
        <f aca="false">IFERROR(IF(OR(AI298&lt;=0,AI302/AI298&lt;0,AI302/AI298&gt;1),0,AI302/AI298),0)</f>
        <v>0.417308314696503</v>
      </c>
      <c r="AJ303" s="33" t="n">
        <f aca="false">IFERROR(IF(OR(AJ298&lt;=0,AJ302/AJ298&lt;0,AJ302/AJ298&gt;1),0,AJ302/AJ298),0)</f>
        <v>0.459886110521652</v>
      </c>
      <c r="AK303" s="33" t="n">
        <f aca="false">IFERROR(IF(OR(AK298&lt;=0,AK302/AK298&lt;0,AK302/AK298&gt;1),0,AK302/AK298),0)</f>
        <v>0.253970389085529</v>
      </c>
      <c r="AL303" s="33" t="n">
        <f aca="false">IFERROR(IF(OR(AL298&lt;=0,AL302/AL298&lt;0,AL302/AL298&gt;1),0,AL302/AL298),0)</f>
        <v>0.247680919540242</v>
      </c>
      <c r="AM303" s="33" t="n">
        <f aca="false">IFERROR(IF(OR(AM298&lt;=0,AM302/AM298&lt;0,AM302/AM298&gt;1),0,AM302/AM298),0)</f>
        <v>0.0644670417230374</v>
      </c>
      <c r="AN303" s="33" t="n">
        <f aca="false">IFERROR(IF(OR(AN298&lt;=0,AN302/AN298&lt;0,AN302/AN298&gt;1),0,AN302/AN298),0)</f>
        <v>0.0143369996103339</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0.227434630017372</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226213.17</v>
      </c>
      <c r="I305" s="13" t="n">
        <f aca="false">ROUND(I302-(Budget!J57+Budget!J114),2)</f>
        <v>-39653.99</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-498555.79</v>
      </c>
      <c r="R305" s="13" t="n">
        <f aca="false">ROUND(R302-(Budget!S57+Budget!S114),2)</f>
        <v>13488.78</v>
      </c>
      <c r="S305" s="13" t="n">
        <f aca="false">ROUND(S302-(Budget!T57+Budget!T114),2)</f>
        <v>124552.05</v>
      </c>
      <c r="T305" s="13" t="n">
        <f aca="false">ROUND(T302-(Budget!U57+Budget!U114),2)</f>
        <v>158598.46</v>
      </c>
      <c r="U305" s="13" t="n">
        <f aca="false">ROUND(U302-(Budget!V57+Budget!V114),2)</f>
        <v>377742.46</v>
      </c>
      <c r="V305" s="13" t="n">
        <f aca="false">ROUND(V302-(Budget!W57+Budget!W114),2)</f>
        <v>502428.48</v>
      </c>
      <c r="W305" s="13" t="n">
        <f aca="false">ROUND(W302-(Budget!X57+Budget!X114),2)</f>
        <v>407314.44</v>
      </c>
      <c r="X305" s="13" t="n">
        <f aca="false">ROUND(X302-(Budget!Y57+Budget!Y114),2)</f>
        <v>717225.85</v>
      </c>
      <c r="Y305" s="13" t="n">
        <f aca="false">ROUND(Y302-(Budget!Z57+Budget!Z114),2)</f>
        <v>566846.46</v>
      </c>
      <c r="Z305" s="13" t="n">
        <f aca="false">ROUND(Z302-(Budget!AA57+Budget!AA114),2)</f>
        <v>703883.68</v>
      </c>
      <c r="AA305" s="13" t="n">
        <f aca="false">ROUND(AA302-(Budget!AB57+Budget!AB114),2)</f>
        <v>758274.22</v>
      </c>
      <c r="AB305" s="13" t="n">
        <f aca="false">ROUND(AB302-(Budget!AC57+Budget!AC114),2)</f>
        <v>646486.15</v>
      </c>
      <c r="AC305" s="13" t="n">
        <f aca="false">ROUND(AC302-(Budget!AD57+Budget!AD114),2)</f>
        <v>367104.78</v>
      </c>
      <c r="AD305" s="13" t="n">
        <f aca="false">ROUND(AD302-(Budget!AE57+Budget!AE114),2)</f>
        <v>411960.48</v>
      </c>
      <c r="AE305" s="13" t="n">
        <f aca="false">ROUND(AE302-(Budget!AF57+Budget!AF114),2)</f>
        <v>-77486.63</v>
      </c>
      <c r="AF305" s="13" t="n">
        <f aca="false">ROUND(AF302-(Budget!AG57+Budget!AG114),2)</f>
        <v>770422.62</v>
      </c>
      <c r="AG305" s="13" t="n">
        <f aca="false">ROUND(AG302-(Budget!AH57+Budget!AH114),2)</f>
        <v>683708.87</v>
      </c>
      <c r="AH305" s="13" t="n">
        <f aca="false">ROUND(AH302-(Budget!AI57+Budget!AI114),2)</f>
        <v>571249.84</v>
      </c>
      <c r="AI305" s="13" t="n">
        <f aca="false">ROUND(AI302-(Budget!AJ57+Budget!AJ114),2)</f>
        <v>518765.43</v>
      </c>
      <c r="AJ305" s="13" t="n">
        <f aca="false">ROUND(AJ302-(Budget!AK57+Budget!AK114),2)</f>
        <v>616762.22</v>
      </c>
      <c r="AK305" s="13" t="n">
        <f aca="false">ROUND(AK302-(Budget!AL57+Budget!AL114),2)</f>
        <v>246592.48</v>
      </c>
      <c r="AL305" s="13" t="n">
        <f aca="false">ROUND(AL302-(Budget!AM57+Budget!AM114),2)</f>
        <v>237886.63</v>
      </c>
      <c r="AM305" s="13" t="n">
        <f aca="false">ROUND(AM302-(Budget!AN57+Budget!AN114),2)</f>
        <v>48397.57</v>
      </c>
      <c r="AN305" s="13" t="n">
        <f aca="false">ROUND(AN302-(Budget!AO57+Budget!AO114),2)</f>
        <v>9418.31</v>
      </c>
      <c r="AO305" s="13" t="n">
        <f aca="false">ROUND(AO302-(Budget!AP57+Budget!AP114),2)</f>
        <v>-34810.49</v>
      </c>
      <c r="AP305" s="13" t="n">
        <f aca="false">ROUND(AP302-(Budget!AQ57+Budget!AQ114),2)</f>
        <v>-48622.11</v>
      </c>
      <c r="AQ305" s="13" t="n">
        <f aca="false">ROUND(AQ302-(Budget!AR57+Budget!AR114),2)</f>
        <v>-56228.61</v>
      </c>
      <c r="AR305" s="13" t="n">
        <f aca="false">ROUND(AR302-(Budget!AS57+Budget!AS114),2)</f>
        <v>-50424.86</v>
      </c>
      <c r="AS305" s="13" t="n">
        <f aca="false">ROUND(AS302-(Budget!AT57+Budget!AT114),2)</f>
        <v>-69007.52</v>
      </c>
      <c r="AT305" s="13" t="n">
        <f aca="false">ROUND(AT302-(Budget!AU57+Budget!AU114),2)</f>
        <v>200537.42</v>
      </c>
      <c r="AU305" s="13" t="n">
        <f aca="false">ROUND(AU302-(Budget!AV57+Budget!AV114),2)</f>
        <v>-106431.15</v>
      </c>
      <c r="AV305" s="13" t="n">
        <f aca="false">ROUND(AV302-(Budget!AW57+Budget!AW114),2)</f>
        <v>-388896.82</v>
      </c>
      <c r="AW305" s="13" t="n">
        <f aca="false">ROUND(AW302-(Budget!AX57+Budget!AX114),2)</f>
        <v>-401937.43</v>
      </c>
      <c r="AX305" s="13" t="n">
        <f aca="false">ROUND(AX302-(Budget!AY57+Budget!AY114),2)</f>
        <v>-361059.43</v>
      </c>
      <c r="AY305" s="13" t="n">
        <f aca="false">ROUND(AY302-(Budget!AZ57+Budget!AZ114),2)</f>
        <v>-374006.5</v>
      </c>
      <c r="AZ305" s="13" t="n">
        <f aca="false">ROUND(AZ302-(Budget!BA57+Budget!BA114),2)</f>
        <v>-399799.87</v>
      </c>
      <c r="BA305" s="13" t="n">
        <f aca="false">ROUND(BA302-(Budget!BB57+Budget!BB114),2)</f>
        <v>-412120.35</v>
      </c>
      <c r="BB305" s="13" t="n">
        <f aca="false">ROUND(BB302-(Budget!BC57+Budget!BC114),2)</f>
        <v>-412550.52</v>
      </c>
      <c r="BC305" s="13" t="n">
        <f aca="false">ROUND(BC302-(Budget!BD57+Budget!BD114),2)</f>
        <v>-412980.67</v>
      </c>
      <c r="BD305" s="13" t="n">
        <f aca="false">ROUND(BD302-(Budget!BE57+Budget!BE114),2)</f>
        <v>-413410.83</v>
      </c>
      <c r="BE305" s="13" t="n">
        <f aca="false">ROUND(BE302-(Budget!BF57+Budget!BF114),2)</f>
        <v>-413840.99</v>
      </c>
      <c r="BF305" s="13" t="n">
        <f aca="false">ROUND(BF302-(Budget!BG57+Budget!BG114),2)</f>
        <v>-414271.15</v>
      </c>
      <c r="BG305" s="13" t="n">
        <f aca="false">ROUND(BG302-(Budget!BH57+Budget!BH114),2)</f>
        <v>-414701.31</v>
      </c>
      <c r="BH305" s="13" t="n">
        <f aca="false">ROUND(BH302-(Budget!BI57+Budget!BI114),2)</f>
        <v>-166195.2</v>
      </c>
      <c r="BI305" s="13" t="n">
        <f aca="false">ROUND(BI302-(Budget!BJ57+Budget!BJ114),2)</f>
        <v>-573221.27</v>
      </c>
      <c r="BJ305" s="13" t="n">
        <f aca="false">ROUND(BJ302-(Budget!BK57+Budget!BK114),2)</f>
        <v>-573651.44</v>
      </c>
      <c r="BK305" s="13" t="n">
        <f aca="false">ROUND(BK302-(Budget!BL57+Budget!BL114),2)</f>
        <v>-574081.6</v>
      </c>
      <c r="BL305" s="13" t="n">
        <f aca="false">ROUND(BL302-(Budget!BM57+Budget!BM114),2)</f>
        <v>-574511.75</v>
      </c>
      <c r="BM305" s="13" t="n">
        <f aca="false">ROUND(BM302-(Budget!BN57+Budget!BN114),2)</f>
        <v>-563569.55</v>
      </c>
      <c r="BN305" s="13" t="n">
        <f aca="false">ROUND(BN302-(Budget!BO57+Budget!BO114),2)</f>
        <v>-563999.71</v>
      </c>
      <c r="BO305" s="13" t="n">
        <f aca="false">ROUND(BO302-(Budget!BP57+Budget!BP114),2)</f>
        <v>-510603.58</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420551.593782371</v>
      </c>
      <c r="L355" s="13" t="n">
        <f aca="false">K363</f>
        <v>916059.619043711</v>
      </c>
      <c r="M355" s="13" t="n">
        <f aca="false">L363</f>
        <v>1360785.03373952</v>
      </c>
      <c r="N355" s="13" t="n">
        <f aca="false">M363</f>
        <v>1475177.95199436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Program'!$C$9</f>
        <v>-9298924.895125</v>
      </c>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420551.593782371</v>
      </c>
      <c r="K363" s="68" t="n">
        <f aca="false">SUM(K355:K362)</f>
        <v>916059.619043711</v>
      </c>
      <c r="L363" s="68" t="n">
        <f aca="false">SUM(L355:L362)</f>
        <v>1360785.03373952</v>
      </c>
      <c r="M363" s="68" t="n">
        <f aca="false">SUM(M355:M362)</f>
        <v>1475177.95199436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-710085.961790476</v>
      </c>
      <c r="S366" s="13" t="n">
        <f aca="false">R371</f>
        <v>-928606.127390476</v>
      </c>
      <c r="T366" s="13" t="n">
        <f aca="false">S371</f>
        <v>-1147126.29299048</v>
      </c>
      <c r="U366" s="13" t="n">
        <f aca="false">T371</f>
        <v>-1391152.70859048</v>
      </c>
      <c r="V366" s="13" t="n">
        <f aca="false">U371</f>
        <v>-1638079.12419048</v>
      </c>
      <c r="W366" s="13" t="n">
        <f aca="false">V371</f>
        <v>-1885005.53979048</v>
      </c>
      <c r="X366" s="13" t="n">
        <f aca="false">W371</f>
        <v>-2115359.69299048</v>
      </c>
      <c r="Y366" s="13" t="n">
        <f aca="false">X371</f>
        <v>-2329680.38379048</v>
      </c>
      <c r="Z366" s="13" t="n">
        <f aca="false">Y371</f>
        <v>-2470053.81219048</v>
      </c>
      <c r="AA366" s="13" t="n">
        <f aca="false">Z371</f>
        <v>-2664852.26419048</v>
      </c>
      <c r="AB366" s="13" t="n">
        <f aca="false">AA371</f>
        <v>-3094114.21419048</v>
      </c>
      <c r="AC366" s="13" t="n">
        <f aca="false">AB371</f>
        <v>-3200464.67419048</v>
      </c>
      <c r="AD366" s="13" t="n">
        <f aca="false">AC371</f>
        <v>-3352317.81331048</v>
      </c>
      <c r="AE366" s="13" t="n">
        <f aca="false">AD371</f>
        <v>-3488634.45643048</v>
      </c>
      <c r="AF366" s="13" t="n">
        <f aca="false">AE371</f>
        <v>-3532021.02782907</v>
      </c>
      <c r="AG366" s="13" t="n">
        <f aca="false">AF371</f>
        <v>-3538010.07594907</v>
      </c>
      <c r="AH366" s="13" t="n">
        <f aca="false">AG371</f>
        <v>-3540809.96056907</v>
      </c>
      <c r="AI366" s="13" t="n">
        <f aca="false">AH371</f>
        <v>-3522951.30018907</v>
      </c>
      <c r="AJ366" s="13" t="n">
        <f aca="false">AI371</f>
        <v>-3563717.86980908</v>
      </c>
      <c r="AK366" s="13" t="n">
        <f aca="false">AJ371</f>
        <v>-3604054.27342908</v>
      </c>
      <c r="AL366" s="13" t="n">
        <f aca="false">AK371</f>
        <v>-3643960.52204908</v>
      </c>
      <c r="AM366" s="13" t="n">
        <f aca="false">AL371</f>
        <v>-3683436.61016908</v>
      </c>
      <c r="AN366" s="13" t="n">
        <f aca="false">AM371</f>
        <v>-3972482.54328908</v>
      </c>
      <c r="AO366" s="13" t="n">
        <f aca="false">AN371</f>
        <v>-3996856.52790908</v>
      </c>
      <c r="AP366" s="13" t="n">
        <f aca="false">AO371</f>
        <v>-4038779.58703148</v>
      </c>
      <c r="AQ366" s="13" t="n">
        <f aca="false">AP371</f>
        <v>-4094514.27365387</v>
      </c>
      <c r="AR366" s="13" t="n">
        <f aca="false">AQ371</f>
        <v>-4164060.58777627</v>
      </c>
      <c r="AS366" s="13" t="n">
        <f aca="false">AR371</f>
        <v>-4247418.53489867</v>
      </c>
      <c r="AT366" s="13" t="n">
        <f aca="false">AS371</f>
        <v>-4352400.87752107</v>
      </c>
      <c r="AU366" s="13" t="n">
        <f aca="false">AT371</f>
        <v>-4469939.24514347</v>
      </c>
      <c r="AV366" s="13" t="n">
        <f aca="false">AU371</f>
        <v>-4600033.64276587</v>
      </c>
      <c r="AW366" s="13" t="n">
        <f aca="false">AV371</f>
        <v>-4742684.06038827</v>
      </c>
      <c r="AX366" s="13" t="n">
        <f aca="false">AW371</f>
        <v>-4898375.08951068</v>
      </c>
      <c r="AY366" s="13" t="n">
        <f aca="false">AX371</f>
        <v>-5013188.11713307</v>
      </c>
      <c r="AZ366" s="13" t="n">
        <f aca="false">AY371</f>
        <v>-5140948.21975547</v>
      </c>
      <c r="BA366" s="13" t="n">
        <f aca="false">AZ371</f>
        <v>-5294501.68487787</v>
      </c>
      <c r="BB366" s="13" t="n">
        <f aca="false">BA371</f>
        <v>-5452297.51205272</v>
      </c>
      <c r="BC366" s="13" t="n">
        <f aca="false">BB371</f>
        <v>-5610523.50522757</v>
      </c>
      <c r="BD366" s="13" t="n">
        <f aca="false">BC371</f>
        <v>-5769179.65340242</v>
      </c>
      <c r="BE366" s="13" t="n">
        <f aca="false">BD371</f>
        <v>-5928265.96207727</v>
      </c>
      <c r="BF366" s="13" t="n">
        <f aca="false">BE371</f>
        <v>-6087782.43125211</v>
      </c>
      <c r="BG366" s="13" t="n">
        <f aca="false">BF371</f>
        <v>-6247729.06092696</v>
      </c>
      <c r="BH366" s="13" t="n">
        <f aca="false">BG371</f>
        <v>-6408105.85110181</v>
      </c>
      <c r="BI366" s="13" t="n">
        <f aca="false">BH371</f>
        <v>-6568912.80177666</v>
      </c>
      <c r="BJ366" s="13" t="n">
        <f aca="false">BI371</f>
        <v>-6730149.91295151</v>
      </c>
      <c r="BK366" s="13" t="n">
        <f aca="false">BJ371</f>
        <v>-6891817.18462635</v>
      </c>
      <c r="BL366" s="13" t="n">
        <f aca="false">BK371</f>
        <v>-7053914.6168012</v>
      </c>
      <c r="BM366" s="13" t="n">
        <f aca="false">BL371</f>
        <v>-7216442.20397605</v>
      </c>
      <c r="BN366" s="13" t="n">
        <f aca="false">BM371</f>
        <v>-7359787.9027344</v>
      </c>
      <c r="BO366" s="13" t="n">
        <f aca="false">BN371</f>
        <v>-7503563.76199274</v>
      </c>
      <c r="BP366" s="13" t="n">
        <f aca="false">BO371</f>
        <v>-7593943.49175109</v>
      </c>
      <c r="BQ366" s="13" t="n">
        <f aca="false">BP371</f>
        <v>-7797254.21650943</v>
      </c>
      <c r="BR366" s="13" t="n">
        <f aca="false">BQ371</f>
        <v>-8000564.94126777</v>
      </c>
      <c r="BS366" s="13" t="n">
        <f aca="false">BR371</f>
        <v>-8150625.31602612</v>
      </c>
      <c r="BT366" s="13" t="n">
        <f aca="false">BS371</f>
        <v>-8353936.04078446</v>
      </c>
      <c r="BU366" s="13" t="n">
        <f aca="false">BT371</f>
        <v>-8557246.76554281</v>
      </c>
      <c r="BV366" s="13" t="n">
        <f aca="false">BU371</f>
        <v>-8692795.49030116</v>
      </c>
      <c r="BW366" s="13" t="n">
        <f aca="false">BV371</f>
        <v>-8896106.2150595</v>
      </c>
      <c r="BX366" s="13" t="n">
        <f aca="false">BW371</f>
        <v>-9099416.93981785</v>
      </c>
      <c r="BY366" s="13" t="n">
        <f aca="false">BX371</f>
        <v>-9234965.66457619</v>
      </c>
      <c r="BZ366" s="13" t="n">
        <f aca="false">BY371</f>
        <v>-9442242.6038297</v>
      </c>
      <c r="CA366" s="13" t="n">
        <f aca="false">BZ371</f>
        <v>-9649519.54308322</v>
      </c>
      <c r="CB366" s="13" t="n">
        <f aca="false">CA371</f>
        <v>-9789034.48233673</v>
      </c>
      <c r="CC366" s="13" t="n">
        <f aca="false">CB371</f>
        <v>-9996311.42159024</v>
      </c>
      <c r="CD366" s="13" t="n">
        <f aca="false">CC371</f>
        <v>-10203588.3608438</v>
      </c>
      <c r="CE366" s="13" t="n">
        <f aca="false">CD371</f>
        <v>-10334366.3000973</v>
      </c>
      <c r="CF366" s="13" t="n">
        <f aca="false">CE371</f>
        <v>-10541643.2393508</v>
      </c>
      <c r="CG366" s="13" t="n">
        <f aca="false">CF371</f>
        <v>-10748920.1786043</v>
      </c>
      <c r="CH366" s="13" t="n">
        <f aca="false">CG371</f>
        <v>-10879698.1178578</v>
      </c>
      <c r="CI366" s="13" t="n">
        <f aca="false">CH371</f>
        <v>-11086975.0571113</v>
      </c>
      <c r="CJ366" s="13" t="n">
        <f aca="false">CI371</f>
        <v>-11294251.9963648</v>
      </c>
      <c r="CK366" s="13" t="n">
        <f aca="false">CJ371</f>
        <v>-11418421.9090119</v>
      </c>
      <c r="CL366" s="13" t="n">
        <f aca="false">CK371</f>
        <v>-11471883.3870504</v>
      </c>
      <c r="CM366" s="13" t="n">
        <f aca="false">CL371</f>
        <v>-11525344.865089</v>
      </c>
      <c r="CN366" s="13" t="n">
        <f aca="false">CM371</f>
        <v>-11578806.3431276</v>
      </c>
      <c r="CO366" s="13" t="n">
        <f aca="false">CN371</f>
        <v>-11632267.8211662</v>
      </c>
      <c r="CP366" s="13" t="n">
        <f aca="false">CO371</f>
        <v>-11685729.2992048</v>
      </c>
      <c r="CQ366" s="13" t="n">
        <f aca="false">CP371</f>
        <v>-11739190.7772434</v>
      </c>
      <c r="CR366" s="13" t="n">
        <f aca="false">CQ371</f>
        <v>-11792652.2552819</v>
      </c>
      <c r="CS366" s="13" t="n">
        <f aca="false">CR371</f>
        <v>-11846113.7333205</v>
      </c>
      <c r="CT366" s="13" t="n">
        <f aca="false">CS371</f>
        <v>-11899575.2113591</v>
      </c>
      <c r="CU366" s="13" t="n">
        <f aca="false">CT371</f>
        <v>-11944014.7207164</v>
      </c>
      <c r="CV366" s="13" t="n">
        <f aca="false">CU371</f>
        <v>-11988454.2300736</v>
      </c>
      <c r="CW366" s="13" t="n">
        <f aca="false">CV371</f>
        <v>-12032893.7394309</v>
      </c>
      <c r="CX366" s="13" t="n">
        <f aca="false">CW371</f>
        <v>-12025571.1079117</v>
      </c>
      <c r="CY366" s="13" t="n">
        <f aca="false">CX371</f>
        <v>-12000801.6274561</v>
      </c>
      <c r="CZ366" s="13" t="n">
        <f aca="false">CY371</f>
        <v>-11976032.1470005</v>
      </c>
      <c r="DA366" s="13" t="n">
        <f aca="false">CZ371</f>
        <v>-11951262.6665449</v>
      </c>
      <c r="DB366" s="13" t="n">
        <f aca="false">DA371</f>
        <v>-11926493.1860893</v>
      </c>
      <c r="DC366" s="13" t="n">
        <f aca="false">DB371</f>
        <v>-11901723.7056337</v>
      </c>
      <c r="DD366" s="13" t="n">
        <f aca="false">DC371</f>
        <v>-11876954.2251781</v>
      </c>
      <c r="DE366" s="13" t="n">
        <f aca="false">DD371</f>
        <v>-11852184.7447225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-100269.9656</v>
      </c>
      <c r="R367" s="13" t="n">
        <f aca="false">R293</f>
        <v>-106520.1656</v>
      </c>
      <c r="S367" s="13" t="n">
        <f aca="false">S293</f>
        <v>-106520.1656</v>
      </c>
      <c r="T367" s="13" t="n">
        <f aca="false">T293</f>
        <v>-132026.4156</v>
      </c>
      <c r="U367" s="13" t="n">
        <f aca="false">U293</f>
        <v>-134926.4156</v>
      </c>
      <c r="V367" s="13" t="n">
        <f aca="false">V293</f>
        <v>-134926.4156</v>
      </c>
      <c r="W367" s="13" t="n">
        <f aca="false">W293</f>
        <v>-118354.1532</v>
      </c>
      <c r="X367" s="13" t="n">
        <f aca="false">X293</f>
        <v>-102320.6908</v>
      </c>
      <c r="Y367" s="13" t="n">
        <f aca="false">Y293</f>
        <v>-28373.4284</v>
      </c>
      <c r="Z367" s="13" t="n">
        <f aca="false">Z293</f>
        <v>-82798.452</v>
      </c>
      <c r="AA367" s="13" t="n">
        <f aca="false">AA293</f>
        <v>-67261.95</v>
      </c>
      <c r="AB367" s="13" t="n">
        <f aca="false">AB293</f>
        <v>5649.53999999998</v>
      </c>
      <c r="AC367" s="13" t="n">
        <f aca="false">AC293</f>
        <v>-39853.13912</v>
      </c>
      <c r="AD367" s="13" t="n">
        <f aca="false">AD293</f>
        <v>-24316.64312</v>
      </c>
      <c r="AE367" s="13" t="n">
        <f aca="false">AE293</f>
        <v>48594.85888</v>
      </c>
      <c r="AF367" s="13" t="n">
        <f aca="false">AF293</f>
        <v>-5989.04812000002</v>
      </c>
      <c r="AG367" s="13" t="n">
        <f aca="false">AG293</f>
        <v>-2799.88462</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-710085.961790476</v>
      </c>
      <c r="R371" s="68" t="n">
        <f aca="false">R366+R367+R368+R369+R370</f>
        <v>-928606.127390476</v>
      </c>
      <c r="S371" s="68" t="n">
        <f aca="false">S366+S367+S368+S369+S370</f>
        <v>-1147126.29299048</v>
      </c>
      <c r="T371" s="68" t="n">
        <f aca="false">T366+T367+T368+T369+T370</f>
        <v>-1391152.70859048</v>
      </c>
      <c r="U371" s="68" t="n">
        <f aca="false">U366+U367+U368+U369+U370</f>
        <v>-1638079.12419048</v>
      </c>
      <c r="V371" s="68" t="n">
        <f aca="false">V366+V367+V368+V369+V370</f>
        <v>-1885005.53979048</v>
      </c>
      <c r="W371" s="68" t="n">
        <f aca="false">W366+W367+W368+W369+W370</f>
        <v>-2115359.69299048</v>
      </c>
      <c r="X371" s="68" t="n">
        <f aca="false">X366+X367+X368+X369+X370</f>
        <v>-2329680.38379048</v>
      </c>
      <c r="Y371" s="68" t="n">
        <f aca="false">Y366+Y367+Y368+Y369+Y370</f>
        <v>-2470053.81219048</v>
      </c>
      <c r="Z371" s="68" t="n">
        <f aca="false">Z366+Z367+Z368+Z369+Z370</f>
        <v>-2664852.26419048</v>
      </c>
      <c r="AA371" s="68" t="n">
        <f aca="false">AA366+AA367+AA368+AA369+AA370</f>
        <v>-3094114.21419048</v>
      </c>
      <c r="AB371" s="68" t="n">
        <f aca="false">AB366+AB367+AB368+AB369+AB370</f>
        <v>-3200464.67419048</v>
      </c>
      <c r="AC371" s="68" t="n">
        <f aca="false">AC366+AC367+AC368+AC369+AC370</f>
        <v>-3352317.81331048</v>
      </c>
      <c r="AD371" s="68" t="n">
        <f aca="false">AD366+AD367+AD368+AD369+AD370</f>
        <v>-3488634.45643048</v>
      </c>
      <c r="AE371" s="68" t="n">
        <f aca="false">AE366+AE367+AE368+AE369+AE370</f>
        <v>-3532021.02782907</v>
      </c>
      <c r="AF371" s="68" t="n">
        <f aca="false">AF366+AF367+AF368+AF369+AF370</f>
        <v>-3538010.07594907</v>
      </c>
      <c r="AG371" s="68" t="n">
        <f aca="false">AG366+AG367+AG368+AG369+AG370</f>
        <v>-3540809.96056907</v>
      </c>
      <c r="AH371" s="68" t="n">
        <f aca="false">AH366+AH367+AH368+AH369+AH370</f>
        <v>-3522951.30018907</v>
      </c>
      <c r="AI371" s="68" t="n">
        <f aca="false">AI366+AI367+AI368+AI369+AI370</f>
        <v>-3563717.86980908</v>
      </c>
      <c r="AJ371" s="68" t="n">
        <f aca="false">AJ366+AJ367+AJ368+AJ369+AJ370</f>
        <v>-3604054.27342908</v>
      </c>
      <c r="AK371" s="68" t="n">
        <f aca="false">AK366+AK367+AK368+AK369+AK370</f>
        <v>-3643960.52204908</v>
      </c>
      <c r="AL371" s="68" t="n">
        <f aca="false">AL366+AL367+AL368+AL369+AL370</f>
        <v>-3683436.61016908</v>
      </c>
      <c r="AM371" s="68" t="n">
        <f aca="false">AM366+AM367+AM368+AM369+AM370</f>
        <v>-3972482.54328908</v>
      </c>
      <c r="AN371" s="68" t="n">
        <f aca="false">AN366+AN367+AN368+AN369+AN370</f>
        <v>-3996856.52790908</v>
      </c>
      <c r="AO371" s="68" t="n">
        <f aca="false">AO366+AO367+AO368+AO369+AO370</f>
        <v>-4038779.58703148</v>
      </c>
      <c r="AP371" s="68" t="n">
        <f aca="false">AP366+AP367+AP368+AP369+AP370</f>
        <v>-4094514.27365387</v>
      </c>
      <c r="AQ371" s="68" t="n">
        <f aca="false">AQ366+AQ367+AQ368+AQ369+AQ370</f>
        <v>-4164060.58777627</v>
      </c>
      <c r="AR371" s="68" t="n">
        <f aca="false">AR366+AR367+AR368+AR369+AR370</f>
        <v>-4247418.53489867</v>
      </c>
      <c r="AS371" s="68" t="n">
        <f aca="false">AS366+AS367+AS368+AS369+AS370</f>
        <v>-4352400.87752107</v>
      </c>
      <c r="AT371" s="68" t="n">
        <f aca="false">AT366+AT367+AT368+AT369+AT370</f>
        <v>-4469939.24514347</v>
      </c>
      <c r="AU371" s="68" t="n">
        <f aca="false">AU366+AU367+AU368+AU369+AU370</f>
        <v>-4600033.64276587</v>
      </c>
      <c r="AV371" s="68" t="n">
        <f aca="false">AV366+AV367+AV368+AV369+AV370</f>
        <v>-4742684.06038827</v>
      </c>
      <c r="AW371" s="68" t="n">
        <f aca="false">AW366+AW367+AW368+AW369+AW370</f>
        <v>-4898375.08951068</v>
      </c>
      <c r="AX371" s="68" t="n">
        <f aca="false">AX366+AX367+AX368+AX369+AX370</f>
        <v>-5013188.11713307</v>
      </c>
      <c r="AY371" s="68" t="n">
        <f aca="false">AY366+AY367+AY368+AY369+AY370</f>
        <v>-5140948.21975547</v>
      </c>
      <c r="AZ371" s="68" t="n">
        <f aca="false">AZ366+AZ367+AZ368+AZ369+AZ370</f>
        <v>-5294501.68487787</v>
      </c>
      <c r="BA371" s="68" t="n">
        <f aca="false">BA366+BA367+BA368+BA369+BA370</f>
        <v>-5452297.51205272</v>
      </c>
      <c r="BB371" s="68" t="n">
        <f aca="false">BB366+BB367+BB368+BB369+BB370</f>
        <v>-5610523.50522757</v>
      </c>
      <c r="BC371" s="68" t="n">
        <f aca="false">BC366+BC367+BC368+BC369+BC370</f>
        <v>-5769179.65340242</v>
      </c>
      <c r="BD371" s="68" t="n">
        <f aca="false">BD366+BD367+BD368+BD369+BD370</f>
        <v>-5928265.96207727</v>
      </c>
      <c r="BE371" s="68" t="n">
        <f aca="false">BE366+BE367+BE368+BE369+BE370</f>
        <v>-6087782.43125211</v>
      </c>
      <c r="BF371" s="68" t="n">
        <f aca="false">BF366+BF367+BF368+BF369+BF370</f>
        <v>-6247729.06092696</v>
      </c>
      <c r="BG371" s="68" t="n">
        <f aca="false">BG366+BG367+BG368+BG369+BG370</f>
        <v>-6408105.85110181</v>
      </c>
      <c r="BH371" s="68" t="n">
        <f aca="false">BH366+BH367+BH368+BH369+BH370</f>
        <v>-6568912.80177666</v>
      </c>
      <c r="BI371" s="68" t="n">
        <f aca="false">BI366+BI367+BI368+BI369+BI370</f>
        <v>-6730149.91295151</v>
      </c>
      <c r="BJ371" s="68" t="n">
        <f aca="false">BJ366+BJ367+BJ368+BJ369+BJ370</f>
        <v>-6891817.18462635</v>
      </c>
      <c r="BK371" s="68" t="n">
        <f aca="false">BK366+BK367+BK368+BK369+BK370</f>
        <v>-7053914.6168012</v>
      </c>
      <c r="BL371" s="68" t="n">
        <f aca="false">BL366+BL367+BL368+BL369+BL370</f>
        <v>-7216442.20397605</v>
      </c>
      <c r="BM371" s="68" t="n">
        <f aca="false">BM366+BM367+BM368+BM369+BM370</f>
        <v>-7359787.9027344</v>
      </c>
      <c r="BN371" s="68" t="n">
        <f aca="false">BN366+BN367+BN368+BN369+BN370</f>
        <v>-7503563.76199274</v>
      </c>
      <c r="BO371" s="68" t="n">
        <f aca="false">BO366+BO367+BO368+BO369+BO370</f>
        <v>-7593943.49175109</v>
      </c>
      <c r="BP371" s="68" t="n">
        <f aca="false">BP366+BP367+BP368+BP369+BP370</f>
        <v>-7797254.21650943</v>
      </c>
      <c r="BQ371" s="68" t="n">
        <f aca="false">BQ366+BQ367+BQ368+BQ369+BQ370</f>
        <v>-8000564.94126777</v>
      </c>
      <c r="BR371" s="68" t="n">
        <f aca="false">BR366+BR367+BR368+BR369+BR370</f>
        <v>-8150625.31602612</v>
      </c>
      <c r="BS371" s="68" t="n">
        <f aca="false">BS366+BS367+BS368+BS369+BS370</f>
        <v>-8353936.04078446</v>
      </c>
      <c r="BT371" s="68" t="n">
        <f aca="false">BT366+BT367+BT368+BT369+BT370</f>
        <v>-8557246.76554281</v>
      </c>
      <c r="BU371" s="68" t="n">
        <f aca="false">BU366+BU367+BU368+BU369+BU370</f>
        <v>-8692795.49030116</v>
      </c>
      <c r="BV371" s="68" t="n">
        <f aca="false">BV366+BV367+BV368+BV369+BV370</f>
        <v>-8896106.2150595</v>
      </c>
      <c r="BW371" s="68" t="n">
        <f aca="false">BW366+BW367+BW368+BW369+BW370</f>
        <v>-9099416.93981785</v>
      </c>
      <c r="BX371" s="68" t="n">
        <f aca="false">BX366+BX367+BX368+BX369+BX370</f>
        <v>-9234965.66457619</v>
      </c>
      <c r="BY371" s="68" t="n">
        <f aca="false">BY366+BY367+BY368+BY369+BY370</f>
        <v>-9442242.6038297</v>
      </c>
      <c r="BZ371" s="68" t="n">
        <f aca="false">BZ366+BZ367+BZ368+BZ369+BZ370</f>
        <v>-9649519.54308322</v>
      </c>
      <c r="CA371" s="68" t="n">
        <f aca="false">CA366+CA367+CA368+CA369+CA370</f>
        <v>-9789034.48233673</v>
      </c>
      <c r="CB371" s="68" t="n">
        <f aca="false">CB366+CB367+CB368+CB369+CB370</f>
        <v>-9996311.42159024</v>
      </c>
      <c r="CC371" s="68" t="n">
        <f aca="false">CC366+CC367+CC368+CC369+CC370</f>
        <v>-10203588.3608438</v>
      </c>
      <c r="CD371" s="68" t="n">
        <f aca="false">CD366+CD367+CD368+CD369+CD370</f>
        <v>-10334366.3000973</v>
      </c>
      <c r="CE371" s="68" t="n">
        <f aca="false">CE366+CE367+CE368+CE369+CE370</f>
        <v>-10541643.2393508</v>
      </c>
      <c r="CF371" s="68" t="n">
        <f aca="false">CF366+CF367+CF368+CF369+CF370</f>
        <v>-10748920.1786043</v>
      </c>
      <c r="CG371" s="68" t="n">
        <f aca="false">CG366+CG367+CG368+CG369+CG370</f>
        <v>-10879698.1178578</v>
      </c>
      <c r="CH371" s="68" t="n">
        <f aca="false">CH366+CH367+CH368+CH369+CH370</f>
        <v>-11086975.0571113</v>
      </c>
      <c r="CI371" s="68" t="n">
        <f aca="false">CI366+CI367+CI368+CI369+CI370</f>
        <v>-11294251.9963648</v>
      </c>
      <c r="CJ371" s="68" t="n">
        <f aca="false">CJ366+CJ367+CJ368+CJ369+CJ370</f>
        <v>-11418421.9090119</v>
      </c>
      <c r="CK371" s="68" t="n">
        <f aca="false">CK366+CK367+CK368+CK369+CK370</f>
        <v>-11471883.3870504</v>
      </c>
      <c r="CL371" s="68" t="n">
        <f aca="false">CL366+CL367+CL368+CL369+CL370</f>
        <v>-11525344.865089</v>
      </c>
      <c r="CM371" s="68" t="n">
        <f aca="false">CM366+CM367+CM368+CM369+CM370</f>
        <v>-11578806.3431276</v>
      </c>
      <c r="CN371" s="68" t="n">
        <f aca="false">CN366+CN367+CN368+CN369+CN370</f>
        <v>-11632267.8211662</v>
      </c>
      <c r="CO371" s="68" t="n">
        <f aca="false">CO366+CO367+CO368+CO369+CO370</f>
        <v>-11685729.2992048</v>
      </c>
      <c r="CP371" s="68" t="n">
        <f aca="false">CP366+CP367+CP368+CP369+CP370</f>
        <v>-11739190.7772434</v>
      </c>
      <c r="CQ371" s="68" t="n">
        <f aca="false">CQ366+CQ367+CQ368+CQ369+CQ370</f>
        <v>-11792652.2552819</v>
      </c>
      <c r="CR371" s="68" t="n">
        <f aca="false">CR366+CR367+CR368+CR369+CR370</f>
        <v>-11846113.7333205</v>
      </c>
      <c r="CS371" s="68" t="n">
        <f aca="false">CS366+CS367+CS368+CS369+CS370</f>
        <v>-11899575.2113591</v>
      </c>
      <c r="CT371" s="68" t="n">
        <f aca="false">CT366+CT367+CT368+CT369+CT370</f>
        <v>-11944014.7207164</v>
      </c>
      <c r="CU371" s="68" t="n">
        <f aca="false">CU366+CU367+CU368+CU369+CU370</f>
        <v>-11988454.2300736</v>
      </c>
      <c r="CV371" s="68" t="n">
        <f aca="false">CV366+CV367+CV368+CV369+CV370</f>
        <v>-12032893.7394309</v>
      </c>
      <c r="CW371" s="68" t="n">
        <f aca="false">CW366+CW367+CW368+CW369+CW370</f>
        <v>-12025571.1079117</v>
      </c>
      <c r="CX371" s="68" t="n">
        <f aca="false">CX366+CX367+CX368+CX369+CX370</f>
        <v>-12000801.6274561</v>
      </c>
      <c r="CY371" s="68" t="n">
        <f aca="false">CY366+CY367+CY368+CY369+CY370</f>
        <v>-11976032.1470005</v>
      </c>
      <c r="CZ371" s="68" t="n">
        <f aca="false">CZ366+CZ367+CZ368+CZ369+CZ370</f>
        <v>-11951262.6665449</v>
      </c>
      <c r="DA371" s="68" t="n">
        <f aca="false">DA366+DA367+DA368+DA369+DA370</f>
        <v>-11926493.1860893</v>
      </c>
      <c r="DB371" s="68" t="n">
        <f aca="false">DB366+DB367+DB368+DB369+DB370</f>
        <v>-11901723.7056337</v>
      </c>
      <c r="DC371" s="68" t="n">
        <f aca="false">DC366+DC367+DC368+DC369+DC370</f>
        <v>-11876954.2251781</v>
      </c>
      <c r="DD371" s="68" t="n">
        <f aca="false">DD366+DD367+DD368+DD369+DD370</f>
        <v>-11852184.7447225</v>
      </c>
      <c r="DE371" s="68" t="n">
        <f aca="false">DE366+DE367+DE368+DE369+DE370</f>
        <v>-11827415.2642669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933406.710449037</v>
      </c>
      <c r="L374" s="13" t="n">
        <f aca="false">L355+L366</f>
        <v>1283579.85237704</v>
      </c>
      <c r="M374" s="13" t="n">
        <f aca="false">M355+M366</f>
        <v>1573595.38373952</v>
      </c>
      <c r="N374" s="13" t="n">
        <f aca="false">N355+N366</f>
        <v>1536778.41866102</v>
      </c>
      <c r="O374" s="13" t="n">
        <f aca="false">O355+O366</f>
        <v>1011912.51400583</v>
      </c>
      <c r="P374" s="13" t="n">
        <f aca="false">P355+P366</f>
        <v>1158372.03957861</v>
      </c>
      <c r="Q374" s="13" t="n">
        <f aca="false">Q355+Q366</f>
        <v>1241965.35450734</v>
      </c>
      <c r="R374" s="13" t="n">
        <f aca="false">R355+R366</f>
        <v>1273080.75343321</v>
      </c>
      <c r="S374" s="13" t="n">
        <f aca="false">S355+S366</f>
        <v>569027.003346605</v>
      </c>
      <c r="T374" s="13" t="n">
        <f aca="false">T355+T366</f>
        <v>414446.457035525</v>
      </c>
      <c r="U374" s="13" t="n">
        <f aca="false">U355+U366</f>
        <v>271658.154407305</v>
      </c>
      <c r="V374" s="13" t="n">
        <f aca="false">V355+V366</f>
        <v>315448.869792343</v>
      </c>
      <c r="W374" s="13" t="n">
        <f aca="false">W355+W366</f>
        <v>696947.51922418</v>
      </c>
      <c r="X374" s="13" t="n">
        <f aca="false">X355+X366</f>
        <v>1144070.41455602</v>
      </c>
      <c r="Y374" s="13" t="n">
        <f aca="false">Y355+Y366</f>
        <v>1390961.05804491</v>
      </c>
      <c r="Z374" s="13" t="n">
        <f aca="false">Z355+Z366</f>
        <v>1945413.80334272</v>
      </c>
      <c r="AA374" s="13" t="n">
        <f aca="false">AA355+AA366</f>
        <v>2342479.46287514</v>
      </c>
      <c r="AB374" s="13" t="n">
        <f aca="false">AB355+AB366</f>
        <v>2725864.94885489</v>
      </c>
      <c r="AC374" s="13" t="n">
        <f aca="false">AC355+AC366</f>
        <v>3464282.31026873</v>
      </c>
      <c r="AD374" s="13" t="n">
        <f aca="false">AD355+AD366</f>
        <v>3898931.63788232</v>
      </c>
      <c r="AE374" s="13" t="n">
        <f aca="false">AE355+AE366</f>
        <v>4125613.79732928</v>
      </c>
      <c r="AF374" s="13" t="n">
        <f aca="false">AF355+AF366</f>
        <v>4482669.43287729</v>
      </c>
      <c r="AG374" s="13" t="n">
        <f aca="false">AG355+AG366</f>
        <v>4421212.64302576</v>
      </c>
      <c r="AH374" s="13" t="n">
        <f aca="false">AH355+AH366</f>
        <v>5190730.47169826</v>
      </c>
      <c r="AI374" s="13" t="n">
        <f aca="false">AI355+AI366</f>
        <v>5843764.46098174</v>
      </c>
      <c r="AJ374" s="13" t="n">
        <f aca="false">AJ355+AJ366</f>
        <v>6314095.93311102</v>
      </c>
      <c r="AK374" s="13" t="n">
        <f aca="false">AK355+AK366</f>
        <v>6994004.01801824</v>
      </c>
      <c r="AL374" s="13" t="n">
        <f aca="false">AL355+AL366</f>
        <v>7638372.78730815</v>
      </c>
      <c r="AM374" s="13" t="n">
        <f aca="false">AM355+AM366</f>
        <v>7957797.50056375</v>
      </c>
      <c r="AN374" s="13" t="n">
        <f aca="false">AN355+AN366</f>
        <v>7936452.28977156</v>
      </c>
      <c r="AO374" s="13" t="n">
        <f aca="false">AO355+AO366</f>
        <v>8287253.30474993</v>
      </c>
      <c r="AP374" s="13" t="n">
        <f aca="false">AP355+AP366</f>
        <v>8269896.61692349</v>
      </c>
      <c r="AQ374" s="13" t="n">
        <f aca="false">AQ355+AQ366</f>
        <v>8198799.69159705</v>
      </c>
      <c r="AR374" s="13" t="n">
        <f aca="false">AR355+AR366</f>
        <v>8120096.27130523</v>
      </c>
      <c r="AS374" s="13" t="n">
        <f aca="false">AS355+AS366</f>
        <v>8047196.6026288</v>
      </c>
      <c r="AT374" s="13" t="n">
        <f aca="false">AT355+AT366</f>
        <v>7955714.27008698</v>
      </c>
      <c r="AU374" s="13" t="n">
        <f aca="false">AU355+AU366</f>
        <v>8120152.60324636</v>
      </c>
      <c r="AV374" s="13" t="n">
        <f aca="false">AV355+AV366</f>
        <v>8437402.78170698</v>
      </c>
      <c r="AW374" s="13" t="n">
        <f aca="false">AW355+AW366</f>
        <v>8310532.63341198</v>
      </c>
      <c r="AX374" s="13" t="n">
        <f aca="false">AX355+AX366</f>
        <v>7900712.22051522</v>
      </c>
      <c r="AY374" s="13" t="n">
        <f aca="false">AY355+AY366</f>
        <v>7531769.80911845</v>
      </c>
      <c r="AZ374" s="13" t="n">
        <f aca="false">AZ355+AZ366</f>
        <v>7149880.32272169</v>
      </c>
      <c r="BA374" s="13" t="n">
        <f aca="false">BA355+BA366</f>
        <v>6742197.47382493</v>
      </c>
      <c r="BB374" s="13" t="n">
        <f aca="false">BB355+BB366</f>
        <v>6322194.14202374</v>
      </c>
      <c r="BC374" s="13" t="n">
        <f aca="false">BC355+BC366</f>
        <v>5901760.64422254</v>
      </c>
      <c r="BD374" s="13" t="n">
        <f aca="false">BD355+BD366</f>
        <v>5480896.99142134</v>
      </c>
      <c r="BE374" s="13" t="n">
        <f aca="false">BE355+BE366</f>
        <v>5059603.17812015</v>
      </c>
      <c r="BF374" s="13" t="n">
        <f aca="false">BF355+BF366</f>
        <v>4637879.20431895</v>
      </c>
      <c r="BG374" s="13" t="n">
        <f aca="false">BG355+BG366</f>
        <v>4215725.07001775</v>
      </c>
      <c r="BH374" s="13" t="n">
        <f aca="false">BH355+BH366</f>
        <v>3793140.77521656</v>
      </c>
      <c r="BI374" s="13" t="n">
        <f aca="false">BI355+BI366</f>
        <v>3606615.78121818</v>
      </c>
      <c r="BJ374" s="13" t="n">
        <f aca="false">BJ355+BJ366</f>
        <v>3439990.42251601</v>
      </c>
      <c r="BK374" s="13" t="n">
        <f aca="false">BK355+BK366</f>
        <v>2866338.98738969</v>
      </c>
      <c r="BL374" s="13" t="n">
        <f aca="false">BL355+BL366</f>
        <v>2292257.39176337</v>
      </c>
      <c r="BM374" s="13" t="n">
        <f aca="false">BM355+BM366</f>
        <v>1717745.64113705</v>
      </c>
      <c r="BN374" s="13" t="n">
        <f aca="false">BN355+BN366</f>
        <v>1154176.09565821</v>
      </c>
      <c r="BO374" s="13" t="n">
        <f aca="false">BO355+BO366</f>
        <v>590176.389679365</v>
      </c>
      <c r="BP374" s="13" t="n">
        <f aca="false">BP355+BP366</f>
        <v>79572.8132005213</v>
      </c>
      <c r="BQ374" s="13" t="n">
        <f aca="false">BQ355+BQ366</f>
        <v>-543961.758278322</v>
      </c>
      <c r="BR374" s="13" t="n">
        <f aca="false">BR355+BR366</f>
        <v>-1167496.32975717</v>
      </c>
      <c r="BS374" s="13" t="n">
        <f aca="false">BS355+BS366</f>
        <v>-1737780.55123601</v>
      </c>
      <c r="BT374" s="13" t="n">
        <f aca="false">BT355+BT366</f>
        <v>-2361315.12271485</v>
      </c>
      <c r="BU374" s="13" t="n">
        <f aca="false">BU355+BU366</f>
        <v>-2984849.6941937</v>
      </c>
      <c r="BV374" s="13" t="n">
        <f aca="false">BV355+BV366</f>
        <v>-3540622.26567254</v>
      </c>
      <c r="BW374" s="13" t="n">
        <f aca="false">BW355+BW366</f>
        <v>-4164156.83715139</v>
      </c>
      <c r="BX374" s="13" t="n">
        <f aca="false">BX355+BX366</f>
        <v>-4787691.40863023</v>
      </c>
      <c r="BY374" s="13" t="n">
        <f aca="false">BY355+BY366</f>
        <v>-5343463.98010908</v>
      </c>
      <c r="BZ374" s="13" t="n">
        <f aca="false">BZ355+BZ366</f>
        <v>-5979369.2430175</v>
      </c>
      <c r="CA374" s="13" t="n">
        <f aca="false">CA355+CA366</f>
        <v>-6615274.50592592</v>
      </c>
      <c r="CB374" s="13" t="n">
        <f aca="false">CB355+CB366</f>
        <v>-7183417.76883434</v>
      </c>
      <c r="CC374" s="13" t="n">
        <f aca="false">CC355+CC366</f>
        <v>-7819323.03174276</v>
      </c>
      <c r="CD374" s="13" t="n">
        <f aca="false">CD355+CD366</f>
        <v>-8455228.29465119</v>
      </c>
      <c r="CE374" s="13" t="n">
        <f aca="false">CE355+CE366</f>
        <v>-9014634.55755961</v>
      </c>
      <c r="CF374" s="13" t="n">
        <f aca="false">CF355+CF366</f>
        <v>-9650539.82046803</v>
      </c>
      <c r="CG374" s="13" t="n">
        <f aca="false">CG355+CG366</f>
        <v>-10286445.0833765</v>
      </c>
      <c r="CH374" s="13" t="n">
        <f aca="false">CH355+CH366</f>
        <v>-10845851.3462849</v>
      </c>
      <c r="CI374" s="13" t="n">
        <f aca="false">CI355+CI366</f>
        <v>-11481756.6091933</v>
      </c>
      <c r="CJ374" s="13" t="n">
        <f aca="false">CJ355+CJ366</f>
        <v>-12117661.8721017</v>
      </c>
      <c r="CK374" s="13" t="n">
        <f aca="false">CK355+CK366</f>
        <v>-12670460.1084037</v>
      </c>
      <c r="CL374" s="13" t="n">
        <f aca="false">CL355+CL366</f>
        <v>-13161122.4765702</v>
      </c>
      <c r="CM374" s="13" t="n">
        <f aca="false">CM355+CM366</f>
        <v>-13651784.8447368</v>
      </c>
      <c r="CN374" s="13" t="n">
        <f aca="false">CN355+CN366</f>
        <v>-14142447.2129034</v>
      </c>
      <c r="CO374" s="13" t="n">
        <f aca="false">CO355+CO366</f>
        <v>-14633109.58107</v>
      </c>
      <c r="CP374" s="13" t="n">
        <f aca="false">CP355+CP366</f>
        <v>-15123771.9492366</v>
      </c>
      <c r="CQ374" s="13" t="n">
        <f aca="false">CQ355+CQ366</f>
        <v>-15614434.3174032</v>
      </c>
      <c r="CR374" s="13" t="n">
        <f aca="false">CR355+CR366</f>
        <v>-16105096.6855698</v>
      </c>
      <c r="CS374" s="13" t="n">
        <f aca="false">CS355+CS366</f>
        <v>-16595759.0537364</v>
      </c>
      <c r="CT374" s="13" t="n">
        <f aca="false">CT355+CT366</f>
        <v>-17086421.421903</v>
      </c>
      <c r="CU374" s="13" t="n">
        <f aca="false">CU355+CU366</f>
        <v>-17516281.6617768</v>
      </c>
      <c r="CV374" s="13" t="n">
        <f aca="false">CV355+CV366</f>
        <v>-17946141.9016506</v>
      </c>
      <c r="CW374" s="13" t="n">
        <f aca="false">CW355+CW366</f>
        <v>-18376002.1415244</v>
      </c>
      <c r="CX374" s="13" t="n">
        <f aca="false">CX355+CX366</f>
        <v>-18761808.6551321</v>
      </c>
      <c r="CY374" s="13" t="n">
        <f aca="false">CY355+CY366</f>
        <v>-19130168.3198034</v>
      </c>
      <c r="CZ374" s="13" t="n">
        <f aca="false">CZ355+CZ366</f>
        <v>-19498527.9844747</v>
      </c>
      <c r="DA374" s="13" t="n">
        <f aca="false">DA355+DA366</f>
        <v>-19866887.649146</v>
      </c>
      <c r="DB374" s="13" t="n">
        <f aca="false">DB355+DB366</f>
        <v>-20235247.3138173</v>
      </c>
      <c r="DC374" s="13" t="n">
        <f aca="false">DC355+DC366</f>
        <v>-20603606.9784885</v>
      </c>
      <c r="DD374" s="13" t="n">
        <f aca="false">DD355+DD366</f>
        <v>-20971966.6431598</v>
      </c>
      <c r="DE374" s="13" t="n">
        <f aca="false">DE355+DE366</f>
        <v>-21340326.3078311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-54656.8012526219</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-1592026.4280686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-3127515.24801985</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933406.710449037</v>
      </c>
      <c r="K376" s="68" t="n">
        <f aca="false">K363+K371+K375</f>
        <v>1283579.85237704</v>
      </c>
      <c r="L376" s="68" t="n">
        <f aca="false">L363+L371+L375</f>
        <v>1573595.38373952</v>
      </c>
      <c r="M376" s="68" t="n">
        <f aca="false">M363+M371+M375</f>
        <v>1536778.41866102</v>
      </c>
      <c r="N376" s="68" t="n">
        <f aca="false">N363+N371+N375</f>
        <v>1011912.51400583</v>
      </c>
      <c r="O376" s="68" t="n">
        <f aca="false">O363+O371+O375</f>
        <v>1158372.03957861</v>
      </c>
      <c r="P376" s="68" t="n">
        <f aca="false">P363+P371+P375</f>
        <v>1187308.55325472</v>
      </c>
      <c r="Q376" s="68" t="n">
        <f aca="false">Q363+Q371+Q375</f>
        <v>1273080.75343321</v>
      </c>
      <c r="R376" s="68" t="n">
        <f aca="false">R363+R371+R375</f>
        <v>569027.003346605</v>
      </c>
      <c r="S376" s="68" t="n">
        <f aca="false">S363+S371+S375</f>
        <v>414446.457035525</v>
      </c>
      <c r="T376" s="68" t="n">
        <f aca="false">T363+T371+T375</f>
        <v>271658.154407305</v>
      </c>
      <c r="U376" s="68" t="n">
        <f aca="false">U363+U371+U375</f>
        <v>315448.869792343</v>
      </c>
      <c r="V376" s="68" t="n">
        <f aca="false">V363+V371+V375</f>
        <v>696947.51922418</v>
      </c>
      <c r="W376" s="68" t="n">
        <f aca="false">W363+W371+W375</f>
        <v>1144070.41455602</v>
      </c>
      <c r="X376" s="68" t="n">
        <f aca="false">X363+X371+X375</f>
        <v>1390961.05804491</v>
      </c>
      <c r="Y376" s="68" t="n">
        <f aca="false">Y363+Y371+Y375</f>
        <v>1945413.80334272</v>
      </c>
      <c r="Z376" s="68" t="n">
        <f aca="false">Z363+Z371+Z375</f>
        <v>2342479.46287514</v>
      </c>
      <c r="AA376" s="68" t="n">
        <f aca="false">AA363+AA371+AA375</f>
        <v>2725864.94885489</v>
      </c>
      <c r="AB376" s="68" t="n">
        <f aca="false">AB363+AB371+AB375</f>
        <v>1872255.88220013</v>
      </c>
      <c r="AC376" s="68" t="n">
        <f aca="false">AC363+AC371+AC375</f>
        <v>3898931.63788232</v>
      </c>
      <c r="AD376" s="68" t="n">
        <f aca="false">AD363+AD371+AD375</f>
        <v>4125613.79732928</v>
      </c>
      <c r="AE376" s="68" t="n">
        <f aca="false">AE363+AE371+AE375</f>
        <v>4482669.43287729</v>
      </c>
      <c r="AF376" s="68" t="n">
        <f aca="false">AF363+AF371+AF375</f>
        <v>4421212.64302576</v>
      </c>
      <c r="AG376" s="68" t="n">
        <f aca="false">AG363+AG371+AG375</f>
        <v>5190730.47169826</v>
      </c>
      <c r="AH376" s="68" t="n">
        <f aca="false">AH363+AH371+AH375</f>
        <v>5843764.46098174</v>
      </c>
      <c r="AI376" s="68" t="n">
        <f aca="false">AI363+AI371+AI375</f>
        <v>6314095.93311102</v>
      </c>
      <c r="AJ376" s="68" t="n">
        <f aca="false">AJ363+AJ371+AJ375</f>
        <v>6994004.01801824</v>
      </c>
      <c r="AK376" s="68" t="n">
        <f aca="false">AK363+AK371+AK375</f>
        <v>7638372.78730815</v>
      </c>
      <c r="AL376" s="68" t="n">
        <f aca="false">AL363+AL371+AL375</f>
        <v>7957797.50056375</v>
      </c>
      <c r="AM376" s="68" t="n">
        <f aca="false">AM363+AM371+AM375</f>
        <v>7936452.28977156</v>
      </c>
      <c r="AN376" s="68" t="n">
        <f aca="false">AN363+AN371+AN375</f>
        <v>5159738.05673008</v>
      </c>
      <c r="AO376" s="68" t="n">
        <f aca="false">AO363+AO371+AO375</f>
        <v>8269896.61692349</v>
      </c>
      <c r="AP376" s="68" t="n">
        <f aca="false">AP363+AP371+AP375</f>
        <v>8198799.69159705</v>
      </c>
      <c r="AQ376" s="68" t="n">
        <f aca="false">AQ363+AQ371+AQ375</f>
        <v>8120096.27130523</v>
      </c>
      <c r="AR376" s="68" t="n">
        <f aca="false">AR363+AR371+AR375</f>
        <v>8047196.6026288</v>
      </c>
      <c r="AS376" s="68" t="n">
        <f aca="false">AS363+AS371+AS375</f>
        <v>7955714.27008698</v>
      </c>
      <c r="AT376" s="68" t="n">
        <f aca="false">AT363+AT371+AT375</f>
        <v>8120152.60324636</v>
      </c>
      <c r="AU376" s="68" t="n">
        <f aca="false">AU363+AU371+AU375</f>
        <v>8437402.78170698</v>
      </c>
      <c r="AV376" s="68" t="n">
        <f aca="false">AV363+AV371+AV375</f>
        <v>8310532.63341198</v>
      </c>
      <c r="AW376" s="68" t="n">
        <f aca="false">AW363+AW371+AW375</f>
        <v>7900712.22051522</v>
      </c>
      <c r="AX376" s="68" t="n">
        <f aca="false">AX363+AX371+AX375</f>
        <v>7531769.80911845</v>
      </c>
      <c r="AY376" s="68" t="n">
        <f aca="false">AY363+AY371+AY375</f>
        <v>7149880.32272169</v>
      </c>
      <c r="AZ376" s="68" t="n">
        <f aca="false">AZ363+AZ371+AZ375</f>
        <v>6742197.47382493</v>
      </c>
      <c r="BA376" s="68" t="n">
        <f aca="false">BA363+BA371+BA375</f>
        <v>6322194.14202374</v>
      </c>
      <c r="BB376" s="68" t="n">
        <f aca="false">BB363+BB371+BB375</f>
        <v>5901760.64422254</v>
      </c>
      <c r="BC376" s="68" t="n">
        <f aca="false">BC363+BC371+BC375</f>
        <v>5480896.99142134</v>
      </c>
      <c r="BD376" s="68" t="n">
        <f aca="false">BD363+BD371+BD375</f>
        <v>5059603.17812015</v>
      </c>
      <c r="BE376" s="68" t="n">
        <f aca="false">BE363+BE371+BE375</f>
        <v>4637879.20431895</v>
      </c>
      <c r="BF376" s="68" t="n">
        <f aca="false">BF363+BF371+BF375</f>
        <v>4215725.07001775</v>
      </c>
      <c r="BG376" s="68" t="n">
        <f aca="false">BG363+BG371+BG375</f>
        <v>3793140.77521656</v>
      </c>
      <c r="BH376" s="68" t="n">
        <f aca="false">BH363+BH371+BH375</f>
        <v>3606615.78121818</v>
      </c>
      <c r="BI376" s="68" t="n">
        <f aca="false">BI363+BI371+BI375</f>
        <v>3439990.42251601</v>
      </c>
      <c r="BJ376" s="68" t="n">
        <f aca="false">BJ363+BJ371+BJ375</f>
        <v>2866338.98738969</v>
      </c>
      <c r="BK376" s="68" t="n">
        <f aca="false">BK363+BK371+BK375</f>
        <v>2292257.39176337</v>
      </c>
      <c r="BL376" s="68" t="n">
        <f aca="false">BL363+BL371+BL375</f>
        <v>1717745.64113705</v>
      </c>
      <c r="BM376" s="68" t="n">
        <f aca="false">BM363+BM371+BM375</f>
        <v>1154176.09565821</v>
      </c>
      <c r="BN376" s="68" t="n">
        <f aca="false">BN363+BN371+BN375</f>
        <v>590176.389679365</v>
      </c>
      <c r="BO376" s="68" t="n">
        <f aca="false">BO363+BO371+BO375</f>
        <v>79572.8132005213</v>
      </c>
      <c r="BP376" s="68" t="n">
        <f aca="false">BP363+BP371+BP375</f>
        <v>-543961.758278322</v>
      </c>
      <c r="BQ376" s="68" t="n">
        <f aca="false">BQ363+BQ371+BQ375</f>
        <v>-1167496.32975717</v>
      </c>
      <c r="BR376" s="68" t="n">
        <f aca="false">BR363+BR371+BR375</f>
        <v>-1737780.55123601</v>
      </c>
      <c r="BS376" s="68" t="n">
        <f aca="false">BS363+BS371+BS375</f>
        <v>-2361315.12271485</v>
      </c>
      <c r="BT376" s="68" t="n">
        <f aca="false">BT363+BT371+BT375</f>
        <v>-2984849.6941937</v>
      </c>
      <c r="BU376" s="68" t="n">
        <f aca="false">BU363+BU371+BU375</f>
        <v>-3540622.26567254</v>
      </c>
      <c r="BV376" s="68" t="n">
        <f aca="false">BV363+BV371+BV375</f>
        <v>-4164156.83715139</v>
      </c>
      <c r="BW376" s="68" t="n">
        <f aca="false">BW363+BW371+BW375</f>
        <v>-4787691.40863023</v>
      </c>
      <c r="BX376" s="68" t="n">
        <f aca="false">BX363+BX371+BX375</f>
        <v>-5343463.98010908</v>
      </c>
      <c r="BY376" s="68" t="n">
        <f aca="false">BY363+BY371+BY375</f>
        <v>-5979369.2430175</v>
      </c>
      <c r="BZ376" s="68" t="n">
        <f aca="false">BZ363+BZ371+BZ375</f>
        <v>-6615274.50592592</v>
      </c>
      <c r="CA376" s="68" t="n">
        <f aca="false">CA363+CA371+CA375</f>
        <v>-7183417.76883434</v>
      </c>
      <c r="CB376" s="68" t="n">
        <f aca="false">CB363+CB371+CB375</f>
        <v>-7819323.03174276</v>
      </c>
      <c r="CC376" s="68" t="n">
        <f aca="false">CC363+CC371+CC375</f>
        <v>-8455228.29465119</v>
      </c>
      <c r="CD376" s="68" t="n">
        <f aca="false">CD363+CD371+CD375</f>
        <v>-9014634.55755961</v>
      </c>
      <c r="CE376" s="68" t="n">
        <f aca="false">CE363+CE371+CE375</f>
        <v>-9650539.82046803</v>
      </c>
      <c r="CF376" s="68" t="n">
        <f aca="false">CF363+CF371+CF375</f>
        <v>-10286445.0833765</v>
      </c>
      <c r="CG376" s="68" t="n">
        <f aca="false">CG363+CG371+CG375</f>
        <v>-10845851.3462849</v>
      </c>
      <c r="CH376" s="68" t="n">
        <f aca="false">CH363+CH371+CH375</f>
        <v>-11481756.6091933</v>
      </c>
      <c r="CI376" s="68" t="n">
        <f aca="false">CI363+CI371+CI375</f>
        <v>-12117661.8721017</v>
      </c>
      <c r="CJ376" s="68" t="n">
        <f aca="false">CJ363+CJ371+CJ375</f>
        <v>-12670460.1084037</v>
      </c>
      <c r="CK376" s="68" t="n">
        <f aca="false">CK363+CK371+CK375</f>
        <v>-13161122.4765702</v>
      </c>
      <c r="CL376" s="68" t="n">
        <f aca="false">CL363+CL371+CL375</f>
        <v>-13651784.8447368</v>
      </c>
      <c r="CM376" s="68" t="n">
        <f aca="false">CM363+CM371+CM375</f>
        <v>-14142447.2129034</v>
      </c>
      <c r="CN376" s="68" t="n">
        <f aca="false">CN363+CN371+CN375</f>
        <v>-14633109.58107</v>
      </c>
      <c r="CO376" s="68" t="n">
        <f aca="false">CO363+CO371+CO375</f>
        <v>-15123771.9492366</v>
      </c>
      <c r="CP376" s="68" t="n">
        <f aca="false">CP363+CP371+CP375</f>
        <v>-15614434.3174032</v>
      </c>
      <c r="CQ376" s="68" t="n">
        <f aca="false">CQ363+CQ371+CQ375</f>
        <v>-16105096.6855698</v>
      </c>
      <c r="CR376" s="68" t="n">
        <f aca="false">CR363+CR371+CR375</f>
        <v>-16595759.0537364</v>
      </c>
      <c r="CS376" s="68" t="n">
        <f aca="false">CS363+CS371+CS375</f>
        <v>-17086421.421903</v>
      </c>
      <c r="CT376" s="68" t="n">
        <f aca="false">CT363+CT371+CT375</f>
        <v>-17516281.6617768</v>
      </c>
      <c r="CU376" s="68" t="n">
        <f aca="false">CU363+CU371+CU375</f>
        <v>-17946141.9016506</v>
      </c>
      <c r="CV376" s="68" t="n">
        <f aca="false">CV363+CV371+CV375</f>
        <v>-18376002.1415244</v>
      </c>
      <c r="CW376" s="68" t="n">
        <f aca="false">CW363+CW371+CW375</f>
        <v>-18761808.6551321</v>
      </c>
      <c r="CX376" s="68" t="n">
        <f aca="false">CX363+CX371+CX375</f>
        <v>-19130168.3198034</v>
      </c>
      <c r="CY376" s="68" t="n">
        <f aca="false">CY363+CY371+CY375</f>
        <v>-19498527.9844747</v>
      </c>
      <c r="CZ376" s="68" t="n">
        <f aca="false">CZ363+CZ371+CZ375</f>
        <v>-19866887.649146</v>
      </c>
      <c r="DA376" s="68" t="n">
        <f aca="false">DA363+DA371+DA375</f>
        <v>-20235247.3138173</v>
      </c>
      <c r="DB376" s="68" t="n">
        <f aca="false">DB363+DB371+DB375</f>
        <v>-20603606.9784885</v>
      </c>
      <c r="DC376" s="68" t="n">
        <f aca="false">DC363+DC371+DC375</f>
        <v>-20971966.6431598</v>
      </c>
      <c r="DD376" s="68" t="n">
        <f aca="false">DD363+DD371+DD375</f>
        <v>-21340326.3078311</v>
      </c>
      <c r="DE376" s="68" t="n">
        <f aca="false">DE363+DE371+DE375</f>
        <v>-21708685.9725024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420551.593782371</v>
      </c>
      <c r="K405" s="13" t="n">
        <f aca="false">IF(K$4="Actuals",IF(L$4="Actuals","",L355),K363)</f>
        <v>916059.619043711</v>
      </c>
      <c r="L405" s="13" t="n">
        <f aca="false">IF(L$4="Actuals",IF(M$4="Actuals","",M355),L363)</f>
        <v>1360785.03373952</v>
      </c>
      <c r="M405" s="13" t="n">
        <f aca="false">IF(M$4="Actuals",IF(N$4="Actuals","",N355),M363)</f>
        <v>1475177.95199436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-710085.961790476</v>
      </c>
      <c r="R413" s="13" t="n">
        <f aca="false">IF(R$4="Actuals",IF(S$4="Actuals","",S366),R371)</f>
        <v>-928606.127390476</v>
      </c>
      <c r="S413" s="13" t="n">
        <f aca="false">IF(S$4="Actuals",IF(T$4="Actuals","",T366),S371)</f>
        <v>-1147126.29299048</v>
      </c>
      <c r="T413" s="13" t="n">
        <f aca="false">IF(T$4="Actuals",IF(U$4="Actuals","",U366),T371)</f>
        <v>-1391152.70859048</v>
      </c>
      <c r="U413" s="13" t="n">
        <f aca="false">IF(U$4="Actuals",IF(V$4="Actuals","",V366),U371)</f>
        <v>-1638079.12419048</v>
      </c>
      <c r="V413" s="13" t="n">
        <f aca="false">IF(V$4="Actuals",IF(W$4="Actuals","",W366),V371)</f>
        <v>-1885005.53979048</v>
      </c>
      <c r="W413" s="13" t="n">
        <f aca="false">IF(W$4="Actuals",IF(X$4="Actuals","",X366),W371)</f>
        <v>-2115359.69299048</v>
      </c>
      <c r="X413" s="13" t="n">
        <f aca="false">IF(X$4="Actuals",IF(Y$4="Actuals","",Y366),X371)</f>
        <v>-2329680.38379048</v>
      </c>
      <c r="Y413" s="13" t="n">
        <f aca="false">IF(Y$4="Actuals",IF(Z$4="Actuals","",Z366),Y371)</f>
        <v>-2470053.81219048</v>
      </c>
      <c r="Z413" s="13" t="n">
        <f aca="false">IF(Z$4="Actuals",IF(AA$4="Actuals","",AA366),Z371)</f>
        <v>-2664852.26419048</v>
      </c>
      <c r="AA413" s="13" t="n">
        <f aca="false">IF(AA$4="Actuals",IF(AB$4="Actuals","",AB366),AA371)</f>
        <v>-3094114.21419048</v>
      </c>
      <c r="AB413" s="13" t="n">
        <f aca="false">IF(AB$4="Actuals",IF(AC$4="Actuals","",AC366),AB371)</f>
        <v>-3200464.67419048</v>
      </c>
      <c r="AC413" s="13" t="n">
        <f aca="false">IF(AC$4="Actuals",IF(AD$4="Actuals","",AD366),AC371)</f>
        <v>-3352317.81331048</v>
      </c>
      <c r="AD413" s="13" t="n">
        <f aca="false">IF(AD$4="Actuals",IF(AE$4="Actuals","",AE366),AD371)</f>
        <v>-3488634.45643048</v>
      </c>
      <c r="AE413" s="13" t="n">
        <f aca="false">IF(AE$4="Actuals",IF(AF$4="Actuals","",AF366),AE371)</f>
        <v>-3532021.02782907</v>
      </c>
      <c r="AF413" s="13" t="n">
        <f aca="false">IF(AF$4="Actuals",IF(AG$4="Actuals","",AG366),AF371)</f>
        <v>-3538010.07594907</v>
      </c>
      <c r="AG413" s="13" t="n">
        <f aca="false">IF(AG$4="Actuals",IF(AH$4="Actuals","",AH366),AG371)</f>
        <v>-3540809.96056907</v>
      </c>
      <c r="AH413" s="13" t="n">
        <f aca="false">IF(AH$4="Actuals",IF(AI$4="Actuals","",AI366),AH371)</f>
        <v>-3522951.30018907</v>
      </c>
      <c r="AI413" s="13" t="n">
        <f aca="false">IF(AI$4="Actuals",IF(AJ$4="Actuals","",AJ366),AI371)</f>
        <v>-3563717.86980908</v>
      </c>
      <c r="AJ413" s="13" t="n">
        <f aca="false">IF(AJ$4="Actuals",IF(AK$4="Actuals","",AK366),AJ371)</f>
        <v>-3604054.27342908</v>
      </c>
      <c r="AK413" s="13" t="n">
        <f aca="false">IF(AK$4="Actuals",IF(AL$4="Actuals","",AL366),AK371)</f>
        <v>-3643960.52204908</v>
      </c>
      <c r="AL413" s="13" t="n">
        <f aca="false">IF(AL$4="Actuals",IF(AM$4="Actuals","",AM366),AL371)</f>
        <v>-3683436.61016908</v>
      </c>
      <c r="AM413" s="13" t="n">
        <f aca="false">IF(AM$4="Actuals",IF(AN$4="Actuals","",AN366),AM371)</f>
        <v>-3972482.54328908</v>
      </c>
      <c r="AN413" s="13" t="n">
        <f aca="false">IF(AN$4="Actuals",IF(AO$4="Actuals","",AO366),AN371)</f>
        <v>-3996856.52790908</v>
      </c>
      <c r="AO413" s="13" t="n">
        <f aca="false">IF(AO$4="Actuals",IF(AP$4="Actuals","",AP366),AO371)</f>
        <v>-4038779.58703148</v>
      </c>
      <c r="AP413" s="13" t="n">
        <f aca="false">IF(AP$4="Actuals",IF(AQ$4="Actuals","",AQ366),AP371)</f>
        <v>-4094514.27365387</v>
      </c>
      <c r="AQ413" s="13" t="n">
        <f aca="false">IF(AQ$4="Actuals",IF(AR$4="Actuals","",AR366),AQ371)</f>
        <v>-4164060.58777627</v>
      </c>
      <c r="AR413" s="13" t="n">
        <f aca="false">IF(AR$4="Actuals",IF(AS$4="Actuals","",AS366),AR371)</f>
        <v>-4247418.53489867</v>
      </c>
      <c r="AS413" s="13" t="n">
        <f aca="false">IF(AS$4="Actuals",IF(AT$4="Actuals","",AT366),AS371)</f>
        <v>-4352400.87752107</v>
      </c>
      <c r="AT413" s="13" t="n">
        <f aca="false">IF(AT$4="Actuals",IF(AU$4="Actuals","",AU366),AT371)</f>
        <v>-4469939.24514347</v>
      </c>
      <c r="AU413" s="13" t="n">
        <f aca="false">IF(AU$4="Actuals",IF(AV$4="Actuals","",AV366),AU371)</f>
        <v>-4600033.64276587</v>
      </c>
      <c r="AV413" s="13" t="n">
        <f aca="false">IF(AV$4="Actuals",IF(AW$4="Actuals","",AW366),AV371)</f>
        <v>-4742684.06038827</v>
      </c>
      <c r="AW413" s="13" t="n">
        <f aca="false">IF(AW$4="Actuals",IF(AX$4="Actuals","",AX366),AW371)</f>
        <v>-4898375.08951068</v>
      </c>
      <c r="AX413" s="13" t="n">
        <f aca="false">IF(AX$4="Actuals",IF(AY$4="Actuals","",AY366),AX371)</f>
        <v>-5013188.11713307</v>
      </c>
      <c r="AY413" s="13" t="n">
        <f aca="false">IF(AY$4="Actuals",IF(AZ$4="Actuals","",AZ366),AY371)</f>
        <v>-5140948.21975547</v>
      </c>
      <c r="AZ413" s="13" t="n">
        <f aca="false">IF(AZ$4="Actuals",IF(BA$4="Actuals","",BA366),AZ371)</f>
        <v>-5294501.68487787</v>
      </c>
      <c r="BA413" s="13" t="n">
        <f aca="false">IF(BA$4="Actuals",IF(BB$4="Actuals","",BB366),BA371)</f>
        <v>-5452297.51205272</v>
      </c>
      <c r="BB413" s="13" t="n">
        <f aca="false">IF(BB$4="Actuals",IF(BC$4="Actuals","",BC366),BB371)</f>
        <v>-5610523.50522757</v>
      </c>
      <c r="BC413" s="13" t="n">
        <f aca="false">IF(BC$4="Actuals",IF(BD$4="Actuals","",BD366),BC371)</f>
        <v>-5769179.65340242</v>
      </c>
      <c r="BD413" s="13" t="n">
        <f aca="false">IF(BD$4="Actuals",IF(BE$4="Actuals","",BE366),BD371)</f>
        <v>-5928265.96207727</v>
      </c>
      <c r="BE413" s="13" t="n">
        <f aca="false">IF(BE$4="Actuals",IF(BF$4="Actuals","",BF366),BE371)</f>
        <v>-6087782.43125211</v>
      </c>
      <c r="BF413" s="13" t="n">
        <f aca="false">IF(BF$4="Actuals",IF(BG$4="Actuals","",BG366),BF371)</f>
        <v>-6247729.06092696</v>
      </c>
      <c r="BG413" s="13" t="n">
        <f aca="false">IF(BG$4="Actuals",IF(BH$4="Actuals","",BH366),BG371)</f>
        <v>-6408105.85110181</v>
      </c>
      <c r="BH413" s="13" t="n">
        <f aca="false">IF(BH$4="Actuals",IF(BI$4="Actuals","",BI366),BH371)</f>
        <v>-6568912.80177666</v>
      </c>
      <c r="BI413" s="13" t="n">
        <f aca="false">IF(BI$4="Actuals",IF(BJ$4="Actuals","",BJ366),BI371)</f>
        <v>-6730149.91295151</v>
      </c>
      <c r="BJ413" s="13" t="n">
        <f aca="false">IF(BJ$4="Actuals",IF(BK$4="Actuals","",BK366),BJ371)</f>
        <v>-6891817.18462635</v>
      </c>
      <c r="BK413" s="13" t="n">
        <f aca="false">IF(BK$4="Actuals",IF(BL$4="Actuals","",BL366),BK371)</f>
        <v>-7053914.6168012</v>
      </c>
      <c r="BL413" s="13" t="n">
        <f aca="false">IF(BL$4="Actuals",IF(BM$4="Actuals","",BM366),BL371)</f>
        <v>-7216442.20397605</v>
      </c>
      <c r="BM413" s="13" t="n">
        <f aca="false">IF(BM$4="Actuals",IF(BN$4="Actuals","",BN366),BM371)</f>
        <v>-7359787.9027344</v>
      </c>
      <c r="BN413" s="13" t="n">
        <f aca="false">IF(BN$4="Actuals",IF(BO$4="Actuals","",BO366),BN371)</f>
        <v>-7503563.76199274</v>
      </c>
      <c r="BO413" s="13" t="n">
        <f aca="false">IF(BO$4="Actuals",IF(BP$4="Actuals","",BP366),BO371)</f>
        <v>-7593943.49175109</v>
      </c>
      <c r="BP413" s="13" t="n">
        <f aca="false">IF(BP$4="Actuals",IF(BQ$4="Actuals","",BQ366),BP371)</f>
        <v>-7797254.21650943</v>
      </c>
      <c r="BQ413" s="13" t="n">
        <f aca="false">IF(BQ$4="Actuals",IF(BR$4="Actuals","",BR366),BQ371)</f>
        <v>-8000564.94126777</v>
      </c>
      <c r="BR413" s="13" t="n">
        <f aca="false">IF(BR$4="Actuals",IF(BS$4="Actuals","",BS366),BR371)</f>
        <v>-8150625.31602612</v>
      </c>
      <c r="BS413" s="13" t="n">
        <f aca="false">IF(BS$4="Actuals",IF(BT$4="Actuals","",BT366),BS371)</f>
        <v>-8353936.04078446</v>
      </c>
      <c r="BT413" s="13" t="n">
        <f aca="false">IF(BT$4="Actuals",IF(BU$4="Actuals","",BU366),BT371)</f>
        <v>-8557246.76554281</v>
      </c>
      <c r="BU413" s="13" t="n">
        <f aca="false">IF(BU$4="Actuals",IF(BV$4="Actuals","",BV366),BU371)</f>
        <v>-8692795.49030116</v>
      </c>
      <c r="BV413" s="13" t="n">
        <f aca="false">IF(BV$4="Actuals",IF(BW$4="Actuals","",BW366),BV371)</f>
        <v>-8896106.2150595</v>
      </c>
      <c r="BW413" s="13" t="n">
        <f aca="false">IF(BW$4="Actuals",IF(BX$4="Actuals","",BX366),BW371)</f>
        <v>-9099416.93981785</v>
      </c>
      <c r="BX413" s="13" t="n">
        <f aca="false">IF(BX$4="Actuals",IF(BY$4="Actuals","",BY366),BX371)</f>
        <v>-9234965.66457619</v>
      </c>
      <c r="BY413" s="13" t="n">
        <f aca="false">IF(BY$4="Actuals",IF(BZ$4="Actuals","",BZ366),BY371)</f>
        <v>-9442242.6038297</v>
      </c>
      <c r="BZ413" s="13" t="n">
        <f aca="false">IF(BZ$4="Actuals",IF(CA$4="Actuals","",CA366),BZ371)</f>
        <v>-9649519.54308322</v>
      </c>
      <c r="CA413" s="13" t="n">
        <f aca="false">IF(CA$4="Actuals",IF(CB$4="Actuals","",CB366),CA371)</f>
        <v>-9789034.48233673</v>
      </c>
      <c r="CB413" s="13" t="n">
        <f aca="false">IF(CB$4="Actuals",IF(CC$4="Actuals","",CC366),CB371)</f>
        <v>-9996311.42159024</v>
      </c>
      <c r="CC413" s="13" t="n">
        <f aca="false">IF(CC$4="Actuals",IF(CD$4="Actuals","",CD366),CC371)</f>
        <v>-10203588.3608438</v>
      </c>
      <c r="CD413" s="13" t="n">
        <f aca="false">IF(CD$4="Actuals",IF(CE$4="Actuals","",CE366),CD371)</f>
        <v>-10334366.3000973</v>
      </c>
      <c r="CE413" s="13" t="n">
        <f aca="false">IF(CE$4="Actuals",IF(CF$4="Actuals","",CF366),CE371)</f>
        <v>-10541643.2393508</v>
      </c>
      <c r="CF413" s="13" t="n">
        <f aca="false">IF(CF$4="Actuals",IF(CG$4="Actuals","",CG366),CF371)</f>
        <v>-10748920.1786043</v>
      </c>
      <c r="CG413" s="13" t="n">
        <f aca="false">IF(CG$4="Actuals",IF(CH$4="Actuals","",CH366),CG371)</f>
        <v>-10879698.1178578</v>
      </c>
      <c r="CH413" s="13" t="n">
        <f aca="false">IF(CH$4="Actuals",IF(CI$4="Actuals","",CI366),CH371)</f>
        <v>-11086975.0571113</v>
      </c>
      <c r="CI413" s="13" t="n">
        <f aca="false">IF(CI$4="Actuals",IF(CJ$4="Actuals","",CJ366),CI371)</f>
        <v>-11294251.9963648</v>
      </c>
      <c r="CJ413" s="13" t="n">
        <f aca="false">IF(CJ$4="Actuals",IF(CK$4="Actuals","",CK366),CJ371)</f>
        <v>-11418421.9090119</v>
      </c>
      <c r="CK413" s="13" t="n">
        <f aca="false">IF(CK$4="Actuals",IF(CL$4="Actuals","",CL366),CK371)</f>
        <v>-11471883.3870504</v>
      </c>
      <c r="CL413" s="13" t="n">
        <f aca="false">IF(CL$4="Actuals",IF(CM$4="Actuals","",CM366),CL371)</f>
        <v>-11525344.865089</v>
      </c>
      <c r="CM413" s="13" t="n">
        <f aca="false">IF(CM$4="Actuals",IF(CN$4="Actuals","",CN366),CM371)</f>
        <v>-11578806.3431276</v>
      </c>
      <c r="CN413" s="13" t="n">
        <f aca="false">IF(CN$4="Actuals",IF(CO$4="Actuals","",CO366),CN371)</f>
        <v>-11632267.8211662</v>
      </c>
      <c r="CO413" s="13" t="n">
        <f aca="false">IF(CO$4="Actuals",IF(CP$4="Actuals","",CP366),CO371)</f>
        <v>-11685729.2992048</v>
      </c>
      <c r="CP413" s="13" t="n">
        <f aca="false">IF(CP$4="Actuals",IF(CQ$4="Actuals","",CQ366),CP371)</f>
        <v>-11739190.7772434</v>
      </c>
      <c r="CQ413" s="13" t="n">
        <f aca="false">IF(CQ$4="Actuals",IF(CR$4="Actuals","",CR366),CQ371)</f>
        <v>-11792652.2552819</v>
      </c>
      <c r="CR413" s="13" t="n">
        <f aca="false">IF(CR$4="Actuals",IF(CS$4="Actuals","",CS366),CR371)</f>
        <v>-11846113.7333205</v>
      </c>
      <c r="CS413" s="13" t="n">
        <f aca="false">IF(CS$4="Actuals",IF(CT$4="Actuals","",CT366),CS371)</f>
        <v>-11899575.2113591</v>
      </c>
      <c r="CT413" s="13" t="n">
        <f aca="false">IF(CT$4="Actuals",IF(CU$4="Actuals","",CU366),CT371)</f>
        <v>-11944014.7207164</v>
      </c>
      <c r="CU413" s="13" t="n">
        <f aca="false">IF(CU$4="Actuals",IF(CV$4="Actuals","",CV366),CU371)</f>
        <v>-11988454.2300736</v>
      </c>
      <c r="CV413" s="13" t="n">
        <f aca="false">IF(CV$4="Actuals",IF(CW$4="Actuals","",CW366),CV371)</f>
        <v>-12032893.7394309</v>
      </c>
      <c r="CW413" s="13" t="n">
        <f aca="false">IF(CW$4="Actuals",IF(CX$4="Actuals","",CX366),CW371)</f>
        <v>-12025571.1079117</v>
      </c>
      <c r="CX413" s="13" t="n">
        <f aca="false">IF(CX$4="Actuals",IF(CY$4="Actuals","",CY366),CX371)</f>
        <v>-12000801.6274561</v>
      </c>
      <c r="CY413" s="13" t="n">
        <f aca="false">IF(CY$4="Actuals",IF(CZ$4="Actuals","",CZ366),CY371)</f>
        <v>-11976032.1470005</v>
      </c>
      <c r="CZ413" s="13" t="n">
        <f aca="false">IF(CZ$4="Actuals",IF(DA$4="Actuals","",DA366),CZ371)</f>
        <v>-11951262.6665449</v>
      </c>
      <c r="DA413" s="13" t="n">
        <f aca="false">IF(DA$4="Actuals",IF(DB$4="Actuals","",DB366),DA371)</f>
        <v>-11926493.1860893</v>
      </c>
      <c r="DB413" s="13" t="n">
        <f aca="false">IF(DB$4="Actuals",IF(DC$4="Actuals","",DC366),DB371)</f>
        <v>-11901723.7056337</v>
      </c>
      <c r="DC413" s="13" t="n">
        <f aca="false">IF(DC$4="Actuals",IF(DD$4="Actuals","",DD366),DC371)</f>
        <v>-11876954.2251781</v>
      </c>
      <c r="DD413" s="13" t="n">
        <f aca="false">IF(DD$4="Actuals",IF(DE$4="Actuals","",DE366),DD371)</f>
        <v>-11852184.7447225</v>
      </c>
      <c r="DE413" s="13" t="n">
        <f aca="false">IF(DE$4="Actuals",IF(DF$4="Actuals","",DF366),DE371)</f>
        <v>-11827415.2642669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933406.710449037</v>
      </c>
      <c r="K421" s="13" t="n">
        <f aca="false">IF(K$4="Actuals",IF(L$4="Actuals","",L374),K376)</f>
        <v>1283579.85237704</v>
      </c>
      <c r="L421" s="13" t="n">
        <f aca="false">IF(L$4="Actuals",IF(M$4="Actuals","",M374),L376)</f>
        <v>1573595.38373952</v>
      </c>
      <c r="M421" s="13" t="n">
        <f aca="false">IF(M$4="Actuals",IF(N$4="Actuals","",N374),M376)</f>
        <v>1536778.41866102</v>
      </c>
      <c r="N421" s="13" t="n">
        <f aca="false">IF(N$4="Actuals",IF(O$4="Actuals","",O374),N376)</f>
        <v>1011912.51400583</v>
      </c>
      <c r="O421" s="13" t="n">
        <f aca="false">IF(O$4="Actuals",IF(P$4="Actuals","",P374),O376)</f>
        <v>1158372.03957861</v>
      </c>
      <c r="P421" s="13" t="n">
        <f aca="false">IF(P$4="Actuals",IF(Q$4="Actuals","",Q374),P376)</f>
        <v>1187308.55325472</v>
      </c>
      <c r="Q421" s="13" t="n">
        <f aca="false">IF(Q$4="Actuals",IF(R$4="Actuals","",R374),Q376)</f>
        <v>1273080.75343321</v>
      </c>
      <c r="R421" s="13" t="n">
        <f aca="false">IF(R$4="Actuals",IF(S$4="Actuals","",S374),R376)</f>
        <v>569027.003346605</v>
      </c>
      <c r="S421" s="13" t="n">
        <f aca="false">IF(S$4="Actuals",IF(T$4="Actuals","",T374),S376)</f>
        <v>414446.457035525</v>
      </c>
      <c r="T421" s="13" t="n">
        <f aca="false">IF(T$4="Actuals",IF(U$4="Actuals","",U374),T376)</f>
        <v>271658.154407305</v>
      </c>
      <c r="U421" s="13" t="n">
        <f aca="false">IF(U$4="Actuals",IF(V$4="Actuals","",V374),U376)</f>
        <v>315448.869792343</v>
      </c>
      <c r="V421" s="13" t="n">
        <f aca="false">IF(V$4="Actuals",IF(W$4="Actuals","",W374),V376)</f>
        <v>696947.51922418</v>
      </c>
      <c r="W421" s="13" t="n">
        <f aca="false">IF(W$4="Actuals",IF(X$4="Actuals","",X374),W376)</f>
        <v>1144070.41455602</v>
      </c>
      <c r="X421" s="13" t="n">
        <f aca="false">IF(X$4="Actuals",IF(Y$4="Actuals","",Y374),X376)</f>
        <v>1390961.05804491</v>
      </c>
      <c r="Y421" s="13" t="n">
        <f aca="false">IF(Y$4="Actuals",IF(Z$4="Actuals","",Z374),Y376)</f>
        <v>1945413.80334272</v>
      </c>
      <c r="Z421" s="13" t="n">
        <f aca="false">IF(Z$4="Actuals",IF(AA$4="Actuals","",AA374),Z376)</f>
        <v>2342479.46287514</v>
      </c>
      <c r="AA421" s="13" t="n">
        <f aca="false">IF(AA$4="Actuals",IF(AB$4="Actuals","",AB374),AA376)</f>
        <v>2725864.94885489</v>
      </c>
      <c r="AB421" s="13" t="n">
        <f aca="false">IF(AB$4="Actuals",IF(AC$4="Actuals","",AC374),AB376)</f>
        <v>1872255.88220013</v>
      </c>
      <c r="AC421" s="13" t="n">
        <f aca="false">IF(AC$4="Actuals",IF(AD$4="Actuals","",AD374),AC376)</f>
        <v>3898931.63788232</v>
      </c>
      <c r="AD421" s="13" t="n">
        <f aca="false">IF(AD$4="Actuals",IF(AE$4="Actuals","",AE374),AD376)</f>
        <v>4125613.79732928</v>
      </c>
      <c r="AE421" s="13" t="n">
        <f aca="false">IF(AE$4="Actuals",IF(AF$4="Actuals","",AF374),AE376)</f>
        <v>4482669.43287729</v>
      </c>
      <c r="AF421" s="13" t="n">
        <f aca="false">IF(AF$4="Actuals",IF(AG$4="Actuals","",AG374),AF376)</f>
        <v>4421212.64302576</v>
      </c>
      <c r="AG421" s="13" t="n">
        <f aca="false">IF(AG$4="Actuals",IF(AH$4="Actuals","",AH374),AG376)</f>
        <v>5190730.47169826</v>
      </c>
      <c r="AH421" s="13" t="n">
        <f aca="false">IF(AH$4="Actuals",IF(AI$4="Actuals","",AI374),AH376)</f>
        <v>5843764.46098174</v>
      </c>
      <c r="AI421" s="13" t="n">
        <f aca="false">IF(AI$4="Actuals",IF(AJ$4="Actuals","",AJ374),AI376)</f>
        <v>6314095.93311102</v>
      </c>
      <c r="AJ421" s="13" t="n">
        <f aca="false">IF(AJ$4="Actuals",IF(AK$4="Actuals","",AK374),AJ376)</f>
        <v>6994004.01801824</v>
      </c>
      <c r="AK421" s="13" t="n">
        <f aca="false">IF(AK$4="Actuals",IF(AL$4="Actuals","",AL374),AK376)</f>
        <v>7638372.78730815</v>
      </c>
      <c r="AL421" s="13" t="n">
        <f aca="false">IF(AL$4="Actuals",IF(AM$4="Actuals","",AM374),AL376)</f>
        <v>7957797.50056375</v>
      </c>
      <c r="AM421" s="13" t="n">
        <f aca="false">IF(AM$4="Actuals",IF(AN$4="Actuals","",AN374),AM376)</f>
        <v>7936452.28977156</v>
      </c>
      <c r="AN421" s="13" t="n">
        <f aca="false">IF(AN$4="Actuals",IF(AO$4="Actuals","",AO374),AN376)</f>
        <v>5159738.05673008</v>
      </c>
      <c r="AO421" s="13" t="n">
        <f aca="false">IF(AO$4="Actuals",IF(AP$4="Actuals","",AP374),AO376)</f>
        <v>8269896.61692349</v>
      </c>
      <c r="AP421" s="13" t="n">
        <f aca="false">IF(AP$4="Actuals",IF(AQ$4="Actuals","",AQ374),AP376)</f>
        <v>8198799.69159705</v>
      </c>
      <c r="AQ421" s="13" t="n">
        <f aca="false">IF(AQ$4="Actuals",IF(AR$4="Actuals","",AR374),AQ376)</f>
        <v>8120096.27130523</v>
      </c>
      <c r="AR421" s="13" t="n">
        <f aca="false">IF(AR$4="Actuals",IF(AS$4="Actuals","",AS374),AR376)</f>
        <v>8047196.6026288</v>
      </c>
      <c r="AS421" s="13" t="n">
        <f aca="false">IF(AS$4="Actuals",IF(AT$4="Actuals","",AT374),AS376)</f>
        <v>7955714.27008698</v>
      </c>
      <c r="AT421" s="13" t="n">
        <f aca="false">IF(AT$4="Actuals",IF(AU$4="Actuals","",AU374),AT376)</f>
        <v>8120152.60324636</v>
      </c>
      <c r="AU421" s="13" t="n">
        <f aca="false">IF(AU$4="Actuals",IF(AV$4="Actuals","",AV374),AU376)</f>
        <v>8437402.78170698</v>
      </c>
      <c r="AV421" s="13" t="n">
        <f aca="false">IF(AV$4="Actuals",IF(AW$4="Actuals","",AW374),AV376)</f>
        <v>8310532.63341198</v>
      </c>
      <c r="AW421" s="13" t="n">
        <f aca="false">IF(AW$4="Actuals",IF(AX$4="Actuals","",AX374),AW376)</f>
        <v>7900712.22051522</v>
      </c>
      <c r="AX421" s="13" t="n">
        <f aca="false">IF(AX$4="Actuals",IF(AY$4="Actuals","",AY374),AX376)</f>
        <v>7531769.80911845</v>
      </c>
      <c r="AY421" s="13" t="n">
        <f aca="false">IF(AY$4="Actuals",IF(AZ$4="Actuals","",AZ374),AY376)</f>
        <v>7149880.32272169</v>
      </c>
      <c r="AZ421" s="13" t="n">
        <f aca="false">IF(AZ$4="Actuals",IF(BA$4="Actuals","",BA374),AZ376)</f>
        <v>6742197.47382493</v>
      </c>
      <c r="BA421" s="13" t="n">
        <f aca="false">IF(BA$4="Actuals",IF(BB$4="Actuals","",BB374),BA376)</f>
        <v>6322194.14202374</v>
      </c>
      <c r="BB421" s="13" t="n">
        <f aca="false">IF(BB$4="Actuals",IF(BC$4="Actuals","",BC374),BB376)</f>
        <v>5901760.64422254</v>
      </c>
      <c r="BC421" s="13" t="n">
        <f aca="false">IF(BC$4="Actuals",IF(BD$4="Actuals","",BD374),BC376)</f>
        <v>5480896.99142134</v>
      </c>
      <c r="BD421" s="13" t="n">
        <f aca="false">IF(BD$4="Actuals",IF(BE$4="Actuals","",BE374),BD376)</f>
        <v>5059603.17812015</v>
      </c>
      <c r="BE421" s="13" t="n">
        <f aca="false">IF(BE$4="Actuals",IF(BF$4="Actuals","",BF374),BE376)</f>
        <v>4637879.20431895</v>
      </c>
      <c r="BF421" s="13" t="n">
        <f aca="false">IF(BF$4="Actuals",IF(BG$4="Actuals","",BG374),BF376)</f>
        <v>4215725.07001775</v>
      </c>
      <c r="BG421" s="13" t="n">
        <f aca="false">IF(BG$4="Actuals",IF(BH$4="Actuals","",BH374),BG376)</f>
        <v>3793140.77521656</v>
      </c>
      <c r="BH421" s="13" t="n">
        <f aca="false">IF(BH$4="Actuals",IF(BI$4="Actuals","",BI374),BH376)</f>
        <v>3606615.78121818</v>
      </c>
      <c r="BI421" s="13" t="n">
        <f aca="false">IF(BI$4="Actuals",IF(BJ$4="Actuals","",BJ374),BI376)</f>
        <v>3439990.42251601</v>
      </c>
      <c r="BJ421" s="13" t="n">
        <f aca="false">IF(BJ$4="Actuals",IF(BK$4="Actuals","",BK374),BJ376)</f>
        <v>2866338.98738969</v>
      </c>
      <c r="BK421" s="13" t="n">
        <f aca="false">IF(BK$4="Actuals",IF(BL$4="Actuals","",BL374),BK376)</f>
        <v>2292257.39176337</v>
      </c>
      <c r="BL421" s="13" t="n">
        <f aca="false">IF(BL$4="Actuals",IF(BM$4="Actuals","",BM374),BL376)</f>
        <v>1717745.64113705</v>
      </c>
      <c r="BM421" s="13" t="n">
        <f aca="false">IF(BM$4="Actuals",IF(BN$4="Actuals","",BN374),BM376)</f>
        <v>1154176.09565821</v>
      </c>
      <c r="BN421" s="13" t="n">
        <f aca="false">IF(BN$4="Actuals",IF(BO$4="Actuals","",BO374),BN376)</f>
        <v>590176.389679365</v>
      </c>
      <c r="BO421" s="13" t="n">
        <f aca="false">IF(BO$4="Actuals",IF(BP$4="Actuals","",BP374),BO376)</f>
        <v>79572.8132005213</v>
      </c>
      <c r="BP421" s="13" t="n">
        <f aca="false">IF(BP$4="Actuals",IF(BQ$4="Actuals","",BQ374),BP376)</f>
        <v>-543961.758278322</v>
      </c>
      <c r="BQ421" s="13" t="n">
        <f aca="false">IF(BQ$4="Actuals",IF(BR$4="Actuals","",BR374),BQ376)</f>
        <v>-1167496.32975717</v>
      </c>
      <c r="BR421" s="13" t="n">
        <f aca="false">IF(BR$4="Actuals",IF(BS$4="Actuals","",BS374),BR376)</f>
        <v>-1737780.55123601</v>
      </c>
      <c r="BS421" s="13" t="n">
        <f aca="false">IF(BS$4="Actuals",IF(BT$4="Actuals","",BT374),BS376)</f>
        <v>-2361315.12271485</v>
      </c>
      <c r="BT421" s="13" t="n">
        <f aca="false">IF(BT$4="Actuals",IF(BU$4="Actuals","",BU374),BT376)</f>
        <v>-2984849.6941937</v>
      </c>
      <c r="BU421" s="13" t="n">
        <f aca="false">IF(BU$4="Actuals",IF(BV$4="Actuals","",BV374),BU376)</f>
        <v>-3540622.26567254</v>
      </c>
      <c r="BV421" s="13" t="n">
        <f aca="false">IF(BV$4="Actuals",IF(BW$4="Actuals","",BW374),BV376)</f>
        <v>-4164156.83715139</v>
      </c>
      <c r="BW421" s="13" t="n">
        <f aca="false">IF(BW$4="Actuals",IF(BX$4="Actuals","",BX374),BW376)</f>
        <v>-4787691.40863023</v>
      </c>
      <c r="BX421" s="13" t="n">
        <f aca="false">IF(BX$4="Actuals",IF(BY$4="Actuals","",BY374),BX376)</f>
        <v>-5343463.98010908</v>
      </c>
      <c r="BY421" s="13" t="n">
        <f aca="false">IF(BY$4="Actuals",IF(BZ$4="Actuals","",BZ374),BY376)</f>
        <v>-5979369.2430175</v>
      </c>
      <c r="BZ421" s="13" t="n">
        <f aca="false">IF(BZ$4="Actuals",IF(CA$4="Actuals","",CA374),BZ376)</f>
        <v>-6615274.50592592</v>
      </c>
      <c r="CA421" s="13" t="n">
        <f aca="false">IF(CA$4="Actuals",IF(CB$4="Actuals","",CB374),CA376)</f>
        <v>-7183417.76883434</v>
      </c>
      <c r="CB421" s="13" t="n">
        <f aca="false">IF(CB$4="Actuals",IF(CC$4="Actuals","",CC374),CB376)</f>
        <v>-7819323.03174276</v>
      </c>
      <c r="CC421" s="13" t="n">
        <f aca="false">IF(CC$4="Actuals",IF(CD$4="Actuals","",CD374),CC376)</f>
        <v>-8455228.29465119</v>
      </c>
      <c r="CD421" s="13" t="n">
        <f aca="false">IF(CD$4="Actuals",IF(CE$4="Actuals","",CE374),CD376)</f>
        <v>-9014634.55755961</v>
      </c>
      <c r="CE421" s="13" t="n">
        <f aca="false">IF(CE$4="Actuals",IF(CF$4="Actuals","",CF374),CE376)</f>
        <v>-9650539.82046803</v>
      </c>
      <c r="CF421" s="13" t="n">
        <f aca="false">IF(CF$4="Actuals",IF(CG$4="Actuals","",CG374),CF376)</f>
        <v>-10286445.0833765</v>
      </c>
      <c r="CG421" s="13" t="n">
        <f aca="false">IF(CG$4="Actuals",IF(CH$4="Actuals","",CH374),CG376)</f>
        <v>-10845851.3462849</v>
      </c>
      <c r="CH421" s="13" t="n">
        <f aca="false">IF(CH$4="Actuals",IF(CI$4="Actuals","",CI374),CH376)</f>
        <v>-11481756.6091933</v>
      </c>
      <c r="CI421" s="13" t="n">
        <f aca="false">IF(CI$4="Actuals",IF(CJ$4="Actuals","",CJ374),CI376)</f>
        <v>-12117661.8721017</v>
      </c>
      <c r="CJ421" s="13" t="n">
        <f aca="false">IF(CJ$4="Actuals",IF(CK$4="Actuals","",CK374),CJ376)</f>
        <v>-12670460.1084037</v>
      </c>
      <c r="CK421" s="13" t="n">
        <f aca="false">IF(CK$4="Actuals",IF(CL$4="Actuals","",CL374),CK376)</f>
        <v>-13161122.4765702</v>
      </c>
      <c r="CL421" s="13" t="n">
        <f aca="false">IF(CL$4="Actuals",IF(CM$4="Actuals","",CM374),CL376)</f>
        <v>-13651784.8447368</v>
      </c>
      <c r="CM421" s="13" t="n">
        <f aca="false">IF(CM$4="Actuals",IF(CN$4="Actuals","",CN374),CM376)</f>
        <v>-14142447.2129034</v>
      </c>
      <c r="CN421" s="13" t="n">
        <f aca="false">IF(CN$4="Actuals",IF(CO$4="Actuals","",CO374),CN376)</f>
        <v>-14633109.58107</v>
      </c>
      <c r="CO421" s="13" t="n">
        <f aca="false">IF(CO$4="Actuals",IF(CP$4="Actuals","",CP374),CO376)</f>
        <v>-15123771.9492366</v>
      </c>
      <c r="CP421" s="13" t="n">
        <f aca="false">IF(CP$4="Actuals",IF(CQ$4="Actuals","",CQ374),CP376)</f>
        <v>-15614434.3174032</v>
      </c>
      <c r="CQ421" s="13" t="n">
        <f aca="false">IF(CQ$4="Actuals",IF(CR$4="Actuals","",CR374),CQ376)</f>
        <v>-16105096.6855698</v>
      </c>
      <c r="CR421" s="13" t="n">
        <f aca="false">IF(CR$4="Actuals",IF(CS$4="Actuals","",CS374),CR376)</f>
        <v>-16595759.0537364</v>
      </c>
      <c r="CS421" s="13" t="n">
        <f aca="false">IF(CS$4="Actuals",IF(CT$4="Actuals","",CT374),CS376)</f>
        <v>-17086421.421903</v>
      </c>
      <c r="CT421" s="13" t="n">
        <f aca="false">IF(CT$4="Actuals",IF(CU$4="Actuals","",CU374),CT376)</f>
        <v>-17516281.6617768</v>
      </c>
      <c r="CU421" s="13" t="n">
        <f aca="false">IF(CU$4="Actuals",IF(CV$4="Actuals","",CV374),CU376)</f>
        <v>-17946141.9016506</v>
      </c>
      <c r="CV421" s="13" t="n">
        <f aca="false">IF(CV$4="Actuals",IF(CW$4="Actuals","",CW374),CV376)</f>
        <v>-18376002.1415244</v>
      </c>
      <c r="CW421" s="13" t="n">
        <f aca="false">IF(CW$4="Actuals",IF(CX$4="Actuals","",CX374),CW376)</f>
        <v>-18761808.6551321</v>
      </c>
      <c r="CX421" s="13" t="n">
        <f aca="false">IF(CX$4="Actuals",IF(CY$4="Actuals","",CY374),CX376)</f>
        <v>-19130168.3198034</v>
      </c>
      <c r="CY421" s="13" t="n">
        <f aca="false">IF(CY$4="Actuals",IF(CZ$4="Actuals","",CZ374),CY376)</f>
        <v>-19498527.9844747</v>
      </c>
      <c r="CZ421" s="13" t="n">
        <f aca="false">IF(CZ$4="Actuals",IF(DA$4="Actuals","",DA374),CZ376)</f>
        <v>-19866887.649146</v>
      </c>
      <c r="DA421" s="13" t="n">
        <f aca="false">IF(DA$4="Actuals",IF(DB$4="Actuals","",DB374),DA376)</f>
        <v>-20235247.3138173</v>
      </c>
      <c r="DB421" s="13" t="n">
        <f aca="false">IF(DB$4="Actuals",IF(DC$4="Actuals","",DC374),DB376)</f>
        <v>-20603606.9784885</v>
      </c>
      <c r="DC421" s="13" t="n">
        <f aca="false">IF(DC$4="Actuals",IF(DD$4="Actuals","",DD374),DC376)</f>
        <v>-20971966.6431598</v>
      </c>
      <c r="DD421" s="13" t="n">
        <f aca="false">IF(DD$4="Actuals",IF(DE$4="Actuals","",DE374),DD376)</f>
        <v>-21340326.3078311</v>
      </c>
      <c r="DE421" s="13" t="n">
        <f aca="false">IF(DE$4="Actuals",IF(DF$4="Actuals","",DF374),DE376)</f>
        <v>-21708685.9725024</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498113.940000001</v>
      </c>
      <c r="I446" s="13" t="n">
        <f aca="false">IF(I$4="Actuals",I237,"")</f>
        <v>162043.498375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931707.059999999</v>
      </c>
      <c r="I449" s="13" t="n">
        <f aca="false">IF(I390="","",I390-I445-I446-I447-I448)</f>
        <v>12240.5016250003</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-520912.940000001</v>
      </c>
      <c r="I451" s="13" t="n">
        <f aca="false">IF(I390="","",I390-I445-I446)</f>
        <v>841722.501625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-37067.94</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1879953.94</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-1337375.87180973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5967974.14604232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0.104765767239179</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1896243.83604232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0.0332879190650114</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582524.39</v>
      </c>
      <c r="C25" s="80" t="n">
        <f aca="false">Model!N261+Model!O261+Model!P261+Model!Q261+Model!R261+Model!S261+Model!T261+Model!U261+Model!V261+Model!W261+Model!X261+Model!Y261</f>
        <v>1351293.34514286</v>
      </c>
      <c r="D25" s="80" t="n">
        <f aca="false">Model!Z261+Model!AA261+Model!AB261+Model!AC261+Model!AD261+Model!AE261+Model!AF261+Model!AG261+Model!AH261+Model!AI261+Model!AJ261+Model!AK261</f>
        <v>2019553.7145</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-1787582.20333333</v>
      </c>
      <c r="C27" s="37" t="n">
        <f aca="false">Model!N293+Model!O293+Model!P293+Model!Q293+Model!R293+Model!S293+Model!T293+Model!U293+Model!V293+Model!W293+Model!X293+Model!Y293</f>
        <v>-1187654.27885714</v>
      </c>
      <c r="D27" s="37" t="n">
        <f aca="false">Model!Z293+Model!AA293+Model!AB293+Model!AC293+Model!AD293+Model!AE293+Model!AF293+Model!AG293+Model!AH293+Model!AI293+Model!AJ293+Model!AK293</f>
        <v>-271925.27958</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108661.63270899</v>
      </c>
      <c r="C29" s="37" t="n">
        <f aca="false">Model!N302+Model!O302+Model!P302+Model!Q302+Model!R302+Model!S302+Model!T302+Model!U302+Model!V302+Model!W302+Model!X302+Model!Y302</f>
        <v>3165062.48124971</v>
      </c>
      <c r="D29" s="37" t="n">
        <f aca="false">Model!Z302+Model!AA302+Model!AB302+Model!AC302+Model!AD302+Model!AE302+Model!AF302+Model!AG302+Model!AH302+Model!AI302+Model!AJ302+Model!AK302</f>
        <v>6217724.1511329</v>
      </c>
      <c r="E29" s="37" t="n">
        <f aca="false">Model!AL302+Model!AM302+Model!AN302+Model!AO302+Model!AP302+Model!AQ302+Model!AR302+Model!AS302+Model!AT302+Model!AU302+Model!AV302+Model!AW302</f>
        <v>-660119.04035726</v>
      </c>
      <c r="F29" s="37" t="n">
        <f aca="false">Model!AX302+Model!AY302+Model!AZ302+Model!BA302+Model!BB302+Model!BC302+Model!BD302+Model!BE302+Model!BF302+Model!BG302+Model!BH302+Model!BI302</f>
        <v>-4768158.09769289</v>
      </c>
      <c r="G29" s="37" t="n">
        <f aca="false">Model!BJ302+Model!BK302+Model!BL302+Model!BM302+Model!BN302+Model!BO302+Model!BP302+Model!BQ302+Model!BR302+Model!BS302+Model!BT302+Model!BU302</f>
        <v>-6980612.68818855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1475177.95199436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-2470053.81219048</v>
      </c>
      <c r="D49" s="83" t="n">
        <f aca="false">Model!AK371</f>
        <v>-3643960.52204908</v>
      </c>
      <c r="E49" s="83" t="n">
        <f aca="false">Model!AW371</f>
        <v>-4898375.08951068</v>
      </c>
      <c r="F49" s="83" t="n">
        <f aca="false">Model!BI371</f>
        <v>-6730149.91295151</v>
      </c>
      <c r="G49" s="83" t="n">
        <f aca="false">Model!BU371</f>
        <v>-8692795.49030116</v>
      </c>
      <c r="H49" s="83" t="n">
        <f aca="false">Model!CG371</f>
        <v>-10879698.1178578</v>
      </c>
      <c r="I49" s="83" t="n">
        <f aca="false">Model!CS371</f>
        <v>-11899575.2113591</v>
      </c>
      <c r="J49" s="83" t="n">
        <f aca="false">Model!DE371</f>
        <v>-11827415.2642669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-54656.8012526219</v>
      </c>
      <c r="D50" s="83" t="n">
        <f aca="false">Model!Z375+Model!AA375+Model!AB375+Model!AC375+Model!AD375+Model!AE375+Model!AF375+Model!AG375+Model!AH375+Model!AI375+Model!AJ375+Model!AK375</f>
        <v>-1592026.4280686</v>
      </c>
      <c r="E50" s="83" t="n">
        <f aca="false">Model!AL375+Model!AM375+Model!AN375+Model!AO375+Model!AP375+Model!AQ375+Model!AR375+Model!AS375+Model!AT375+Model!AU375+Model!AV375+Model!AW375</f>
        <v>-3127515.24801985</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1536778.41866102</v>
      </c>
      <c r="C51" s="84" t="n">
        <f aca="false">Model!Y376</f>
        <v>1945413.80334272</v>
      </c>
      <c r="D51" s="84" t="n">
        <f aca="false">Model!AK376</f>
        <v>7638372.78730815</v>
      </c>
      <c r="E51" s="84" t="n">
        <f aca="false">Model!AW376</f>
        <v>7900712.22051522</v>
      </c>
      <c r="F51" s="84" t="n">
        <f aca="false">Model!BI376</f>
        <v>3439990.42251601</v>
      </c>
      <c r="G51" s="84" t="n">
        <f aca="false">Model!BU376</f>
        <v>-3540622.26567254</v>
      </c>
      <c r="H51" s="84" t="n">
        <f aca="false">Model!CG376</f>
        <v>-10845851.3462849</v>
      </c>
      <c r="I51" s="84" t="n">
        <f aca="false">Model!CS376</f>
        <v>-17086421.421903</v>
      </c>
      <c r="J51" s="84" t="n">
        <f aca="false">Model!DE376</f>
        <v>-21708685.9725024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-960552.721625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2069439.20677196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0.109306138664672</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958398.531771964</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0.0506218508217468</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268243.16</v>
      </c>
      <c r="E25" s="13" t="n">
        <f aca="false">Model!K261+Model!L261+Model!M261</f>
        <v>109593.75</v>
      </c>
      <c r="F25" s="13" t="n">
        <f aca="false">Model!N261+Model!O261+Model!P261</f>
        <v>621655.057142857</v>
      </c>
      <c r="G25" s="13" t="n">
        <f aca="false">Model!Q261+Model!R261+Model!S261</f>
        <v>251315.0712</v>
      </c>
      <c r="H25" s="13" t="n">
        <f aca="false">Model!T261+Model!U261+Model!V261</f>
        <v>162746.1212</v>
      </c>
      <c r="I25" s="13" t="n">
        <f aca="false">Model!W261+Model!X261+Model!Y261</f>
        <v>315577.0956</v>
      </c>
      <c r="J25" s="13" t="n">
        <f aca="false">Model!Z261+Model!AA261+Model!AB261</f>
        <v>420214.506</v>
      </c>
      <c r="K25" s="13" t="n">
        <f aca="false">Model!AC261+Model!AD261+Model!AE261</f>
        <v>560042.952</v>
      </c>
      <c r="L25" s="13" t="n">
        <f aca="false">Model!AF261+Model!AG261+Model!AH261</f>
        <v>584687.603</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-300786.183333333</v>
      </c>
      <c r="E27" s="37" t="n">
        <f aca="false">Model!K293+Model!L293+Model!M293</f>
        <v>-451254.65</v>
      </c>
      <c r="F27" s="37" t="n">
        <f aca="false">Model!N293+Model!O293+Model!P293</f>
        <v>-223416.462857143</v>
      </c>
      <c r="G27" s="37" t="n">
        <f aca="false">Model!Q293+Model!R293+Model!S293</f>
        <v>-313310.2968</v>
      </c>
      <c r="H27" s="37" t="n">
        <f aca="false">Model!T293+Model!U293+Model!V293</f>
        <v>-401879.2468</v>
      </c>
      <c r="I27" s="37" t="n">
        <f aca="false">Model!W293+Model!X293+Model!Y293</f>
        <v>-249048.2724</v>
      </c>
      <c r="J27" s="37" t="n">
        <f aca="false">Model!Z293+Model!AA293+Model!AB293</f>
        <v>-144410.862</v>
      </c>
      <c r="K27" s="37" t="n">
        <f aca="false">Model!AC293+Model!AD293+Model!AE293</f>
        <v>-15574.92336</v>
      </c>
      <c r="L27" s="37" t="n">
        <f aca="false">Model!AF293+Model!AG293+Model!AH293</f>
        <v>9069.72763999997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657612.348438631</v>
      </c>
      <c r="E29" s="37" t="n">
        <f aca="false">Model!K302+Model!L302+Model!M302</f>
        <v>-121947.955729642</v>
      </c>
      <c r="F29" s="37" t="n">
        <f aca="false">Model!N302+Model!O302+Model!P302</f>
        <v>795421.300579388</v>
      </c>
      <c r="G29" s="37" t="n">
        <f aca="false">Model!Q302+Model!R302+Model!S302</f>
        <v>-360514.960036002</v>
      </c>
      <c r="H29" s="37" t="n">
        <f aca="false">Model!T302+Model!U302+Model!V302</f>
        <v>1038769.39599584</v>
      </c>
      <c r="I29" s="37" t="n">
        <f aca="false">Model!W302+Model!X302+Model!Y302</f>
        <v>1691386.74471048</v>
      </c>
      <c r="J29" s="37" t="n">
        <f aca="false">Model!Z302+Model!AA302+Model!AB302</f>
        <v>2108644.05527194</v>
      </c>
      <c r="K29" s="37" t="n">
        <f aca="false">Model!AC302+Model!AD302+Model!AE302</f>
        <v>701578.62937844</v>
      </c>
      <c r="L29" s="37" t="n">
        <f aca="false">Model!AF302+Model!AG302+Model!AH302</f>
        <v>2025381.33307187</v>
      </c>
      <c r="M29" s="37" t="n">
        <f aca="false">Model!AI302+Model!AJ302+Model!AK302</f>
        <v>1382120.13341065</v>
      </c>
      <c r="N29" s="37" t="n">
        <f aca="false">Model!AL302+Model!AM302+Model!AN302</f>
        <v>295702.513401471</v>
      </c>
      <c r="O29" s="37" t="n">
        <f aca="false">Model!AO302+Model!AP302+Model!AQ302</f>
        <v>-139661.205976992</v>
      </c>
      <c r="P29" s="37" t="n">
        <f aca="false">Model!AR302+Model!AS302+Model!AT302</f>
        <v>81105.0486765076</v>
      </c>
      <c r="Q29" s="37" t="n">
        <f aca="false">Model!AU302+Model!AV302+Model!AW302</f>
        <v>-897265.396458247</v>
      </c>
      <c r="R29" s="37" t="n">
        <f aca="false">Model!AX302+Model!AY302+Model!AZ302</f>
        <v>-1134865.80056</v>
      </c>
      <c r="S29" s="37" t="n">
        <f aca="false">Model!BA302+Model!BB302+Model!BC302</f>
        <v>-1237651.53627331</v>
      </c>
      <c r="T29" s="37" t="n">
        <f aca="false">Model!BD302+Model!BE302+Model!BF302</f>
        <v>-1241522.97527331</v>
      </c>
      <c r="U29" s="37" t="n">
        <f aca="false">Model!BG302+Model!BH302+Model!BI302</f>
        <v>-1154117.78558626</v>
      </c>
      <c r="V29" s="37" t="n">
        <f aca="false">Model!BJ302+Model!BK302+Model!BL302</f>
        <v>-1722244.78137895</v>
      </c>
      <c r="W29" s="37" t="n">
        <f aca="false">Model!BM302+Model!BN302+Model!BO302</f>
        <v>-1638172.82793653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420551.593782371</v>
      </c>
      <c r="E48" s="83" t="n">
        <f aca="false">Model!M363</f>
        <v>1475177.95199436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-1147126.29299048</v>
      </c>
      <c r="H49" s="83" t="n">
        <f aca="false">Model!V371</f>
        <v>-1885005.53979048</v>
      </c>
      <c r="I49" s="83" t="n">
        <f aca="false">Model!Y371</f>
        <v>-2470053.81219048</v>
      </c>
      <c r="J49" s="83" t="n">
        <f aca="false">Model!AB371</f>
        <v>-3200464.67419048</v>
      </c>
      <c r="K49" s="83" t="n">
        <f aca="false">Model!AE371</f>
        <v>-3532021.02782907</v>
      </c>
      <c r="L49" s="83" t="n">
        <f aca="false">Model!AH371</f>
        <v>-3522951.30018907</v>
      </c>
      <c r="M49" s="83" t="n">
        <f aca="false">Model!AK371</f>
        <v>-3643960.52204908</v>
      </c>
      <c r="N49" s="83" t="n">
        <f aca="false">Model!AN371</f>
        <v>-3996856.52790908</v>
      </c>
      <c r="O49" s="83" t="n">
        <f aca="false">Model!AQ371</f>
        <v>-4164060.58777627</v>
      </c>
      <c r="P49" s="83" t="n">
        <f aca="false">Model!AT371</f>
        <v>-4469939.24514347</v>
      </c>
      <c r="Q49" s="83" t="n">
        <f aca="false">Model!AW371</f>
        <v>-4898375.08951068</v>
      </c>
      <c r="R49" s="83" t="n">
        <f aca="false">Model!AZ371</f>
        <v>-5294501.68487787</v>
      </c>
      <c r="S49" s="83" t="n">
        <f aca="false">Model!BC371</f>
        <v>-5769179.65340242</v>
      </c>
      <c r="T49" s="83" t="n">
        <f aca="false">Model!BF371</f>
        <v>-6247729.06092696</v>
      </c>
      <c r="U49" s="83" t="n">
        <f aca="false">Model!BI371</f>
        <v>-6730149.91295151</v>
      </c>
      <c r="V49" s="83" t="n">
        <f aca="false">Model!BL371</f>
        <v>-7216442.20397605</v>
      </c>
      <c r="W49" s="83" t="n">
        <f aca="false">Model!BO371</f>
        <v>-7593943.49175109</v>
      </c>
      <c r="X49" s="83" t="n">
        <f aca="false">Model!BR371</f>
        <v>-8150625.31602612</v>
      </c>
      <c r="Y49" s="83" t="n">
        <f aca="false">Model!BU371</f>
        <v>-8692795.49030116</v>
      </c>
      <c r="Z49" s="83" t="n">
        <f aca="false">Model!BX371</f>
        <v>-9234965.66457619</v>
      </c>
      <c r="AA49" s="83" t="n">
        <f aca="false">Model!CA371</f>
        <v>-9789034.48233673</v>
      </c>
      <c r="AB49" s="83" t="n">
        <f aca="false">Model!CD371</f>
        <v>-10334366.3000973</v>
      </c>
      <c r="AC49" s="83" t="n">
        <f aca="false">Model!CG371</f>
        <v>-10879698.1178578</v>
      </c>
      <c r="AD49" s="83" t="n">
        <f aca="false">Model!CJ371</f>
        <v>-11418421.9090119</v>
      </c>
      <c r="AE49" s="83" t="n">
        <f aca="false">Model!CM371</f>
        <v>-11578806.3431276</v>
      </c>
      <c r="AF49" s="83" t="n">
        <f aca="false">Model!CP371</f>
        <v>-11739190.7772434</v>
      </c>
      <c r="AG49" s="83" t="n">
        <f aca="false">Model!CS371</f>
        <v>-11899575.2113591</v>
      </c>
      <c r="AH49" s="83" t="n">
        <f aca="false">Model!CV371</f>
        <v>-12032893.7394309</v>
      </c>
      <c r="AI49" s="83" t="n">
        <f aca="false">Model!CY371</f>
        <v>-11976032.1470005</v>
      </c>
      <c r="AJ49" s="83" t="n">
        <f aca="false">Model!DB371</f>
        <v>-11901723.7056337</v>
      </c>
      <c r="AK49" s="83" t="n">
        <f aca="false">Model!DE371</f>
        <v>-11827415.2642669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-54656.8012526219</v>
      </c>
      <c r="G50" s="83" t="n">
        <f aca="false">Model!Q375+Model!R375+Model!S375</f>
        <v>0</v>
      </c>
      <c r="H50" s="83" t="n">
        <f aca="false">Model!T375+Model!U375+Model!V375</f>
        <v>0</v>
      </c>
      <c r="I50" s="83" t="n">
        <f aca="false">Model!W375+Model!X375+Model!Y375</f>
        <v>0</v>
      </c>
      <c r="J50" s="83" t="n">
        <f aca="false">Model!Z375+Model!AA375+Model!AB375</f>
        <v>-1592026.4280686</v>
      </c>
      <c r="K50" s="83" t="n">
        <f aca="false">Model!AC375+Model!AD375+Model!AE375</f>
        <v>0</v>
      </c>
      <c r="L50" s="83" t="n">
        <f aca="false">Model!AF375+Model!AG375+Model!AH375</f>
        <v>0</v>
      </c>
      <c r="M50" s="83" t="n">
        <f aca="false">Model!AI375+Model!AJ375+Model!AK375</f>
        <v>0</v>
      </c>
      <c r="N50" s="83" t="n">
        <f aca="false">Model!AL375+Model!AM375+Model!AN375</f>
        <v>-3127515.24801985</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933406.710449037</v>
      </c>
      <c r="E51" s="84" t="n">
        <f aca="false">Model!M376</f>
        <v>1536778.41866102</v>
      </c>
      <c r="F51" s="84" t="n">
        <f aca="false">Model!P376</f>
        <v>1187308.55325472</v>
      </c>
      <c r="G51" s="84" t="n">
        <f aca="false">Model!S376</f>
        <v>414446.457035525</v>
      </c>
      <c r="H51" s="84" t="n">
        <f aca="false">Model!V376</f>
        <v>696947.51922418</v>
      </c>
      <c r="I51" s="84" t="n">
        <f aca="false">Model!Y376</f>
        <v>1945413.80334272</v>
      </c>
      <c r="J51" s="84" t="n">
        <f aca="false">Model!AB376</f>
        <v>1872255.88220013</v>
      </c>
      <c r="K51" s="84" t="n">
        <f aca="false">Model!AE376</f>
        <v>4482669.43287729</v>
      </c>
      <c r="L51" s="84" t="n">
        <f aca="false">Model!AH376</f>
        <v>5843764.46098174</v>
      </c>
      <c r="M51" s="84" t="n">
        <f aca="false">Model!AK376</f>
        <v>7638372.78730815</v>
      </c>
      <c r="N51" s="84" t="n">
        <f aca="false">Model!AN376</f>
        <v>5159738.05673008</v>
      </c>
      <c r="O51" s="84" t="n">
        <f aca="false">Model!AQ376</f>
        <v>8120096.27130523</v>
      </c>
      <c r="P51" s="84" t="n">
        <f aca="false">Model!AT376</f>
        <v>8120152.60324636</v>
      </c>
      <c r="Q51" s="84" t="n">
        <f aca="false">Model!AW376</f>
        <v>7900712.22051522</v>
      </c>
      <c r="R51" s="84" t="n">
        <f aca="false">Model!AZ376</f>
        <v>6742197.47382493</v>
      </c>
      <c r="S51" s="84" t="n">
        <f aca="false">Model!BC376</f>
        <v>5480896.99142134</v>
      </c>
      <c r="T51" s="84" t="n">
        <f aca="false">Model!BF376</f>
        <v>4215725.07001775</v>
      </c>
      <c r="U51" s="84" t="n">
        <f aca="false">Model!BI376</f>
        <v>3439990.42251601</v>
      </c>
      <c r="V51" s="84" t="n">
        <f aca="false">Model!BL376</f>
        <v>1717745.64113705</v>
      </c>
      <c r="W51" s="84" t="n">
        <f aca="false">Model!BO376</f>
        <v>79572.8132005213</v>
      </c>
      <c r="X51" s="84" t="n">
        <f aca="false">Model!BR376</f>
        <v>-1737780.55123601</v>
      </c>
      <c r="Y51" s="84" t="n">
        <f aca="false">Model!BU376</f>
        <v>-3540622.26567254</v>
      </c>
      <c r="Z51" s="84" t="n">
        <f aca="false">Model!BX376</f>
        <v>-5343463.98010908</v>
      </c>
      <c r="AA51" s="84" t="n">
        <f aca="false">Model!CA376</f>
        <v>-7183417.76883434</v>
      </c>
      <c r="AB51" s="84" t="n">
        <f aca="false">Model!CD376</f>
        <v>-9014634.55755961</v>
      </c>
      <c r="AC51" s="84" t="n">
        <f aca="false">Model!CG376</f>
        <v>-10845851.3462849</v>
      </c>
      <c r="AD51" s="84" t="n">
        <f aca="false">Model!CJ376</f>
        <v>-12670460.1084037</v>
      </c>
      <c r="AE51" s="84" t="n">
        <f aca="false">Model!CM376</f>
        <v>-14142447.2129034</v>
      </c>
      <c r="AF51" s="84" t="n">
        <f aca="false">Model!CP376</f>
        <v>-15614434.3174032</v>
      </c>
      <c r="AG51" s="84" t="n">
        <f aca="false">Model!CS376</f>
        <v>-17086421.421903</v>
      </c>
      <c r="AH51" s="84" t="n">
        <f aca="false">Model!CV376</f>
        <v>-18376002.1415244</v>
      </c>
      <c r="AI51" s="84" t="n">
        <f aca="false">Model!CY376</f>
        <v>-19498527.9844747</v>
      </c>
      <c r="AJ51" s="84" t="n">
        <f aca="false">Model!DB376</f>
        <v>-20603606.9784885</v>
      </c>
      <c r="AK51" s="84" t="n">
        <f aca="false">Model!DE376</f>
        <v>-21708685.9725024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0</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0</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147347.33</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-37067.94</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582524.39</v>
      </c>
      <c r="D8" s="114" t="n">
        <f aca="false">C8-B8</f>
        <v>-64857.52</v>
      </c>
      <c r="E8" s="114" t="n">
        <f aca="false">AM105</f>
        <v>440167.48</v>
      </c>
      <c r="F8" s="114" t="n">
        <f aca="false">AL105</f>
        <v>729149.39</v>
      </c>
      <c r="G8" s="114" t="n">
        <f aca="false">F8-E8</f>
        <v>288981.91</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-1787582.20333333</v>
      </c>
      <c r="D10" s="117" t="n">
        <f aca="false">C10-B10</f>
        <v>-777127.333333333</v>
      </c>
      <c r="E10" s="117" t="n">
        <f aca="false">AM138</f>
        <v>-666094.7</v>
      </c>
      <c r="F10" s="117" t="n">
        <f aca="false">AL138</f>
        <v>-891992.67</v>
      </c>
      <c r="G10" s="117" t="n">
        <f aca="false">F10-E10</f>
        <v>-225897.97</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-1337375.87180973</v>
      </c>
      <c r="D14" s="114" t="n">
        <f aca="false">C14-B14</f>
        <v>-1337375.87180973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5967974.14604232</v>
      </c>
      <c r="D15" s="117" t="n">
        <f aca="false">C15-B15</f>
        <v>145682.196042323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1896243.83604232</v>
      </c>
      <c r="D17" s="117" t="n">
        <f aca="false">C17-B17</f>
        <v>-62166.6139576768</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108661.63270899</v>
      </c>
      <c r="D18" s="119" t="n">
        <f aca="false">C18-B18</f>
        <v>-839293.94729101</v>
      </c>
      <c r="E18" s="119" t="n">
        <f aca="false">E10+E17</f>
        <v>329887.08</v>
      </c>
      <c r="F18" s="119" t="n">
        <f aca="false">AL141</f>
        <v>1337256.1</v>
      </c>
      <c r="G18" s="119" t="n">
        <f aca="false">F18-E18</f>
        <v>1007369.02</v>
      </c>
      <c r="AP18" s="115" t="s">
        <v>380</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0</v>
      </c>
      <c r="X89" s="114" t="n">
        <f aca="false">Budget!J65</f>
        <v>36538.46</v>
      </c>
      <c r="Y89" s="114" t="n">
        <f aca="false">IF(W89="","",W89-X89)</f>
        <v>-36538.46</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167343.75</v>
      </c>
      <c r="AM89" s="117" t="n">
        <f aca="false">SUM(Budget!$C65:INDEX(Budget!$C65:$N65,$B$27))</f>
        <v>292307.68</v>
      </c>
      <c r="AN89" s="117" t="n">
        <f aca="false">AL89-AM89</f>
        <v>-124963.93</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0</v>
      </c>
      <c r="X93" s="114" t="n">
        <f aca="false">Budget!J69</f>
        <v>10227.27</v>
      </c>
      <c r="Y93" s="114" t="n">
        <f aca="false">IF(W93="","",W93-X93)</f>
        <v>-10227.27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65625</v>
      </c>
      <c r="AM93" s="117" t="n">
        <f aca="false">SUM(Budget!$C69:INDEX(Budget!$C69:$N69,$B$27))</f>
        <v>81818.16</v>
      </c>
      <c r="AN93" s="117" t="n">
        <f aca="false">AL93-AM93</f>
        <v>-16193.16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147347.33</v>
      </c>
      <c r="X105" s="117" t="n">
        <f aca="false">Budget!J81</f>
        <v>59474.06</v>
      </c>
      <c r="Y105" s="117" t="n">
        <f aca="false">IF(W105="","",W105-X105)</f>
        <v>87873.27</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729149.39</v>
      </c>
      <c r="AM105" s="117" t="n">
        <f aca="false">SUM(Budget!$C81:INDEX(Budget!$C81:$N81,$B$27))</f>
        <v>440167.48</v>
      </c>
      <c r="AN105" s="117" t="n">
        <f aca="false">AL105-AM105</f>
        <v>288981.91</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-37067.94</v>
      </c>
      <c r="X138" s="119" t="n">
        <f aca="false">Budget!J114</f>
        <v>-78419.59</v>
      </c>
      <c r="Y138" s="119" t="n">
        <f aca="false">IF(W138="","",W138-X138)</f>
        <v>41351.65</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-891992.67</v>
      </c>
      <c r="AM138" s="119" t="n">
        <f aca="false">SUM(Budget!$C114:INDEX(Budget!$C114:$N114,$B$27))</f>
        <v>-666094.7</v>
      </c>
      <c r="AN138" s="119" t="n">
        <f aca="false">AL138-AM138</f>
        <v>-225897.97</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138504.28</v>
      </c>
      <c r="X141" s="117" t="n">
        <f aca="false">X81+X138</f>
        <v>164629.55</v>
      </c>
      <c r="Y141" s="117" t="n">
        <f aca="false">IF(W141="","",W141-X141)</f>
        <v>-26125.2700000003</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1337256.1</v>
      </c>
      <c r="AM141" s="117" t="n">
        <f aca="false">AM81+AM138</f>
        <v>329887.08</v>
      </c>
      <c r="AN141" s="117" t="n">
        <f aca="false">AL141-AM141</f>
        <v>1007369.02</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379730.580000001</v>
      </c>
      <c r="U143" s="119" t="n">
        <f aca="false">U141</f>
        <v>153517.41</v>
      </c>
      <c r="V143" s="119" t="n">
        <f aca="false">IF(T143="","",T143-U143)</f>
        <v>226213.170000001</v>
      </c>
      <c r="W143" s="119" t="n">
        <f aca="false">IF(W141="","",W141+W142)</f>
        <v>124975.558375</v>
      </c>
      <c r="X143" s="119" t="n">
        <f aca="false">X141</f>
        <v>164629.55</v>
      </c>
      <c r="Y143" s="119" t="n">
        <f aca="false">IF(W143="","",W143-X143)</f>
        <v>-39653.9916250002</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77703.3783750013</v>
      </c>
      <c r="AM143" s="119" t="n">
        <f aca="false">AM141</f>
        <v>329887.08</v>
      </c>
      <c r="AN143" s="119" t="n">
        <f aca="false">AL143-AM143</f>
        <v>-252183.701624999</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582524.39</v>
      </c>
      <c r="D8" s="114" t="n">
        <f aca="false">C8-B8</f>
        <v>109732.75</v>
      </c>
      <c r="E8" s="114" t="n">
        <f aca="false">AM105</f>
        <v>320416.64</v>
      </c>
      <c r="F8" s="114" t="n">
        <f aca="false">AL105</f>
        <v>729149.39</v>
      </c>
      <c r="G8" s="114" t="n">
        <f aca="false">F8-E8</f>
        <v>408732.75</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-1787582.20333333</v>
      </c>
      <c r="D10" s="117" t="n">
        <f aca="false">C10-B10</f>
        <v>-929102.838333334</v>
      </c>
      <c r="E10" s="117" t="n">
        <f aca="false">AM138</f>
        <v>-698493.998333333</v>
      </c>
      <c r="F10" s="117" t="n">
        <f aca="false">AL138</f>
        <v>-891992.67</v>
      </c>
      <c r="G10" s="117" t="n">
        <f aca="false">F10-E10</f>
        <v>-193498.671666667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-1337375.87180973</v>
      </c>
      <c r="D14" s="114" t="n">
        <f aca="false">C14-B14</f>
        <v>-2047548.43260973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5967974.14604232</v>
      </c>
      <c r="D15" s="117" t="n">
        <f aca="false">C15-B15</f>
        <v>-1279899.23493979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1896243.83604232</v>
      </c>
      <c r="D17" s="117" t="n">
        <f aca="false">C17-B17</f>
        <v>-117891.646950123</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108661.63270899</v>
      </c>
      <c r="D18" s="119" t="n">
        <f aca="false">C18-B18</f>
        <v>-1046994.48528346</v>
      </c>
      <c r="E18" s="119" t="n">
        <f aca="false">E10+E17</f>
        <v>-96451.1971280497</v>
      </c>
      <c r="F18" s="119" t="n">
        <f aca="false">AL141</f>
        <v>1337256.1</v>
      </c>
      <c r="G18" s="119" t="n">
        <f aca="false">F18-E18</f>
        <v>1433707.29712805</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0</v>
      </c>
      <c r="X89" s="114" t="n">
        <f aca="false">'Reforecast Q1 2026'!J65</f>
        <v>23906.25</v>
      </c>
      <c r="Y89" s="114" t="n">
        <f aca="false">IF(W89="","",W89-X89)</f>
        <v>-23906.25</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167343.75</v>
      </c>
      <c r="AM89" s="117" t="n">
        <f aca="false">SUM('Reforecast Q1 2026'!$C65:INDEX('Reforecast Q1 2026'!$C65:$N65,$B$27))</f>
        <v>191250</v>
      </c>
      <c r="AN89" s="117" t="n">
        <f aca="false">AL89-AM89</f>
        <v>-23906.25</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0</v>
      </c>
      <c r="X93" s="114" t="n">
        <f aca="false">'Reforecast Q1 2026'!J69</f>
        <v>9375</v>
      </c>
      <c r="Y93" s="114" t="n">
        <f aca="false">IF(W93="","",W93-X93)</f>
        <v>-9375</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65625</v>
      </c>
      <c r="AM93" s="117" t="n">
        <f aca="false">SUM('Reforecast Q1 2026'!$C69:INDEX('Reforecast Q1 2026'!$C69:$N69,$B$27))</f>
        <v>75000</v>
      </c>
      <c r="AN93" s="117" t="n">
        <f aca="false">AL93-AM93</f>
        <v>-9375</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147347.33</v>
      </c>
      <c r="X105" s="117" t="n">
        <f aca="false">'Reforecast Q1 2026'!J81</f>
        <v>43614.58</v>
      </c>
      <c r="Y105" s="117" t="n">
        <f aca="false">IF(W105="","",W105-X105)</f>
        <v>103732.75</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729149.39</v>
      </c>
      <c r="AM105" s="117" t="n">
        <f aca="false">SUM('Reforecast Q1 2026'!$C81:INDEX('Reforecast Q1 2026'!$C81:$N81,$B$27))</f>
        <v>320416.64</v>
      </c>
      <c r="AN105" s="117" t="n">
        <f aca="false">AL105-AM105</f>
        <v>408732.75</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-37067.94</v>
      </c>
      <c r="X138" s="119" t="n">
        <f aca="false">'Reforecast Q1 2026'!J114</f>
        <v>-34475.5116666666</v>
      </c>
      <c r="Y138" s="119" t="n">
        <f aca="false">IF(W138="","",W138-X138)</f>
        <v>-2592.4283333334</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-891992.67</v>
      </c>
      <c r="AM138" s="119" t="n">
        <f aca="false">SUM('Reforecast Q1 2026'!$C114:INDEX('Reforecast Q1 2026'!$C114:$N114,$B$27))</f>
        <v>-698493.998333333</v>
      </c>
      <c r="AN138" s="119" t="n">
        <f aca="false">AL138-AM138</f>
        <v>-193498.671666667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138504.28</v>
      </c>
      <c r="X141" s="117" t="n">
        <f aca="false">X81+X138</f>
        <v>137353.036321246</v>
      </c>
      <c r="Y141" s="117" t="n">
        <f aca="false">IF(W141="","",W141-X141)</f>
        <v>1151.24367875326</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1337256.1</v>
      </c>
      <c r="AM141" s="117" t="n">
        <f aca="false">AM81+AM138</f>
        <v>-96451.1971280497</v>
      </c>
      <c r="AN141" s="117" t="n">
        <f aca="false">AL141-AM141</f>
        <v>1433707.29712805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379730.580000001</v>
      </c>
      <c r="U143" s="119" t="n">
        <f aca="false">U141</f>
        <v>444413.241121246</v>
      </c>
      <c r="V143" s="119" t="n">
        <f aca="false">IF(T143="","",T143-U143)</f>
        <v>-64682.6611212457</v>
      </c>
      <c r="W143" s="119" t="n">
        <f aca="false">IF(W141="","",W141+W142)</f>
        <v>124975.558375</v>
      </c>
      <c r="X143" s="119" t="n">
        <f aca="false">X141</f>
        <v>137353.036321246</v>
      </c>
      <c r="Y143" s="119" t="n">
        <f aca="false">IF(W143="","",W143-X143)</f>
        <v>-12377.4779462466</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77703.3783750013</v>
      </c>
      <c r="AM143" s="119" t="n">
        <f aca="false">AM141</f>
        <v>-96451.1971280497</v>
      </c>
      <c r="AN143" s="119" t="n">
        <f aca="false">AL143-AM143</f>
        <v>174154.575503051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0</v>
      </c>
      <c r="AF50" s="134" t="n">
        <f aca="false">IF(OR(8&gt;$B$3,ISBLANK(Actuals!J65)),"",Budget!J65-Actuals!J65)</f>
        <v>36538.46</v>
      </c>
      <c r="AG50" s="134" t="n">
        <f aca="false">IFERROR(IF(OR(8&gt;$B$3,ISBLANK(Actuals!J65)),"",(Budget!J65-Actuals!J65)/ABS(Budget!J65)),"")</f>
        <v>1</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167343.75</v>
      </c>
      <c r="AZ50" s="136" t="n">
        <f aca="false">AX50-AY50</f>
        <v>124963.93</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0</v>
      </c>
      <c r="AF54" s="134" t="n">
        <f aca="false">IF(OR(8&gt;$B$3,ISBLANK(Actuals!J69)),"",Budget!J69-Actuals!J69)</f>
        <v>10227.27</v>
      </c>
      <c r="AG54" s="134" t="n">
        <f aca="false">IFERROR(IF(OR(8&gt;$B$3,ISBLANK(Actuals!J69)),"",(Budget!J69-Actuals!J69)/ABS(Budget!J69)),"")</f>
        <v>1</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65625</v>
      </c>
      <c r="AZ54" s="136" t="n">
        <f aca="false">AX54-AY54</f>
        <v>16193.16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473010.39</v>
      </c>
      <c r="AZ66" s="136" t="n">
        <f aca="false">AX66-AY66</f>
        <v>-174036.07</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139439.16</v>
      </c>
      <c r="AF97" s="138" t="n">
        <f aca="false">SUM(AF6:AF13)+SUM(AF15:AF95)</f>
        <v>25190.39</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1459494.57</v>
      </c>
      <c r="AZ97" s="138" t="n">
        <f aca="false">SUM(AZ6:AZ13)+SUM(AZ15:AZ95)</f>
        <v>-690208.18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0</v>
      </c>
      <c r="AF50" s="134" t="n">
        <f aca="false">IF(OR(8&gt;$B$3,ISBLANK(Actuals!J65)),"",'Reforecast Q1 2026'!J65-Actuals!J65)</f>
        <v>23906.25</v>
      </c>
      <c r="AG50" s="134" t="n">
        <f aca="false">IFERROR(IF(OR(8&gt;$B$3,ISBLANK(Actuals!J65)),"",('Reforecast Q1 2026'!J65-Actuals!J65)/ABS('Reforecast Q1 2026'!J65)),"")</f>
        <v>1</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167343.75</v>
      </c>
      <c r="AZ50" s="136" t="n">
        <f aca="false">AX50-AY50</f>
        <v>23906.25</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0</v>
      </c>
      <c r="AF54" s="134" t="n">
        <f aca="false">IF(OR(8&gt;$B$3,ISBLANK(Actuals!J69)),"",'Reforecast Q1 2026'!J69-Actuals!J69)</f>
        <v>9375</v>
      </c>
      <c r="AG54" s="134" t="n">
        <f aca="false">IFERROR(IF(OR(8&gt;$B$3,ISBLANK(Actuals!J69)),"",('Reforecast Q1 2026'!J69-Actuals!J69)/ABS('Reforecast Q1 2026'!J69)),"")</f>
        <v>1</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65625</v>
      </c>
      <c r="AZ54" s="136" t="n">
        <f aca="false">AX54-AY54</f>
        <v>9375</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473010.39</v>
      </c>
      <c r="AZ66" s="136" t="n">
        <f aca="false">AX66-AY66</f>
        <v>-275093.75</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139439.16</v>
      </c>
      <c r="AF97" s="138" t="n">
        <f aca="false">SUM(AF6:AF13)+SUM(AF15:AF95)</f>
        <v>-2086.11991846023</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1459494.57</v>
      </c>
      <c r="AZ97" s="138" t="n">
        <f aca="false">SUM(AZ6:AZ13)+SUM(AZ15:AZ95)</f>
        <v>-1386529.13805676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4.14"/>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Projects!$B$2/Projects!$D$2</f>
        <v>890759.375</v>
      </c>
      <c r="G7" s="194" t="n">
        <f aca="false">IF(AND(Projects!$C$2&lt;=G$4,G$4&lt;=Projects!$C$2+Projects!$D$2-1),Projects!$B$2/Projects!$D$2,"")</f>
        <v>890759.375</v>
      </c>
      <c r="H7" s="194" t="n">
        <f aca="false">IF(AND(Projects!$C$2&lt;=H$4,H$4&lt;=Projects!$C$2+Projects!$D$2-1),Projects!$B$2/Projects!$D$2,"")</f>
        <v>890759.375</v>
      </c>
      <c r="I7" s="194" t="n">
        <f aca="false">IF(AND(Projects!$C$2&lt;=I$4,I$4&lt;=Projects!$C$2+Projects!$D$2-1),Projects!$B$2/Projects!$D$2,"")</f>
        <v>890759.375</v>
      </c>
      <c r="J7" s="194" t="n">
        <f aca="false">IF(AND(Projects!$C$2&lt;=J$4,J$4&lt;=Projects!$C$2+Projects!$D$2-1),Projects!$B$2/Projects!$D$2,"")</f>
        <v>890759.375</v>
      </c>
      <c r="K7" s="194" t="n">
        <f aca="false">IF(AND(Projects!$C$2&lt;=K$4,K$4&lt;=Projects!$C$2+Projects!$D$2-1),Projects!$B$2/Projects!$D$2,"")</f>
        <v>890759.375</v>
      </c>
      <c r="L7" s="194" t="n">
        <f aca="false">IF(AND(Projects!$C$2&lt;=L$4,L$4&lt;=Projects!$C$2+Projects!$D$2-1),Projects!$B$2/Projects!$D$2,"")</f>
        <v>890759.375</v>
      </c>
      <c r="M7" s="194" t="n">
        <f aca="false">IF(AND(Projects!$C$2&lt;=M$4,M$4&lt;=Projects!$C$2+Projects!$D$2-1),Projects!$B$2/Projects!$D$2,"")</f>
        <v>890759.375</v>
      </c>
      <c r="N7" s="194" t="n">
        <f aca="false">IF(AND(Projects!$C$2&lt;=N$4,N$4&lt;=Projects!$C$2+Projects!$D$2-1),Projects!$B$2/Projects!$D$2,"")</f>
        <v>890759.375</v>
      </c>
      <c r="O7" s="194" t="str">
        <f aca="false">IF(AND(Projects!$C$2&lt;=O$4,O$4&lt;=Projects!$C$2+Projects!$D$2-1),Projects!$B$2/Projects!$D$2,"")</f>
        <v/>
      </c>
      <c r="P7" s="194" t="str">
        <f aca="false">IF(AND(Projects!$C$2&lt;=P$4,P$4&lt;=Projects!$C$2+Projects!$D$2-1),Projects!$B$2/Projects!$D$2,"")</f>
        <v/>
      </c>
      <c r="Q7" s="194" t="str">
        <f aca="false">IF(AND(Projects!$C$2&lt;=Q$4,Q$4&lt;=Projects!$C$2+Projects!$D$2-1),Projects!$B$2/Projects!$D$2,"")</f>
        <v/>
      </c>
      <c r="R7" s="194" t="str">
        <f aca="false">IF(AND(Projects!$C$2&lt;=R$4,R$4&lt;=Projects!$C$2+Projects!$D$2-1),Projects!$B$2/Projects!$D$2,"")</f>
        <v/>
      </c>
      <c r="S7" s="194" t="str">
        <f aca="false">IF(AND(Projects!$C$2&lt;=S$4,S$4&lt;=Projects!$C$2+Projects!$D$2-1),Projects!$B$2/Projects!$D$2,"")</f>
        <v/>
      </c>
      <c r="T7" s="194" t="str">
        <f aca="false">IF(AND(Projects!$C$2&lt;=T$4,T$4&lt;=Projects!$C$2+Projects!$D$2-1),Projects!$B$2/Projects!$D$2,"")</f>
        <v/>
      </c>
      <c r="U7" s="194" t="str">
        <f aca="false">IF(AND(Projects!$C$2&lt;=U$4,U$4&lt;=Projects!$C$2+Projects!$D$2-1),Projects!$B$2/Projects!$D$2,"")</f>
        <v/>
      </c>
      <c r="V7" s="194" t="str">
        <f aca="false">IF(AND(Projects!$C$2&lt;=V$4,V$4&lt;=Projects!$C$2+Projects!$D$2-1),Projects!$B$2/Projects!$D$2,"")</f>
        <v/>
      </c>
      <c r="W7" s="194" t="str">
        <f aca="false">IF(AND(Projects!$C$2&lt;=W$4,W$4&lt;=Projects!$C$2+Projects!$D$2-1),Projects!$B$2/Projects!$D$2,"")</f>
        <v/>
      </c>
      <c r="X7" s="194" t="str">
        <f aca="false">IF(AND(Projects!$C$2&lt;=X$4,X$4&lt;=Projects!$C$2+Projects!$D$2-1),Projects!$B$2/Projects!$D$2,"")</f>
        <v/>
      </c>
      <c r="Y7" s="194" t="str">
        <f aca="false">IF(AND(Projects!$C$2&lt;=Y$4,Y$4&lt;=Projects!$C$2+Projects!$D$2-1),Projects!$B$2/Projects!$D$2,"")</f>
        <v/>
      </c>
      <c r="Z7" s="194" t="str">
        <f aca="false">IF(AND(Projects!$C$2&lt;=Z$4,Z$4&lt;=Projects!$C$2+Projects!$D$2-1),Projects!$B$2/Projects!$D$2,"")</f>
        <v/>
      </c>
      <c r="AA7" s="194" t="str">
        <f aca="false">IF(AND(Projects!$C$2&lt;=AA$4,AA$4&lt;=Projects!$C$2+Projects!$D$2-1),Projects!$B$2/Projects!$D$2,"")</f>
        <v/>
      </c>
      <c r="AB7" s="194" t="str">
        <f aca="false">IF(AND(Projects!$C$2&lt;=AB$4,AB$4&lt;=Projects!$C$2+Projects!$D$2-1),Projects!$B$2/Projects!$D$2,"")</f>
        <v/>
      </c>
      <c r="AC7" s="194" t="str">
        <f aca="false">IF(AND(Projects!$C$2&lt;=AC$4,AC$4&lt;=Projects!$C$2+Projects!$D$2-1),Projects!$B$2/Projects!$D$2,"")</f>
        <v/>
      </c>
      <c r="AD7" s="194" t="str">
        <f aca="false">IF(AND(Projects!$C$2&lt;=AD$4,AD$4&lt;=Projects!$C$2+Projects!$D$2-1),Projects!$B$2/Projects!$D$2,"")</f>
        <v/>
      </c>
      <c r="AE7" s="194" t="str">
        <f aca="false">IF(AND(Projects!$C$2&lt;=AE$4,AE$4&lt;=Projects!$C$2+Projects!$D$2-1),Projects!$B$2/Projects!$D$2,"")</f>
        <v/>
      </c>
      <c r="AF7" s="194" t="str">
        <f aca="false">IF(AND(Projects!$C$2&lt;=AF$4,AF$4&lt;=Projects!$C$2+Projects!$D$2-1),Projects!$B$2/Projects!$D$2,"")</f>
        <v/>
      </c>
      <c r="AG7" s="194" t="str">
        <f aca="false">IF(AND(Projects!$C$2&lt;=AG$4,AG$4&lt;=Projects!$C$2+Projects!$D$2-1),Projects!$B$2/Projects!$D$2,"")</f>
        <v/>
      </c>
      <c r="AH7" s="194" t="str">
        <f aca="false">IF(AND(Projects!$C$2&lt;=AH$4,AH$4&lt;=Projects!$C$2+Projects!$D$2-1),Projects!$B$2/Projects!$D$2,"")</f>
        <v/>
      </c>
      <c r="AI7" s="194" t="str">
        <f aca="false">IF(AND(Projects!$C$2&lt;=AI$4,AI$4&lt;=Projects!$C$2+Projects!$D$2-1),Projects!$B$2/Projects!$D$2,"")</f>
        <v/>
      </c>
      <c r="AJ7" s="194" t="str">
        <f aca="false">IF(AND(Projects!$C$2&lt;=AJ$4,AJ$4&lt;=Projects!$C$2+Projects!$D$2-1),Projects!$B$2/Projects!$D$2,"")</f>
        <v/>
      </c>
      <c r="AK7" s="194" t="str">
        <f aca="false">IF(AND(Projects!$C$2&lt;=AK$4,AK$4&lt;=Projects!$C$2+Projects!$D$2-1),Projects!$B$2/Projects!$D$2,"")</f>
        <v/>
      </c>
      <c r="AL7" s="194" t="str">
        <f aca="false">IF(AND(Projects!$C$2&lt;=AL$4,AL$4&lt;=Projects!$C$2+Projects!$D$2-1),Projects!$B$2/Projects!$D$2,"")</f>
        <v/>
      </c>
      <c r="AM7" s="194" t="str">
        <f aca="false">IF(AND(Projects!$C$2&lt;=AM$4,AM$4&lt;=Projects!$C$2+Projects!$D$2-1),Projects!$B$2/Projects!$D$2,"")</f>
        <v/>
      </c>
      <c r="AN7" s="194" t="str">
        <f aca="false">IF(AND(Projects!$C$2&lt;=AN$4,AN$4&lt;=Projects!$C$2+Projects!$D$2-1),Projects!$B$2/Projects!$D$2,"")</f>
        <v/>
      </c>
      <c r="AO7" s="194" t="str">
        <f aca="false">IF(AND(Projects!$C$2&lt;=AO$4,AO$4&lt;=Projects!$C$2+Projects!$D$2-1),Projects!$B$2/Projects!$D$2,"")</f>
        <v/>
      </c>
      <c r="AP7" s="194" t="str">
        <f aca="false">IF(AND(Projects!$C$2&lt;=AP$4,AP$4&lt;=Projects!$C$2+Projects!$D$2-1),Projects!$B$2/Projects!$D$2,"")</f>
        <v/>
      </c>
      <c r="AQ7" s="194" t="str">
        <f aca="false">IF(AND(Projects!$C$2&lt;=AQ$4,AQ$4&lt;=Projects!$C$2+Projects!$D$2-1),Projects!$B$2/Projects!$D$2,"")</f>
        <v/>
      </c>
      <c r="AR7" s="194" t="str">
        <f aca="false">IF(AND(Projects!$C$2&lt;=AR$4,AR$4&lt;=Projects!$C$2+Projects!$D$2-1),Projects!$B$2/Projects!$D$2,"")</f>
        <v/>
      </c>
      <c r="AS7" s="194" t="str">
        <f aca="false">IF(AND(Projects!$C$2&lt;=AS$4,AS$4&lt;=Projects!$C$2+Projects!$D$2-1),Projects!$B$2/Projects!$D$2,"")</f>
        <v/>
      </c>
      <c r="AT7" s="194" t="str">
        <f aca="false">IF(AND(Projects!$C$2&lt;=AT$4,AT$4&lt;=Projects!$C$2+Projects!$D$2-1),Projects!$B$2/Projects!$D$2,"")</f>
        <v/>
      </c>
      <c r="AU7" s="194" t="str">
        <f aca="false">IF(AND(Projects!$C$2&lt;=AU$4,AU$4&lt;=Projects!$C$2+Projects!$D$2-1),Projects!$B$2/Projects!$D$2,"")</f>
        <v/>
      </c>
      <c r="AV7" s="194" t="str">
        <f aca="false">IF(AND(Projects!$C$2&lt;=AV$4,AV$4&lt;=Projects!$C$2+Projects!$D$2-1),Projects!$B$2/Projects!$D$2,"")</f>
        <v/>
      </c>
      <c r="AW7" s="194" t="str">
        <f aca="false">IF(AND(Projects!$C$2&lt;=AW$4,AW$4&lt;=Projects!$C$2+Projects!$D$2-1),Projects!$B$2/Projects!$D$2,"")</f>
        <v/>
      </c>
      <c r="AX7" s="194" t="str">
        <f aca="false">IF(AND(Projects!$C$2&lt;=AX$4,AX$4&lt;=Projects!$C$2+Projects!$D$2-1),Projects!$B$2/Projects!$D$2,"")</f>
        <v/>
      </c>
      <c r="AY7" s="194" t="str">
        <f aca="false">IF(AND(Projects!$C$2&lt;=AY$4,AY$4&lt;=Projects!$C$2+Projects!$D$2-1),Projects!$B$2/Projects!$D$2,"")</f>
        <v/>
      </c>
      <c r="AZ7" s="194" t="str">
        <f aca="false">IF(AND(Projects!$C$2&lt;=AZ$4,AZ$4&lt;=Projects!$C$2+Projects!$D$2-1),Projects!$B$2/Projects!$D$2,"")</f>
        <v/>
      </c>
      <c r="BA7" s="194" t="str">
        <f aca="false">IF(AND(Projects!$C$2&lt;=BA$4,BA$4&lt;=Projects!$C$2+Projects!$D$2-1),Projects!$B$2/Projects!$D$2,"")</f>
        <v/>
      </c>
      <c r="BB7" s="194" t="str">
        <f aca="false">IF(AND(Projects!$C$2&lt;=BB$4,BB$4&lt;=Projects!$C$2+Projects!$D$2-1),Projects!$B$2/Projects!$D$2,"")</f>
        <v/>
      </c>
      <c r="BC7" s="194" t="str">
        <f aca="false">IF(AND(Projects!$C$2&lt;=BC$4,BC$4&lt;=Projects!$C$2+Projects!$D$2-1),Projects!$B$2/Projects!$D$2,"")</f>
        <v/>
      </c>
      <c r="BD7" s="194" t="str">
        <f aca="false">IF(AND(Projects!$C$2&lt;=BD$4,BD$4&lt;=Projects!$C$2+Projects!$D$2-1),Projects!$B$2/Projects!$D$2,"")</f>
        <v/>
      </c>
      <c r="BE7" s="194" t="str">
        <f aca="false">IF(AND(Projects!$C$2&lt;=BE$4,BE$4&lt;=Projects!$C$2+Projects!$D$2-1),Projects!$B$2/Projects!$D$2,"")</f>
        <v/>
      </c>
      <c r="BF7" s="194" t="str">
        <f aca="false">IF(AND(Projects!$C$2&lt;=BF$4,BF$4&lt;=Projects!$C$2+Projects!$D$2-1),Projects!$B$2/Projects!$D$2,"")</f>
        <v/>
      </c>
      <c r="BG7" s="194" t="str">
        <f aca="false">IF(AND(Projects!$C$2&lt;=BG$4,BG$4&lt;=Projects!$C$2+Projects!$D$2-1),Projects!$B$2/Projects!$D$2,"")</f>
        <v/>
      </c>
      <c r="BH7" s="194" t="str">
        <f aca="false">IF(AND(Projects!$C$2&lt;=BH$4,BH$4&lt;=Projects!$C$2+Projects!$D$2-1),Projects!$B$2/Projects!$D$2,"")</f>
        <v/>
      </c>
      <c r="BI7" s="194" t="str">
        <f aca="false">IF(AND(Projects!$C$2&lt;=BI$4,BI$4&lt;=Projects!$C$2+Projects!$D$2-1),Projects!$B$2/Projects!$D$2,"")</f>
        <v/>
      </c>
      <c r="BJ7" s="194" t="str">
        <f aca="false">IF(AND(Projects!$C$2&lt;=BJ$4,BJ$4&lt;=Projects!$C$2+Projects!$D$2-1),Projects!$B$2/Projects!$D$2,"")</f>
        <v/>
      </c>
      <c r="BK7" s="194" t="str">
        <f aca="false">IF(AND(Projects!$C$2&lt;=BK$4,BK$4&lt;=Projects!$C$2+Projects!$D$2-1),Projects!$B$2/Projects!$D$2,"")</f>
        <v/>
      </c>
      <c r="BL7" s="194" t="str">
        <f aca="false">IF(AND(Projects!$C$2&lt;=BL$4,BL$4&lt;=Projects!$C$2+Projects!$D$2-1),Projects!$B$2/Projects!$D$2,"")</f>
        <v/>
      </c>
      <c r="BM7" s="194" t="str">
        <f aca="false">IF(AND(Projects!$C$2&lt;=BM$4,BM$4&lt;=Projects!$C$2+Projects!$D$2-1),Projects!$B$2/Projects!$D$2,"")</f>
        <v/>
      </c>
      <c r="BN7" s="194" t="str">
        <f aca="false">IF(AND(Projects!$C$2&lt;=BN$4,BN$4&lt;=Projects!$C$2+Projects!$D$2-1),Projects!$B$2/Projects!$D$2,"")</f>
        <v/>
      </c>
      <c r="BO7" s="194" t="str">
        <f aca="false">IF(AND(Projects!$C$2&lt;=BO$4,BO$4&lt;=Projects!$C$2+Projects!$D$2-1),Projects!$B$2/Projects!$D$2,"")</f>
        <v/>
      </c>
      <c r="BP7" s="194" t="str">
        <f aca="false">IF(AND(Projects!$C$2&lt;=BP$4,BP$4&lt;=Projects!$C$2+Projects!$D$2-1),Projects!$B$2/Projects!$D$2,"")</f>
        <v/>
      </c>
      <c r="BQ7" s="194" t="str">
        <f aca="false">IF(AND(Projects!$C$2&lt;=BQ$4,BQ$4&lt;=Projects!$C$2+Projects!$D$2-1),Projects!$B$2/Projects!$D$2,"")</f>
        <v/>
      </c>
      <c r="BR7" s="194" t="str">
        <f aca="false">IF(AND(Projects!$C$2&lt;=BR$4,BR$4&lt;=Projects!$C$2+Projects!$D$2-1),Projects!$B$2/Projects!$D$2,"")</f>
        <v/>
      </c>
      <c r="BS7" s="194" t="str">
        <f aca="false">IF(AND(Projects!$C$2&lt;=BS$4,BS$4&lt;=Projects!$C$2+Projects!$D$2-1),Projects!$B$2/Projects!$D$2,"")</f>
        <v/>
      </c>
      <c r="BT7" s="194" t="str">
        <f aca="false">IF(AND(Projects!$C$2&lt;=BT$4,BT$4&lt;=Projects!$C$2+Projects!$D$2-1),Projects!$B$2/Projects!$D$2,"")</f>
        <v/>
      </c>
      <c r="BU7" s="194" t="str">
        <f aca="false">IF(AND(Projects!$C$2&lt;=BU$4,BU$4&lt;=Projects!$C$2+Projects!$D$2-1),Projects!$B$2/Projects!$D$2,"")</f>
        <v/>
      </c>
      <c r="BV7" s="194" t="str">
        <f aca="false">IF(AND(Projects!$C$2&lt;=BV$4,BV$4&lt;=Projects!$C$2+Projects!$D$2-1),Projects!$B$2/Projects!$D$2,"")</f>
        <v/>
      </c>
      <c r="BW7" s="194" t="str">
        <f aca="false">IF(AND(Projects!$C$2&lt;=BW$4,BW$4&lt;=Projects!$C$2+Projects!$D$2-1),Projects!$B$2/Projects!$D$2,"")</f>
        <v/>
      </c>
      <c r="BX7" s="194" t="str">
        <f aca="false">IF(AND(Projects!$C$2&lt;=BX$4,BX$4&lt;=Projects!$C$2+Projects!$D$2-1),Projects!$B$2/Projects!$D$2,"")</f>
        <v/>
      </c>
      <c r="BY7" s="194" t="str">
        <f aca="false">IF(AND(Projects!$C$2&lt;=BY$4,BY$4&lt;=Projects!$C$2+Projects!$D$2-1),Projects!$B$2/Projects!$D$2,"")</f>
        <v/>
      </c>
      <c r="BZ7" s="194" t="str">
        <f aca="false">IF(AND(Projects!$C$2&lt;=BZ$4,BZ$4&lt;=Projects!$C$2+Projects!$D$2-1),Projects!$B$2/Projects!$D$2,"")</f>
        <v/>
      </c>
      <c r="CA7" s="194" t="str">
        <f aca="false">IF(AND(Projects!$C$2&lt;=CA$4,CA$4&lt;=Projects!$C$2+Projects!$D$2-1),Projects!$B$2/Projects!$D$2,"")</f>
        <v/>
      </c>
      <c r="CB7" s="194" t="str">
        <f aca="false">IF(AND(Projects!$C$2&lt;=CB$4,CB$4&lt;=Projects!$C$2+Projects!$D$2-1),Projects!$B$2/Projects!$D$2,"")</f>
        <v/>
      </c>
      <c r="CC7" s="194" t="str">
        <f aca="false">IF(AND(Projects!$C$2&lt;=CC$4,CC$4&lt;=Projects!$C$2+Projects!$D$2-1),Projects!$B$2/Projects!$D$2,"")</f>
        <v/>
      </c>
      <c r="CD7" s="194" t="str">
        <f aca="false">IF(AND(Projects!$C$2&lt;=CD$4,CD$4&lt;=Projects!$C$2+Projects!$D$2-1),Projects!$B$2/Projects!$D$2,"")</f>
        <v/>
      </c>
      <c r="CE7" s="194" t="str">
        <f aca="false">IF(AND(Projects!$C$2&lt;=CE$4,CE$4&lt;=Projects!$C$2+Projects!$D$2-1),Projects!$B$2/Projects!$D$2,"")</f>
        <v/>
      </c>
      <c r="CF7" s="194" t="str">
        <f aca="false">IF(AND(Projects!$C$2&lt;=CF$4,CF$4&lt;=Projects!$C$2+Projects!$D$2-1),Projects!$B$2/Projects!$D$2,"")</f>
        <v/>
      </c>
      <c r="CG7" s="194" t="str">
        <f aca="false">IF(AND(Projects!$C$2&lt;=CG$4,CG$4&lt;=Projects!$C$2+Projects!$D$2-1),Projects!$B$2/Projects!$D$2,"")</f>
        <v/>
      </c>
      <c r="CH7" s="194" t="str">
        <f aca="false">IF(AND(Projects!$C$2&lt;=CH$4,CH$4&lt;=Projects!$C$2+Projects!$D$2-1),Projects!$B$2/Projects!$D$2,"")</f>
        <v/>
      </c>
      <c r="CI7" s="194" t="str">
        <f aca="false">IF(AND(Projects!$C$2&lt;=CI$4,CI$4&lt;=Projects!$C$2+Projects!$D$2-1),Projects!$B$2/Projects!$D$2,"")</f>
        <v/>
      </c>
      <c r="CJ7" s="194" t="str">
        <f aca="false">IF(AND(Projects!$C$2&lt;=CJ$4,CJ$4&lt;=Projects!$C$2+Projects!$D$2-1),Projects!$B$2/Projects!$D$2,"")</f>
        <v/>
      </c>
      <c r="CK7" s="194" t="str">
        <f aca="false">IF(AND(Projects!$C$2&lt;=CK$4,CK$4&lt;=Projects!$C$2+Projects!$D$2-1),Projects!$B$2/Projects!$D$2,"")</f>
        <v/>
      </c>
      <c r="CL7" s="194" t="str">
        <f aca="false">IF(AND(Projects!$C$2&lt;=CL$4,CL$4&lt;=Projects!$C$2+Projects!$D$2-1),Projects!$B$2/Projects!$D$2,"")</f>
        <v/>
      </c>
      <c r="CM7" s="194" t="str">
        <f aca="false">IF(AND(Projects!$C$2&lt;=CM$4,CM$4&lt;=Projects!$C$2+Projects!$D$2-1),Projects!$B$2/Projects!$D$2,"")</f>
        <v/>
      </c>
      <c r="CN7" s="194" t="str">
        <f aca="false">IF(AND(Projects!$C$2&lt;=CN$4,CN$4&lt;=Projects!$C$2+Projects!$D$2-1),Projects!$B$2/Projects!$D$2,"")</f>
        <v/>
      </c>
      <c r="CO7" s="194" t="str">
        <f aca="false">IF(AND(Projects!$C$2&lt;=CO$4,CO$4&lt;=Projects!$C$2+Projects!$D$2-1),Projects!$B$2/Projects!$D$2,"")</f>
        <v/>
      </c>
      <c r="CP7" s="194" t="str">
        <f aca="false">IF(AND(Projects!$C$2&lt;=CP$4,CP$4&lt;=Projects!$C$2+Projects!$D$2-1),Projects!$B$2/Projects!$D$2,"")</f>
        <v/>
      </c>
      <c r="CQ7" s="194" t="str">
        <f aca="false">IF(AND(Projects!$C$2&lt;=CQ$4,CQ$4&lt;=Projects!$C$2+Projects!$D$2-1),Projects!$B$2/Projects!$D$2,"")</f>
        <v/>
      </c>
      <c r="CR7" s="194" t="str">
        <f aca="false">IF(AND(Projects!$C$2&lt;=CR$4,CR$4&lt;=Projects!$C$2+Projects!$D$2-1),Projects!$B$2/Projects!$D$2,"")</f>
        <v/>
      </c>
      <c r="CS7" s="194" t="str">
        <f aca="false">IF(AND(Projects!$C$2&lt;=CS$4,CS$4&lt;=Projects!$C$2+Projects!$D$2-1),Projects!$B$2/Projects!$D$2,"")</f>
        <v/>
      </c>
      <c r="CT7" s="194" t="str">
        <f aca="false">IF(AND(Projects!$C$2&lt;=CT$4,CT$4&lt;=Projects!$C$2+Projects!$D$2-1),Projects!$B$2/Projects!$D$2,"")</f>
        <v/>
      </c>
      <c r="CU7" s="194" t="str">
        <f aca="false">IF(AND(Projects!$C$2&lt;=CU$4,CU$4&lt;=Projects!$C$2+Projects!$D$2-1),Projects!$B$2/Projects!$D$2,"")</f>
        <v/>
      </c>
      <c r="CV7" s="194" t="str">
        <f aca="false">IF(AND(Projects!$C$2&lt;=CV$4,CV$4&lt;=Projects!$C$2+Projects!$D$2-1),Projects!$B$2/Projects!$D$2,"")</f>
        <v/>
      </c>
      <c r="CW7" s="194" t="str">
        <f aca="false">IF(AND(Projects!$C$2&lt;=CW$4,CW$4&lt;=Projects!$C$2+Projects!$D$2-1),Projects!$B$2/Projects!$D$2,"")</f>
        <v/>
      </c>
      <c r="CX7" s="194" t="str">
        <f aca="false">IF(AND(Projects!$C$2&lt;=CX$4,CX$4&lt;=Projects!$C$2+Projects!$D$2-1),Projects!$B$2/Projects!$D$2,"")</f>
        <v/>
      </c>
      <c r="CY7" s="194" t="str">
        <f aca="false">IF(AND(Projects!$C$2&lt;=CY$4,CY$4&lt;=Projects!$C$2+Projects!$D$2-1),Projects!$B$2/Projects!$D$2,"")</f>
        <v/>
      </c>
      <c r="CZ7" s="194" t="str">
        <f aca="false">IF(AND(Projects!$C$2&lt;=CZ$4,CZ$4&lt;=Projects!$C$2+Projects!$D$2-1),Projects!$B$2/Projects!$D$2,"")</f>
        <v/>
      </c>
      <c r="DA7" s="194" t="str">
        <f aca="false">IF(AND(Projects!$C$2&lt;=DA$4,DA$4&lt;=Projects!$C$2+Projects!$D$2-1),Projects!$B$2/Projects!$D$2,"")</f>
        <v/>
      </c>
      <c r="DB7" s="194" t="str">
        <f aca="false">IF(AND(Projects!$C$2&lt;=DB$4,DB$4&lt;=Projects!$C$2+Projects!$D$2-1),Projects!$B$2/Projects!$D$2,"")</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Projects!$B$3/E8</f>
        <v>1120913.83333333</v>
      </c>
      <c r="G8" s="194" t="n">
        <f aca="false">IF(AND(Projects!$C$3&lt;=G$4,G$4&lt;=18),$F8,"")</f>
        <v>1120913.83333333</v>
      </c>
      <c r="H8" s="194" t="n">
        <f aca="false">IF(AND(Projects!$C$3&lt;=H$4,H$4&lt;=18),$F8,"")</f>
        <v>1120913.83333333</v>
      </c>
      <c r="I8" s="194" t="n">
        <f aca="false">IF(AND(Projects!$C$3&lt;=I$4,I$4&lt;=18),$F8,"")</f>
        <v>1120913.83333333</v>
      </c>
      <c r="J8" s="194" t="n">
        <f aca="false">IF(AND(Projects!$C$3&lt;=J$4,J$4&lt;=18),$F8,"")</f>
        <v>1120913.83333333</v>
      </c>
      <c r="K8" s="194" t="n">
        <f aca="false">IF(AND(Projects!$C$3&lt;=K$4,K$4&lt;=18),$F8,"")</f>
        <v>1120913.83333333</v>
      </c>
      <c r="L8" s="194" t="n">
        <f aca="false">IF(AND(Projects!$C$3&lt;=L$4,L$4&lt;=18),$F8,"")</f>
        <v>1120913.83333333</v>
      </c>
      <c r="M8" s="194" t="n">
        <f aca="false">IF(AND(Projects!$C$3&lt;=M$4,M$4&lt;=18),$F8,"")</f>
        <v>1120913.83333333</v>
      </c>
      <c r="N8" s="194" t="n">
        <f aca="false">IF(AND(Projects!$C$3&lt;=N$4,N$4&lt;=18),$F8,"")</f>
        <v>1120913.83333333</v>
      </c>
      <c r="O8" s="194" t="n">
        <f aca="false">IF(AND(Projects!$C$3&lt;=O$4,O$4&lt;=18),$F8,"")</f>
        <v>1120913.83333333</v>
      </c>
      <c r="P8" s="194" t="n">
        <f aca="false">IF(AND(Projects!$C$3&lt;=P$4,P$4&lt;=18),$F8,"")</f>
        <v>1120913.83333333</v>
      </c>
      <c r="Q8" s="194" t="n">
        <f aca="false">IF(AND(Projects!$C$3&lt;=Q$4,Q$4&lt;=18),$F8,"")</f>
        <v>1120913.83333333</v>
      </c>
      <c r="R8" s="194" t="n">
        <f aca="false">IF(AND(Projects!$C$3&lt;=R$4,R$4&lt;=18),$F8,"")</f>
        <v>1120913.83333333</v>
      </c>
      <c r="S8" s="194" t="n">
        <f aca="false">IF(AND(Projects!$C$3&lt;=S$4,S$4&lt;=18),$F8,"")</f>
        <v>1120913.83333333</v>
      </c>
      <c r="T8" s="194" t="n">
        <f aca="false">IF(AND(Projects!$C$3&lt;=T$4,T$4&lt;=18),$F8,"")</f>
        <v>1120913.83333333</v>
      </c>
      <c r="U8" s="194" t="n">
        <f aca="false">IF(AND(Projects!$C$3&lt;=U$4,U$4&lt;=18),$F8,"")</f>
        <v>1120913.83333333</v>
      </c>
      <c r="V8" s="194" t="n">
        <f aca="false">IF(AND(Projects!$C$3&lt;=V$4,V$4&lt;=18),$F8,"")</f>
        <v>1120913.83333333</v>
      </c>
      <c r="W8" s="194" t="n">
        <f aca="false">IF(AND(Projects!$C$3&lt;=W$4,W$4&lt;=18),$F8,"")</f>
        <v>1120913.83333333</v>
      </c>
      <c r="X8" s="194" t="n">
        <f aca="false">IF(AND(Projects!$C$3&lt;=X$4,X$4&lt;=18),$F8,"")</f>
        <v>1120913.83333333</v>
      </c>
      <c r="Y8" s="194" t="str">
        <f aca="false">IF(AND(Projects!$C$3&lt;=Y$4,Y$4&lt;=18),$F8,"")</f>
        <v/>
      </c>
      <c r="Z8" s="194" t="str">
        <f aca="false">IF(AND(Projects!$C$3&lt;=Z$4,Z$4&lt;=18),$F8,"")</f>
        <v/>
      </c>
      <c r="AA8" s="194" t="str">
        <f aca="false">IF(AND(Projects!$C$3&lt;=AA$4,AA$4&lt;=18),$F8,"")</f>
        <v/>
      </c>
      <c r="AB8" s="194" t="str">
        <f aca="false">IF(AND(Projects!$C$3&lt;=AB$4,AB$4&lt;=18),$F8,"")</f>
        <v/>
      </c>
      <c r="AC8" s="194" t="str">
        <f aca="false">IF(AND(Projects!$C$3&lt;=AC$4,AC$4&lt;=18),$F8,"")</f>
        <v/>
      </c>
      <c r="AD8" s="194" t="str">
        <f aca="false">IF(AND(Projects!$C$3&lt;=AD$4,AD$4&lt;=18),$F8,"")</f>
        <v/>
      </c>
      <c r="AE8" s="194" t="str">
        <f aca="false">IF(AND(Projects!$C$3&lt;=AE$4,AE$4&lt;=18),$F8,"")</f>
        <v/>
      </c>
      <c r="AF8" s="194" t="str">
        <f aca="false">IF(AND(Projects!$C$3&lt;=AF$4,AF$4&lt;=18),$F8,"")</f>
        <v/>
      </c>
      <c r="AG8" s="194" t="str">
        <f aca="false">IF(AND(Projects!$C$3&lt;=AG$4,AG$4&lt;=18),$F8,"")</f>
        <v/>
      </c>
      <c r="AH8" s="194" t="str">
        <f aca="false">IF(AND(Projects!$C$3&lt;=AH$4,AH$4&lt;=18),$F8,"")</f>
        <v/>
      </c>
      <c r="AI8" s="194" t="str">
        <f aca="false">IF(AND(Projects!$C$3&lt;=AI$4,AI$4&lt;=18),$F8,"")</f>
        <v/>
      </c>
      <c r="AJ8" s="194" t="str">
        <f aca="false">IF(AND(Projects!$C$3&lt;=AJ$4,AJ$4&lt;=18),$F8,"")</f>
        <v/>
      </c>
      <c r="AK8" s="194" t="str">
        <f aca="false">IF(AND(Projects!$C$3&lt;=AK$4,AK$4&lt;=18),$F8,"")</f>
        <v/>
      </c>
      <c r="AL8" s="194" t="str">
        <f aca="false">IF(AND(Projects!$C$3&lt;=AL$4,AL$4&lt;=18),$F8,"")</f>
        <v/>
      </c>
      <c r="AM8" s="194" t="str">
        <f aca="false">IF(AND(Projects!$C$3&lt;=AM$4,AM$4&lt;=18),$F8,"")</f>
        <v/>
      </c>
      <c r="AN8" s="194" t="str">
        <f aca="false">IF(AND(Projects!$C$3&lt;=AN$4,AN$4&lt;=18),$F8,"")</f>
        <v/>
      </c>
      <c r="AO8" s="194" t="str">
        <f aca="false">IF(AND(Projects!$C$3&lt;=AO$4,AO$4&lt;=18),$F8,"")</f>
        <v/>
      </c>
      <c r="AP8" s="194" t="str">
        <f aca="false">IF(AND(Projects!$C$3&lt;=AP$4,AP$4&lt;=18),$F8,"")</f>
        <v/>
      </c>
      <c r="AQ8" s="194" t="str">
        <f aca="false">IF(AND(Projects!$C$3&lt;=AQ$4,AQ$4&lt;=18),$F8,"")</f>
        <v/>
      </c>
      <c r="AR8" s="194" t="str">
        <f aca="false">IF(AND(Projects!$C$3&lt;=AR$4,AR$4&lt;=18),$F8,"")</f>
        <v/>
      </c>
      <c r="AS8" s="194" t="str">
        <f aca="false">IF(AND(Projects!$C$3&lt;=AS$4,AS$4&lt;=18),$F8,"")</f>
        <v/>
      </c>
      <c r="AT8" s="194" t="str">
        <f aca="false">IF(AND(Projects!$C$3&lt;=AT$4,AT$4&lt;=18),$F8,"")</f>
        <v/>
      </c>
      <c r="AU8" s="194" t="str">
        <f aca="false">IF(AND(Projects!$C$3&lt;=AU$4,AU$4&lt;=18),$F8,"")</f>
        <v/>
      </c>
      <c r="AV8" s="194" t="str">
        <f aca="false">IF(AND(Projects!$C$3&lt;=AV$4,AV$4&lt;=18),$F8,"")</f>
        <v/>
      </c>
      <c r="AW8" s="194" t="str">
        <f aca="false">IF(AND(Projects!$C$3&lt;=AW$4,AW$4&lt;=18),$F8,"")</f>
        <v/>
      </c>
      <c r="AX8" s="194" t="str">
        <f aca="false">IF(AND(Projects!$C$3&lt;=AX$4,AX$4&lt;=18),$F8,"")</f>
        <v/>
      </c>
      <c r="AY8" s="194" t="str">
        <f aca="false">IF(AND(Projects!$C$3&lt;=AY$4,AY$4&lt;=18),$F8,"")</f>
        <v/>
      </c>
      <c r="AZ8" s="194" t="str">
        <f aca="false">IF(AND(Projects!$C$3&lt;=AZ$4,AZ$4&lt;=18),$F8,"")</f>
        <v/>
      </c>
      <c r="BA8" s="194" t="str">
        <f aca="false">IF(AND(Projects!$C$3&lt;=BA$4,BA$4&lt;=18),$F8,"")</f>
        <v/>
      </c>
      <c r="BB8" s="194" t="str">
        <f aca="false">IF(AND(Projects!$C$3&lt;=BB$4,BB$4&lt;=18),$F8,"")</f>
        <v/>
      </c>
      <c r="BC8" s="194" t="str">
        <f aca="false">IF(AND(Projects!$C$3&lt;=BC$4,BC$4&lt;=18),$F8,"")</f>
        <v/>
      </c>
      <c r="BD8" s="194" t="str">
        <f aca="false">IF(AND(Projects!$C$3&lt;=BD$4,BD$4&lt;=18),$F8,"")</f>
        <v/>
      </c>
      <c r="BE8" s="194" t="str">
        <f aca="false">IF(AND(Projects!$C$3&lt;=BE$4,BE$4&lt;=18),$F8,"")</f>
        <v/>
      </c>
      <c r="BF8" s="194" t="str">
        <f aca="false">IF(AND(Projects!$C$3&lt;=BF$4,BF$4&lt;=18),$F8,"")</f>
        <v/>
      </c>
      <c r="BG8" s="194" t="str">
        <f aca="false">IF(AND(Projects!$C$3&lt;=BG$4,BG$4&lt;=18),$F8,"")</f>
        <v/>
      </c>
      <c r="BH8" s="194" t="str">
        <f aca="false">IF(AND(Projects!$C$3&lt;=BH$4,BH$4&lt;=18),$F8,"")</f>
        <v/>
      </c>
      <c r="BI8" s="194" t="str">
        <f aca="false">IF(AND(Projects!$C$3&lt;=BI$4,BI$4&lt;=18),$F8,"")</f>
        <v/>
      </c>
      <c r="BJ8" s="194" t="str">
        <f aca="false">IF(AND(Projects!$C$3&lt;=BJ$4,BJ$4&lt;=18),$F8,"")</f>
        <v/>
      </c>
      <c r="BK8" s="194" t="str">
        <f aca="false">IF(AND(Projects!$C$3&lt;=BK$4,BK$4&lt;=18),$F8,"")</f>
        <v/>
      </c>
      <c r="BL8" s="194" t="str">
        <f aca="false">IF(AND(Projects!$C$3&lt;=BL$4,BL$4&lt;=18),$F8,"")</f>
        <v/>
      </c>
      <c r="BM8" s="194" t="str">
        <f aca="false">IF(AND(Projects!$C$3&lt;=BM$4,BM$4&lt;=18),$F8,"")</f>
        <v/>
      </c>
      <c r="BN8" s="194" t="str">
        <f aca="false">IF(AND(Projects!$C$3&lt;=BN$4,BN$4&lt;=18),$F8,"")</f>
        <v/>
      </c>
      <c r="BO8" s="194" t="str">
        <f aca="false">IF(AND(Projects!$C$3&lt;=BO$4,BO$4&lt;=18),$F8,"")</f>
        <v/>
      </c>
      <c r="BP8" s="194" t="str">
        <f aca="false">IF(AND(Projects!$C$3&lt;=BP$4,BP$4&lt;=18),$F8,"")</f>
        <v/>
      </c>
      <c r="BQ8" s="194" t="str">
        <f aca="false">IF(AND(Projects!$C$3&lt;=BQ$4,BQ$4&lt;=18),$F8,"")</f>
        <v/>
      </c>
      <c r="BR8" s="194" t="str">
        <f aca="false">IF(AND(Projects!$C$3&lt;=BR$4,BR$4&lt;=18),$F8,"")</f>
        <v/>
      </c>
      <c r="BS8" s="194" t="str">
        <f aca="false">IF(AND(Projects!$C$3&lt;=BS$4,BS$4&lt;=18),$F8,"")</f>
        <v/>
      </c>
      <c r="BT8" s="194" t="str">
        <f aca="false">IF(AND(Projects!$C$3&lt;=BT$4,BT$4&lt;=18),$F8,"")</f>
        <v/>
      </c>
      <c r="BU8" s="194" t="str">
        <f aca="false">IF(AND(Projects!$C$3&lt;=BU$4,BU$4&lt;=18),$F8,"")</f>
        <v/>
      </c>
      <c r="BV8" s="194" t="str">
        <f aca="false">IF(AND(Projects!$C$3&lt;=BV$4,BV$4&lt;=18),$F8,"")</f>
        <v/>
      </c>
      <c r="BW8" s="194" t="str">
        <f aca="false">IF(AND(Projects!$C$3&lt;=BW$4,BW$4&lt;=18),$F8,"")</f>
        <v/>
      </c>
      <c r="BX8" s="194" t="str">
        <f aca="false">IF(AND(Projects!$C$3&lt;=BX$4,BX$4&lt;=18),$F8,"")</f>
        <v/>
      </c>
      <c r="BY8" s="194" t="str">
        <f aca="false">IF(AND(Projects!$C$3&lt;=BY$4,BY$4&lt;=18),$F8,"")</f>
        <v/>
      </c>
      <c r="BZ8" s="194" t="str">
        <f aca="false">IF(AND(Projects!$C$3&lt;=BZ$4,BZ$4&lt;=18),$F8,"")</f>
        <v/>
      </c>
      <c r="CA8" s="194" t="str">
        <f aca="false">IF(AND(Projects!$C$3&lt;=CA$4,CA$4&lt;=18),$F8,"")</f>
        <v/>
      </c>
      <c r="CB8" s="194" t="str">
        <f aca="false">IF(AND(Projects!$C$3&lt;=CB$4,CB$4&lt;=18),$F8,"")</f>
        <v/>
      </c>
      <c r="CC8" s="194" t="str">
        <f aca="false">IF(AND(Projects!$C$3&lt;=CC$4,CC$4&lt;=18),$F8,"")</f>
        <v/>
      </c>
      <c r="CD8" s="194" t="str">
        <f aca="false">IF(AND(Projects!$C$3&lt;=CD$4,CD$4&lt;=18),$F8,"")</f>
        <v/>
      </c>
      <c r="CE8" s="194" t="str">
        <f aca="false">IF(AND(Projects!$C$3&lt;=CE$4,CE$4&lt;=18),$F8,"")</f>
        <v/>
      </c>
      <c r="CF8" s="194" t="str">
        <f aca="false">IF(AND(Projects!$C$3&lt;=CF$4,CF$4&lt;=18),$F8,"")</f>
        <v/>
      </c>
      <c r="CG8" s="194" t="str">
        <f aca="false">IF(AND(Projects!$C$3&lt;=CG$4,CG$4&lt;=18),$F8,"")</f>
        <v/>
      </c>
      <c r="CH8" s="194" t="str">
        <f aca="false">IF(AND(Projects!$C$3&lt;=CH$4,CH$4&lt;=18),$F8,"")</f>
        <v/>
      </c>
      <c r="CI8" s="194" t="str">
        <f aca="false">IF(AND(Projects!$C$3&lt;=CI$4,CI$4&lt;=18),$F8,"")</f>
        <v/>
      </c>
      <c r="CJ8" s="194" t="str">
        <f aca="false">IF(AND(Projects!$C$3&lt;=CJ$4,CJ$4&lt;=18),$F8,"")</f>
        <v/>
      </c>
      <c r="CK8" s="194" t="str">
        <f aca="false">IF(AND(Projects!$C$3&lt;=CK$4,CK$4&lt;=18),$F8,"")</f>
        <v/>
      </c>
      <c r="CL8" s="194" t="str">
        <f aca="false">IF(AND(Projects!$C$3&lt;=CL$4,CL$4&lt;=18),$F8,"")</f>
        <v/>
      </c>
      <c r="CM8" s="194" t="str">
        <f aca="false">IF(AND(Projects!$C$3&lt;=CM$4,CM$4&lt;=18),$F8,"")</f>
        <v/>
      </c>
      <c r="CN8" s="194" t="str">
        <f aca="false">IF(AND(Projects!$C$3&lt;=CN$4,CN$4&lt;=18),$F8,"")</f>
        <v/>
      </c>
      <c r="CO8" s="194" t="str">
        <f aca="false">IF(AND(Projects!$C$3&lt;=CO$4,CO$4&lt;=18),$F8,"")</f>
        <v/>
      </c>
      <c r="CP8" s="194" t="str">
        <f aca="false">IF(AND(Projects!$C$3&lt;=CP$4,CP$4&lt;=18),$F8,"")</f>
        <v/>
      </c>
      <c r="CQ8" s="194" t="str">
        <f aca="false">IF(AND(Projects!$C$3&lt;=CQ$4,CQ$4&lt;=18),$F8,"")</f>
        <v/>
      </c>
      <c r="CR8" s="194" t="str">
        <f aca="false">IF(AND(Projects!$C$3&lt;=CR$4,CR$4&lt;=18),$F8,"")</f>
        <v/>
      </c>
      <c r="CS8" s="194" t="str">
        <f aca="false">IF(AND(Projects!$C$3&lt;=CS$4,CS$4&lt;=18),$F8,"")</f>
        <v/>
      </c>
      <c r="CT8" s="194" t="str">
        <f aca="false">IF(AND(Projects!$C$3&lt;=CT$4,CT$4&lt;=18),$F8,"")</f>
        <v/>
      </c>
      <c r="CU8" s="194" t="str">
        <f aca="false">IF(AND(Projects!$C$3&lt;=CU$4,CU$4&lt;=18),$F8,"")</f>
        <v/>
      </c>
      <c r="CV8" s="194" t="str">
        <f aca="false">IF(AND(Projects!$C$3&lt;=CV$4,CV$4&lt;=18),$F8,"")</f>
        <v/>
      </c>
      <c r="CW8" s="194" t="str">
        <f aca="false">IF(AND(Projects!$C$3&lt;=CW$4,CW$4&lt;=18),$F8,"")</f>
        <v/>
      </c>
      <c r="CX8" s="194" t="str">
        <f aca="false">IF(AND(Projects!$C$3&lt;=CX$4,CX$4&lt;=18),$F8,"")</f>
        <v/>
      </c>
      <c r="CY8" s="194" t="str">
        <f aca="false">IF(AND(Projects!$C$3&lt;=CY$4,CY$4&lt;=18),$F8,"")</f>
        <v/>
      </c>
      <c r="CZ8" s="194" t="str">
        <f aca="false">IF(AND(Projects!$C$3&lt;=CZ$4,CZ$4&lt;=18),$F8,"")</f>
        <v/>
      </c>
      <c r="DA8" s="194" t="str">
        <f aca="false">IF(AND(Projects!$C$3&lt;=DA$4,DA$4&lt;=18),$F8,"")</f>
        <v/>
      </c>
      <c r="DB8" s="194" t="str">
        <f aca="false">IF(AND(Projects!$C$3&lt;=DB$4,DB$4&lt;=18),$F8,"")</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Projects!$B$4/E9</f>
        <v>701757.647058824</v>
      </c>
      <c r="G9" s="194" t="n">
        <f aca="false">IF(AND(Projects!$C$4&lt;=G$4,G$4&lt;=17),$F9,"")</f>
        <v>701757.647058824</v>
      </c>
      <c r="H9" s="194" t="n">
        <f aca="false">IF(AND(Projects!$C$4&lt;=H$4,H$4&lt;=17),$F9,"")</f>
        <v>701757.647058824</v>
      </c>
      <c r="I9" s="194" t="n">
        <f aca="false">IF(AND(Projects!$C$4&lt;=I$4,I$4&lt;=17),$F9,"")</f>
        <v>701757.647058824</v>
      </c>
      <c r="J9" s="194" t="n">
        <f aca="false">IF(AND(Projects!$C$4&lt;=J$4,J$4&lt;=17),$F9,"")</f>
        <v>701757.647058824</v>
      </c>
      <c r="K9" s="194" t="n">
        <f aca="false">IF(AND(Projects!$C$4&lt;=K$4,K$4&lt;=17),$F9,"")</f>
        <v>701757.647058824</v>
      </c>
      <c r="L9" s="194" t="n">
        <f aca="false">IF(AND(Projects!$C$4&lt;=L$4,L$4&lt;=17),$F9,"")</f>
        <v>701757.647058824</v>
      </c>
      <c r="M9" s="194" t="n">
        <f aca="false">IF(AND(Projects!$C$4&lt;=M$4,M$4&lt;=17),$F9,"")</f>
        <v>701757.647058824</v>
      </c>
      <c r="N9" s="194" t="n">
        <f aca="false">IF(AND(Projects!$C$4&lt;=N$4,N$4&lt;=17),$F9,"")</f>
        <v>701757.647058824</v>
      </c>
      <c r="O9" s="194" t="n">
        <f aca="false">IF(AND(Projects!$C$4&lt;=O$4,O$4&lt;=17),$F9,"")</f>
        <v>701757.647058824</v>
      </c>
      <c r="P9" s="194" t="n">
        <f aca="false">IF(AND(Projects!$C$4&lt;=P$4,P$4&lt;=17),$F9,"")</f>
        <v>701757.647058824</v>
      </c>
      <c r="Q9" s="194" t="n">
        <f aca="false">IF(AND(Projects!$C$4&lt;=Q$4,Q$4&lt;=17),$F9,"")</f>
        <v>701757.647058824</v>
      </c>
      <c r="R9" s="194" t="n">
        <f aca="false">IF(AND(Projects!$C$4&lt;=R$4,R$4&lt;=17),$F9,"")</f>
        <v>701757.647058824</v>
      </c>
      <c r="S9" s="194" t="n">
        <f aca="false">IF(AND(Projects!$C$4&lt;=S$4,S$4&lt;=17),$F9,"")</f>
        <v>701757.647058824</v>
      </c>
      <c r="T9" s="194" t="n">
        <f aca="false">IF(AND(Projects!$C$4&lt;=T$4,T$4&lt;=17),$F9,"")</f>
        <v>701757.647058824</v>
      </c>
      <c r="U9" s="194" t="n">
        <f aca="false">IF(AND(Projects!$C$4&lt;=U$4,U$4&lt;=17),$F9,"")</f>
        <v>701757.647058824</v>
      </c>
      <c r="V9" s="194" t="n">
        <f aca="false">IF(AND(Projects!$C$4&lt;=V$4,V$4&lt;=17),$F9,"")</f>
        <v>701757.647058824</v>
      </c>
      <c r="W9" s="194" t="n">
        <f aca="false">IF(AND(Projects!$C$4&lt;=W$4,W$4&lt;=17),$F9,"")</f>
        <v>701757.647058824</v>
      </c>
      <c r="X9" s="194" t="str">
        <f aca="false">IF(AND(Projects!$C$4&lt;=X$4,X$4&lt;=17),$F9,"")</f>
        <v/>
      </c>
      <c r="Y9" s="194" t="str">
        <f aca="false">IF(AND(Projects!$C$4&lt;=Y$4,Y$4&lt;=17),$F9,"")</f>
        <v/>
      </c>
      <c r="Z9" s="194" t="str">
        <f aca="false">IF(AND(Projects!$C$4&lt;=Z$4,Z$4&lt;=17),$F9,"")</f>
        <v/>
      </c>
      <c r="AA9" s="194" t="str">
        <f aca="false">IF(AND(Projects!$C$4&lt;=AA$4,AA$4&lt;=17),$F9,"")</f>
        <v/>
      </c>
      <c r="AB9" s="194" t="str">
        <f aca="false">IF(AND(Projects!$C$4&lt;=AB$4,AB$4&lt;=17),$F9,"")</f>
        <v/>
      </c>
      <c r="AC9" s="194" t="str">
        <f aca="false">IF(AND(Projects!$C$4&lt;=AC$4,AC$4&lt;=17),$F9,"")</f>
        <v/>
      </c>
      <c r="AD9" s="194" t="str">
        <f aca="false">IF(AND(Projects!$C$4&lt;=AD$4,AD$4&lt;=17),$F9,"")</f>
        <v/>
      </c>
      <c r="AE9" s="194" t="str">
        <f aca="false">IF(AND(Projects!$C$4&lt;=AE$4,AE$4&lt;=17),$F9,"")</f>
        <v/>
      </c>
      <c r="AF9" s="194" t="str">
        <f aca="false">IF(AND(Projects!$C$4&lt;=AF$4,AF$4&lt;=17),$F9,"")</f>
        <v/>
      </c>
      <c r="AG9" s="194" t="str">
        <f aca="false">IF(AND(Projects!$C$4&lt;=AG$4,AG$4&lt;=17),$F9,"")</f>
        <v/>
      </c>
      <c r="AH9" s="194" t="str">
        <f aca="false">IF(AND(Projects!$C$4&lt;=AH$4,AH$4&lt;=17),$F9,"")</f>
        <v/>
      </c>
      <c r="AI9" s="194" t="str">
        <f aca="false">IF(AND(Projects!$C$4&lt;=AI$4,AI$4&lt;=17),$F9,"")</f>
        <v/>
      </c>
      <c r="AJ9" s="194" t="str">
        <f aca="false">IF(AND(Projects!$C$4&lt;=AJ$4,AJ$4&lt;=17),$F9,"")</f>
        <v/>
      </c>
      <c r="AK9" s="194" t="str">
        <f aca="false">IF(AND(Projects!$C$4&lt;=AK$4,AK$4&lt;=17),$F9,"")</f>
        <v/>
      </c>
      <c r="AL9" s="194" t="str">
        <f aca="false">IF(AND(Projects!$C$4&lt;=AL$4,AL$4&lt;=17),$F9,"")</f>
        <v/>
      </c>
      <c r="AM9" s="194" t="str">
        <f aca="false">IF(AND(Projects!$C$4&lt;=AM$4,AM$4&lt;=17),$F9,"")</f>
        <v/>
      </c>
      <c r="AN9" s="194" t="str">
        <f aca="false">IF(AND(Projects!$C$4&lt;=AN$4,AN$4&lt;=17),$F9,"")</f>
        <v/>
      </c>
      <c r="AO9" s="194" t="str">
        <f aca="false">IF(AND(Projects!$C$4&lt;=AO$4,AO$4&lt;=17),$F9,"")</f>
        <v/>
      </c>
      <c r="AP9" s="194" t="str">
        <f aca="false">IF(AND(Projects!$C$4&lt;=AP$4,AP$4&lt;=17),$F9,"")</f>
        <v/>
      </c>
      <c r="AQ9" s="194" t="str">
        <f aca="false">IF(AND(Projects!$C$4&lt;=AQ$4,AQ$4&lt;=17),$F9,"")</f>
        <v/>
      </c>
      <c r="AR9" s="194" t="str">
        <f aca="false">IF(AND(Projects!$C$4&lt;=AR$4,AR$4&lt;=17),$F9,"")</f>
        <v/>
      </c>
      <c r="AS9" s="194" t="str">
        <f aca="false">IF(AND(Projects!$C$4&lt;=AS$4,AS$4&lt;=17),$F9,"")</f>
        <v/>
      </c>
      <c r="AT9" s="194" t="str">
        <f aca="false">IF(AND(Projects!$C$4&lt;=AT$4,AT$4&lt;=17),$F9,"")</f>
        <v/>
      </c>
      <c r="AU9" s="194" t="str">
        <f aca="false">IF(AND(Projects!$C$4&lt;=AU$4,AU$4&lt;=17),$F9,"")</f>
        <v/>
      </c>
      <c r="AV9" s="194" t="str">
        <f aca="false">IF(AND(Projects!$C$4&lt;=AV$4,AV$4&lt;=17),$F9,"")</f>
        <v/>
      </c>
      <c r="AW9" s="194" t="str">
        <f aca="false">IF(AND(Projects!$C$4&lt;=AW$4,AW$4&lt;=17),$F9,"")</f>
        <v/>
      </c>
      <c r="AX9" s="194" t="str">
        <f aca="false">IF(AND(Projects!$C$4&lt;=AX$4,AX$4&lt;=17),$F9,"")</f>
        <v/>
      </c>
      <c r="AY9" s="194" t="str">
        <f aca="false">IF(AND(Projects!$C$4&lt;=AY$4,AY$4&lt;=17),$F9,"")</f>
        <v/>
      </c>
      <c r="AZ9" s="194" t="str">
        <f aca="false">IF(AND(Projects!$C$4&lt;=AZ$4,AZ$4&lt;=17),$F9,"")</f>
        <v/>
      </c>
      <c r="BA9" s="194" t="str">
        <f aca="false">IF(AND(Projects!$C$4&lt;=BA$4,BA$4&lt;=17),$F9,"")</f>
        <v/>
      </c>
      <c r="BB9" s="194" t="str">
        <f aca="false">IF(AND(Projects!$C$4&lt;=BB$4,BB$4&lt;=17),$F9,"")</f>
        <v/>
      </c>
      <c r="BC9" s="194" t="str">
        <f aca="false">IF(AND(Projects!$C$4&lt;=BC$4,BC$4&lt;=17),$F9,"")</f>
        <v/>
      </c>
      <c r="BD9" s="194" t="str">
        <f aca="false">IF(AND(Projects!$C$4&lt;=BD$4,BD$4&lt;=17),$F9,"")</f>
        <v/>
      </c>
      <c r="BE9" s="194" t="str">
        <f aca="false">IF(AND(Projects!$C$4&lt;=BE$4,BE$4&lt;=17),$F9,"")</f>
        <v/>
      </c>
      <c r="BF9" s="194" t="str">
        <f aca="false">IF(AND(Projects!$C$4&lt;=BF$4,BF$4&lt;=17),$F9,"")</f>
        <v/>
      </c>
      <c r="BG9" s="194" t="str">
        <f aca="false">IF(AND(Projects!$C$4&lt;=BG$4,BG$4&lt;=17),$F9,"")</f>
        <v/>
      </c>
      <c r="BH9" s="194" t="str">
        <f aca="false">IF(AND(Projects!$C$4&lt;=BH$4,BH$4&lt;=17),$F9,"")</f>
        <v/>
      </c>
      <c r="BI9" s="194" t="str">
        <f aca="false">IF(AND(Projects!$C$4&lt;=BI$4,BI$4&lt;=17),$F9,"")</f>
        <v/>
      </c>
      <c r="BJ9" s="194" t="str">
        <f aca="false">IF(AND(Projects!$C$4&lt;=BJ$4,BJ$4&lt;=17),$F9,"")</f>
        <v/>
      </c>
      <c r="BK9" s="194" t="str">
        <f aca="false">IF(AND(Projects!$C$4&lt;=BK$4,BK$4&lt;=17),$F9,"")</f>
        <v/>
      </c>
      <c r="BL9" s="194" t="str">
        <f aca="false">IF(AND(Projects!$C$4&lt;=BL$4,BL$4&lt;=17),$F9,"")</f>
        <v/>
      </c>
      <c r="BM9" s="194" t="str">
        <f aca="false">IF(AND(Projects!$C$4&lt;=BM$4,BM$4&lt;=17),$F9,"")</f>
        <v/>
      </c>
      <c r="BN9" s="194" t="str">
        <f aca="false">IF(AND(Projects!$C$4&lt;=BN$4,BN$4&lt;=17),$F9,"")</f>
        <v/>
      </c>
      <c r="BO9" s="194" t="str">
        <f aca="false">IF(AND(Projects!$C$4&lt;=BO$4,BO$4&lt;=17),$F9,"")</f>
        <v/>
      </c>
      <c r="BP9" s="194" t="str">
        <f aca="false">IF(AND(Projects!$C$4&lt;=BP$4,BP$4&lt;=17),$F9,"")</f>
        <v/>
      </c>
      <c r="BQ9" s="194" t="str">
        <f aca="false">IF(AND(Projects!$C$4&lt;=BQ$4,BQ$4&lt;=17),$F9,"")</f>
        <v/>
      </c>
      <c r="BR9" s="194" t="str">
        <f aca="false">IF(AND(Projects!$C$4&lt;=BR$4,BR$4&lt;=17),$F9,"")</f>
        <v/>
      </c>
      <c r="BS9" s="194" t="str">
        <f aca="false">IF(AND(Projects!$C$4&lt;=BS$4,BS$4&lt;=17),$F9,"")</f>
        <v/>
      </c>
      <c r="BT9" s="194" t="str">
        <f aca="false">IF(AND(Projects!$C$4&lt;=BT$4,BT$4&lt;=17),$F9,"")</f>
        <v/>
      </c>
      <c r="BU9" s="194" t="str">
        <f aca="false">IF(AND(Projects!$C$4&lt;=BU$4,BU$4&lt;=17),$F9,"")</f>
        <v/>
      </c>
      <c r="BV9" s="194" t="str">
        <f aca="false">IF(AND(Projects!$C$4&lt;=BV$4,BV$4&lt;=17),$F9,"")</f>
        <v/>
      </c>
      <c r="BW9" s="194" t="str">
        <f aca="false">IF(AND(Projects!$C$4&lt;=BW$4,BW$4&lt;=17),$F9,"")</f>
        <v/>
      </c>
      <c r="BX9" s="194" t="str">
        <f aca="false">IF(AND(Projects!$C$4&lt;=BX$4,BX$4&lt;=17),$F9,"")</f>
        <v/>
      </c>
      <c r="BY9" s="194" t="str">
        <f aca="false">IF(AND(Projects!$C$4&lt;=BY$4,BY$4&lt;=17),$F9,"")</f>
        <v/>
      </c>
      <c r="BZ9" s="194" t="str">
        <f aca="false">IF(AND(Projects!$C$4&lt;=BZ$4,BZ$4&lt;=17),$F9,"")</f>
        <v/>
      </c>
      <c r="CA9" s="194" t="str">
        <f aca="false">IF(AND(Projects!$C$4&lt;=CA$4,CA$4&lt;=17),$F9,"")</f>
        <v/>
      </c>
      <c r="CB9" s="194" t="str">
        <f aca="false">IF(AND(Projects!$C$4&lt;=CB$4,CB$4&lt;=17),$F9,"")</f>
        <v/>
      </c>
      <c r="CC9" s="194" t="str">
        <f aca="false">IF(AND(Projects!$C$4&lt;=CC$4,CC$4&lt;=17),$F9,"")</f>
        <v/>
      </c>
      <c r="CD9" s="194" t="str">
        <f aca="false">IF(AND(Projects!$C$4&lt;=CD$4,CD$4&lt;=17),$F9,"")</f>
        <v/>
      </c>
      <c r="CE9" s="194" t="str">
        <f aca="false">IF(AND(Projects!$C$4&lt;=CE$4,CE$4&lt;=17),$F9,"")</f>
        <v/>
      </c>
      <c r="CF9" s="194" t="str">
        <f aca="false">IF(AND(Projects!$C$4&lt;=CF$4,CF$4&lt;=17),$F9,"")</f>
        <v/>
      </c>
      <c r="CG9" s="194" t="str">
        <f aca="false">IF(AND(Projects!$C$4&lt;=CG$4,CG$4&lt;=17),$F9,"")</f>
        <v/>
      </c>
      <c r="CH9" s="194" t="str">
        <f aca="false">IF(AND(Projects!$C$4&lt;=CH$4,CH$4&lt;=17),$F9,"")</f>
        <v/>
      </c>
      <c r="CI9" s="194" t="str">
        <f aca="false">IF(AND(Projects!$C$4&lt;=CI$4,CI$4&lt;=17),$F9,"")</f>
        <v/>
      </c>
      <c r="CJ9" s="194" t="str">
        <f aca="false">IF(AND(Projects!$C$4&lt;=CJ$4,CJ$4&lt;=17),$F9,"")</f>
        <v/>
      </c>
      <c r="CK9" s="194" t="str">
        <f aca="false">IF(AND(Projects!$C$4&lt;=CK$4,CK$4&lt;=17),$F9,"")</f>
        <v/>
      </c>
      <c r="CL9" s="194" t="str">
        <f aca="false">IF(AND(Projects!$C$4&lt;=CL$4,CL$4&lt;=17),$F9,"")</f>
        <v/>
      </c>
      <c r="CM9" s="194" t="str">
        <f aca="false">IF(AND(Projects!$C$4&lt;=CM$4,CM$4&lt;=17),$F9,"")</f>
        <v/>
      </c>
      <c r="CN9" s="194" t="str">
        <f aca="false">IF(AND(Projects!$C$4&lt;=CN$4,CN$4&lt;=17),$F9,"")</f>
        <v/>
      </c>
      <c r="CO9" s="194" t="str">
        <f aca="false">IF(AND(Projects!$C$4&lt;=CO$4,CO$4&lt;=17),$F9,"")</f>
        <v/>
      </c>
      <c r="CP9" s="194" t="str">
        <f aca="false">IF(AND(Projects!$C$4&lt;=CP$4,CP$4&lt;=17),$F9,"")</f>
        <v/>
      </c>
      <c r="CQ9" s="194" t="str">
        <f aca="false">IF(AND(Projects!$C$4&lt;=CQ$4,CQ$4&lt;=17),$F9,"")</f>
        <v/>
      </c>
      <c r="CR9" s="194" t="str">
        <f aca="false">IF(AND(Projects!$C$4&lt;=CR$4,CR$4&lt;=17),$F9,"")</f>
        <v/>
      </c>
      <c r="CS9" s="194" t="str">
        <f aca="false">IF(AND(Projects!$C$4&lt;=CS$4,CS$4&lt;=17),$F9,"")</f>
        <v/>
      </c>
      <c r="CT9" s="194" t="str">
        <f aca="false">IF(AND(Projects!$C$4&lt;=CT$4,CT$4&lt;=17),$F9,"")</f>
        <v/>
      </c>
      <c r="CU9" s="194" t="str">
        <f aca="false">IF(AND(Projects!$C$4&lt;=CU$4,CU$4&lt;=17),$F9,"")</f>
        <v/>
      </c>
      <c r="CV9" s="194" t="str">
        <f aca="false">IF(AND(Projects!$C$4&lt;=CV$4,CV$4&lt;=17),$F9,"")</f>
        <v/>
      </c>
      <c r="CW9" s="194" t="str">
        <f aca="false">IF(AND(Projects!$C$4&lt;=CW$4,CW$4&lt;=17),$F9,"")</f>
        <v/>
      </c>
      <c r="CX9" s="194" t="str">
        <f aca="false">IF(AND(Projects!$C$4&lt;=CX$4,CX$4&lt;=17),$F9,"")</f>
        <v/>
      </c>
      <c r="CY9" s="194" t="str">
        <f aca="false">IF(AND(Projects!$C$4&lt;=CY$4,CY$4&lt;=17),$F9,"")</f>
        <v/>
      </c>
      <c r="CZ9" s="194" t="str">
        <f aca="false">IF(AND(Projects!$C$4&lt;=CZ$4,CZ$4&lt;=17),$F9,"")</f>
        <v/>
      </c>
      <c r="DA9" s="194" t="str">
        <f aca="false">IF(AND(Projects!$C$4&lt;=DA$4,DA$4&lt;=17),$F9,"")</f>
        <v/>
      </c>
      <c r="DB9" s="194" t="str">
        <f aca="false">IF(AND(Projects!$C$4&lt;=DB$4,DB$4&lt;=17),$F9,"")</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Projects!$B$5/E10</f>
        <v>759362.315789474</v>
      </c>
      <c r="G10" s="194" t="n">
        <f aca="false">IF(AND(Projects!$C$5&lt;=G$4,G$4&lt;=19),$F10,"")</f>
        <v>759362.315789474</v>
      </c>
      <c r="H10" s="194" t="n">
        <f aca="false">IF(AND(Projects!$C$5&lt;=H$4,H$4&lt;=19),$F10,"")</f>
        <v>759362.315789474</v>
      </c>
      <c r="I10" s="194" t="n">
        <f aca="false">IF(AND(Projects!$C$5&lt;=I$4,I$4&lt;=19),$F10,"")</f>
        <v>759362.315789474</v>
      </c>
      <c r="J10" s="194" t="n">
        <f aca="false">IF(AND(Projects!$C$5&lt;=J$4,J$4&lt;=19),$F10,"")</f>
        <v>759362.315789474</v>
      </c>
      <c r="K10" s="194" t="n">
        <f aca="false">IF(AND(Projects!$C$5&lt;=K$4,K$4&lt;=19),$F10,"")</f>
        <v>759362.315789474</v>
      </c>
      <c r="L10" s="194" t="n">
        <f aca="false">IF(AND(Projects!$C$5&lt;=L$4,L$4&lt;=19),$F10,"")</f>
        <v>759362.315789474</v>
      </c>
      <c r="M10" s="194" t="n">
        <f aca="false">IF(AND(Projects!$C$5&lt;=M$4,M$4&lt;=19),$F10,"")</f>
        <v>759362.315789474</v>
      </c>
      <c r="N10" s="194" t="n">
        <f aca="false">IF(AND(Projects!$C$5&lt;=N$4,N$4&lt;=19),$F10,"")</f>
        <v>759362.315789474</v>
      </c>
      <c r="O10" s="194" t="n">
        <f aca="false">IF(AND(Projects!$C$5&lt;=O$4,O$4&lt;=19),$F10,"")</f>
        <v>759362.315789474</v>
      </c>
      <c r="P10" s="194" t="n">
        <f aca="false">IF(AND(Projects!$C$5&lt;=P$4,P$4&lt;=19),$F10,"")</f>
        <v>759362.315789474</v>
      </c>
      <c r="Q10" s="194" t="n">
        <f aca="false">IF(AND(Projects!$C$5&lt;=Q$4,Q$4&lt;=19),$F10,"")</f>
        <v>759362.315789474</v>
      </c>
      <c r="R10" s="194" t="n">
        <f aca="false">IF(AND(Projects!$C$5&lt;=R$4,R$4&lt;=19),$F10,"")</f>
        <v>759362.315789474</v>
      </c>
      <c r="S10" s="194" t="n">
        <f aca="false">IF(AND(Projects!$C$5&lt;=S$4,S$4&lt;=19),$F10,"")</f>
        <v>759362.315789474</v>
      </c>
      <c r="T10" s="194" t="n">
        <f aca="false">IF(AND(Projects!$C$5&lt;=T$4,T$4&lt;=19),$F10,"")</f>
        <v>759362.315789474</v>
      </c>
      <c r="U10" s="194" t="n">
        <f aca="false">IF(AND(Projects!$C$5&lt;=U$4,U$4&lt;=19),$F10,"")</f>
        <v>759362.315789474</v>
      </c>
      <c r="V10" s="194" t="n">
        <f aca="false">IF(AND(Projects!$C$5&lt;=V$4,V$4&lt;=19),$F10,"")</f>
        <v>759362.315789474</v>
      </c>
      <c r="W10" s="194" t="n">
        <f aca="false">IF(AND(Projects!$C$5&lt;=W$4,W$4&lt;=19),$F10,"")</f>
        <v>759362.315789474</v>
      </c>
      <c r="X10" s="194" t="n">
        <f aca="false">IF(AND(Projects!$C$5&lt;=X$4,X$4&lt;=19),$F10,"")</f>
        <v>759362.315789474</v>
      </c>
      <c r="Y10" s="194" t="n">
        <f aca="false">IF(AND(Projects!$C$5&lt;=Y$4,Y$4&lt;=19),$F10,"")</f>
        <v>759362.315789474</v>
      </c>
      <c r="Z10" s="194" t="str">
        <f aca="false">IF(AND(Projects!$C$5&lt;=Z$4,Z$4&lt;=19),$F10,"")</f>
        <v/>
      </c>
      <c r="AA10" s="194" t="str">
        <f aca="false">IF(AND(Projects!$C$5&lt;=AA$4,AA$4&lt;=19),$F10,"")</f>
        <v/>
      </c>
      <c r="AB10" s="194" t="str">
        <f aca="false">IF(AND(Projects!$C$5&lt;=AB$4,AB$4&lt;=19),$F10,"")</f>
        <v/>
      </c>
      <c r="AC10" s="194" t="str">
        <f aca="false">IF(AND(Projects!$C$5&lt;=AC$4,AC$4&lt;=19),$F10,"")</f>
        <v/>
      </c>
      <c r="AD10" s="194" t="str">
        <f aca="false">IF(AND(Projects!$C$5&lt;=AD$4,AD$4&lt;=19),$F10,"")</f>
        <v/>
      </c>
      <c r="AE10" s="194" t="str">
        <f aca="false">IF(AND(Projects!$C$5&lt;=AE$4,AE$4&lt;=19),$F10,"")</f>
        <v/>
      </c>
      <c r="AF10" s="194" t="str">
        <f aca="false">IF(AND(Projects!$C$5&lt;=AF$4,AF$4&lt;=19),$F10,"")</f>
        <v/>
      </c>
      <c r="AG10" s="194" t="str">
        <f aca="false">IF(AND(Projects!$C$5&lt;=AG$4,AG$4&lt;=19),$F10,"")</f>
        <v/>
      </c>
      <c r="AH10" s="194" t="str">
        <f aca="false">IF(AND(Projects!$C$5&lt;=AH$4,AH$4&lt;=19),$F10,"")</f>
        <v/>
      </c>
      <c r="AI10" s="194" t="str">
        <f aca="false">IF(AND(Projects!$C$5&lt;=AI$4,AI$4&lt;=19),$F10,"")</f>
        <v/>
      </c>
      <c r="AJ10" s="194" t="str">
        <f aca="false">IF(AND(Projects!$C$5&lt;=AJ$4,AJ$4&lt;=19),$F10,"")</f>
        <v/>
      </c>
      <c r="AK10" s="194" t="str">
        <f aca="false">IF(AND(Projects!$C$5&lt;=AK$4,AK$4&lt;=19),$F10,"")</f>
        <v/>
      </c>
      <c r="AL10" s="194" t="str">
        <f aca="false">IF(AND(Projects!$C$5&lt;=AL$4,AL$4&lt;=19),$F10,"")</f>
        <v/>
      </c>
      <c r="AM10" s="194" t="str">
        <f aca="false">IF(AND(Projects!$C$5&lt;=AM$4,AM$4&lt;=19),$F10,"")</f>
        <v/>
      </c>
      <c r="AN10" s="194" t="str">
        <f aca="false">IF(AND(Projects!$C$5&lt;=AN$4,AN$4&lt;=19),$F10,"")</f>
        <v/>
      </c>
      <c r="AO10" s="194" t="str">
        <f aca="false">IF(AND(Projects!$C$5&lt;=AO$4,AO$4&lt;=19),$F10,"")</f>
        <v/>
      </c>
      <c r="AP10" s="194" t="str">
        <f aca="false">IF(AND(Projects!$C$5&lt;=AP$4,AP$4&lt;=19),$F10,"")</f>
        <v/>
      </c>
      <c r="AQ10" s="194" t="str">
        <f aca="false">IF(AND(Projects!$C$5&lt;=AQ$4,AQ$4&lt;=19),$F10,"")</f>
        <v/>
      </c>
      <c r="AR10" s="194" t="str">
        <f aca="false">IF(AND(Projects!$C$5&lt;=AR$4,AR$4&lt;=19),$F10,"")</f>
        <v/>
      </c>
      <c r="AS10" s="194" t="str">
        <f aca="false">IF(AND(Projects!$C$5&lt;=AS$4,AS$4&lt;=19),$F10,"")</f>
        <v/>
      </c>
      <c r="AT10" s="194" t="str">
        <f aca="false">IF(AND(Projects!$C$5&lt;=AT$4,AT$4&lt;=19),$F10,"")</f>
        <v/>
      </c>
      <c r="AU10" s="194" t="str">
        <f aca="false">IF(AND(Projects!$C$5&lt;=AU$4,AU$4&lt;=19),$F10,"")</f>
        <v/>
      </c>
      <c r="AV10" s="194" t="str">
        <f aca="false">IF(AND(Projects!$C$5&lt;=AV$4,AV$4&lt;=19),$F10,"")</f>
        <v/>
      </c>
      <c r="AW10" s="194" t="str">
        <f aca="false">IF(AND(Projects!$C$5&lt;=AW$4,AW$4&lt;=19),$F10,"")</f>
        <v/>
      </c>
      <c r="AX10" s="194" t="str">
        <f aca="false">IF(AND(Projects!$C$5&lt;=AX$4,AX$4&lt;=19),$F10,"")</f>
        <v/>
      </c>
      <c r="AY10" s="194" t="str">
        <f aca="false">IF(AND(Projects!$C$5&lt;=AY$4,AY$4&lt;=19),$F10,"")</f>
        <v/>
      </c>
      <c r="AZ10" s="194" t="str">
        <f aca="false">IF(AND(Projects!$C$5&lt;=AZ$4,AZ$4&lt;=19),$F10,"")</f>
        <v/>
      </c>
      <c r="BA10" s="194" t="str">
        <f aca="false">IF(AND(Projects!$C$5&lt;=BA$4,BA$4&lt;=19),$F10,"")</f>
        <v/>
      </c>
      <c r="BB10" s="194" t="str">
        <f aca="false">IF(AND(Projects!$C$5&lt;=BB$4,BB$4&lt;=19),$F10,"")</f>
        <v/>
      </c>
      <c r="BC10" s="194" t="str">
        <f aca="false">IF(AND(Projects!$C$5&lt;=BC$4,BC$4&lt;=19),$F10,"")</f>
        <v/>
      </c>
      <c r="BD10" s="194" t="str">
        <f aca="false">IF(AND(Projects!$C$5&lt;=BD$4,BD$4&lt;=19),$F10,"")</f>
        <v/>
      </c>
      <c r="BE10" s="194" t="str">
        <f aca="false">IF(AND(Projects!$C$5&lt;=BE$4,BE$4&lt;=19),$F10,"")</f>
        <v/>
      </c>
      <c r="BF10" s="194" t="str">
        <f aca="false">IF(AND(Projects!$C$5&lt;=BF$4,BF$4&lt;=19),$F10,"")</f>
        <v/>
      </c>
      <c r="BG10" s="194" t="str">
        <f aca="false">IF(AND(Projects!$C$5&lt;=BG$4,BG$4&lt;=19),$F10,"")</f>
        <v/>
      </c>
      <c r="BH10" s="194" t="str">
        <f aca="false">IF(AND(Projects!$C$5&lt;=BH$4,BH$4&lt;=19),$F10,"")</f>
        <v/>
      </c>
      <c r="BI10" s="194" t="str">
        <f aca="false">IF(AND(Projects!$C$5&lt;=BI$4,BI$4&lt;=19),$F10,"")</f>
        <v/>
      </c>
      <c r="BJ10" s="194" t="str">
        <f aca="false">IF(AND(Projects!$C$5&lt;=BJ$4,BJ$4&lt;=19),$F10,"")</f>
        <v/>
      </c>
      <c r="BK10" s="194" t="str">
        <f aca="false">IF(AND(Projects!$C$5&lt;=BK$4,BK$4&lt;=19),$F10,"")</f>
        <v/>
      </c>
      <c r="BL10" s="194" t="str">
        <f aca="false">IF(AND(Projects!$C$5&lt;=BL$4,BL$4&lt;=19),$F10,"")</f>
        <v/>
      </c>
      <c r="BM10" s="194" t="str">
        <f aca="false">IF(AND(Projects!$C$5&lt;=BM$4,BM$4&lt;=19),$F10,"")</f>
        <v/>
      </c>
      <c r="BN10" s="194" t="str">
        <f aca="false">IF(AND(Projects!$C$5&lt;=BN$4,BN$4&lt;=19),$F10,"")</f>
        <v/>
      </c>
      <c r="BO10" s="194" t="str">
        <f aca="false">IF(AND(Projects!$C$5&lt;=BO$4,BO$4&lt;=19),$F10,"")</f>
        <v/>
      </c>
      <c r="BP10" s="194" t="str">
        <f aca="false">IF(AND(Projects!$C$5&lt;=BP$4,BP$4&lt;=19),$F10,"")</f>
        <v/>
      </c>
      <c r="BQ10" s="194" t="str">
        <f aca="false">IF(AND(Projects!$C$5&lt;=BQ$4,BQ$4&lt;=19),$F10,"")</f>
        <v/>
      </c>
      <c r="BR10" s="194" t="str">
        <f aca="false">IF(AND(Projects!$C$5&lt;=BR$4,BR$4&lt;=19),$F10,"")</f>
        <v/>
      </c>
      <c r="BS10" s="194" t="str">
        <f aca="false">IF(AND(Projects!$C$5&lt;=BS$4,BS$4&lt;=19),$F10,"")</f>
        <v/>
      </c>
      <c r="BT10" s="194" t="str">
        <f aca="false">IF(AND(Projects!$C$5&lt;=BT$4,BT$4&lt;=19),$F10,"")</f>
        <v/>
      </c>
      <c r="BU10" s="194" t="str">
        <f aca="false">IF(AND(Projects!$C$5&lt;=BU$4,BU$4&lt;=19),$F10,"")</f>
        <v/>
      </c>
      <c r="BV10" s="194" t="str">
        <f aca="false">IF(AND(Projects!$C$5&lt;=BV$4,BV$4&lt;=19),$F10,"")</f>
        <v/>
      </c>
      <c r="BW10" s="194" t="str">
        <f aca="false">IF(AND(Projects!$C$5&lt;=BW$4,BW$4&lt;=19),$F10,"")</f>
        <v/>
      </c>
      <c r="BX10" s="194" t="str">
        <f aca="false">IF(AND(Projects!$C$5&lt;=BX$4,BX$4&lt;=19),$F10,"")</f>
        <v/>
      </c>
      <c r="BY10" s="194" t="str">
        <f aca="false">IF(AND(Projects!$C$5&lt;=BY$4,BY$4&lt;=19),$F10,"")</f>
        <v/>
      </c>
      <c r="BZ10" s="194" t="str">
        <f aca="false">IF(AND(Projects!$C$5&lt;=BZ$4,BZ$4&lt;=19),$F10,"")</f>
        <v/>
      </c>
      <c r="CA10" s="194" t="str">
        <f aca="false">IF(AND(Projects!$C$5&lt;=CA$4,CA$4&lt;=19),$F10,"")</f>
        <v/>
      </c>
      <c r="CB10" s="194" t="str">
        <f aca="false">IF(AND(Projects!$C$5&lt;=CB$4,CB$4&lt;=19),$F10,"")</f>
        <v/>
      </c>
      <c r="CC10" s="194" t="str">
        <f aca="false">IF(AND(Projects!$C$5&lt;=CC$4,CC$4&lt;=19),$F10,"")</f>
        <v/>
      </c>
      <c r="CD10" s="194" t="str">
        <f aca="false">IF(AND(Projects!$C$5&lt;=CD$4,CD$4&lt;=19),$F10,"")</f>
        <v/>
      </c>
      <c r="CE10" s="194" t="str">
        <f aca="false">IF(AND(Projects!$C$5&lt;=CE$4,CE$4&lt;=19),$F10,"")</f>
        <v/>
      </c>
      <c r="CF10" s="194" t="str">
        <f aca="false">IF(AND(Projects!$C$5&lt;=CF$4,CF$4&lt;=19),$F10,"")</f>
        <v/>
      </c>
      <c r="CG10" s="194" t="str">
        <f aca="false">IF(AND(Projects!$C$5&lt;=CG$4,CG$4&lt;=19),$F10,"")</f>
        <v/>
      </c>
      <c r="CH10" s="194" t="str">
        <f aca="false">IF(AND(Projects!$C$5&lt;=CH$4,CH$4&lt;=19),$F10,"")</f>
        <v/>
      </c>
      <c r="CI10" s="194" t="str">
        <f aca="false">IF(AND(Projects!$C$5&lt;=CI$4,CI$4&lt;=19),$F10,"")</f>
        <v/>
      </c>
      <c r="CJ10" s="194" t="str">
        <f aca="false">IF(AND(Projects!$C$5&lt;=CJ$4,CJ$4&lt;=19),$F10,"")</f>
        <v/>
      </c>
      <c r="CK10" s="194" t="str">
        <f aca="false">IF(AND(Projects!$C$5&lt;=CK$4,CK$4&lt;=19),$F10,"")</f>
        <v/>
      </c>
      <c r="CL10" s="194" t="str">
        <f aca="false">IF(AND(Projects!$C$5&lt;=CL$4,CL$4&lt;=19),$F10,"")</f>
        <v/>
      </c>
      <c r="CM10" s="194" t="str">
        <f aca="false">IF(AND(Projects!$C$5&lt;=CM$4,CM$4&lt;=19),$F10,"")</f>
        <v/>
      </c>
      <c r="CN10" s="194" t="str">
        <f aca="false">IF(AND(Projects!$C$5&lt;=CN$4,CN$4&lt;=19),$F10,"")</f>
        <v/>
      </c>
      <c r="CO10" s="194" t="str">
        <f aca="false">IF(AND(Projects!$C$5&lt;=CO$4,CO$4&lt;=19),$F10,"")</f>
        <v/>
      </c>
      <c r="CP10" s="194" t="str">
        <f aca="false">IF(AND(Projects!$C$5&lt;=CP$4,CP$4&lt;=19),$F10,"")</f>
        <v/>
      </c>
      <c r="CQ10" s="194" t="str">
        <f aca="false">IF(AND(Projects!$C$5&lt;=CQ$4,CQ$4&lt;=19),$F10,"")</f>
        <v/>
      </c>
      <c r="CR10" s="194" t="str">
        <f aca="false">IF(AND(Projects!$C$5&lt;=CR$4,CR$4&lt;=19),$F10,"")</f>
        <v/>
      </c>
      <c r="CS10" s="194" t="str">
        <f aca="false">IF(AND(Projects!$C$5&lt;=CS$4,CS$4&lt;=19),$F10,"")</f>
        <v/>
      </c>
      <c r="CT10" s="194" t="str">
        <f aca="false">IF(AND(Projects!$C$5&lt;=CT$4,CT$4&lt;=19),$F10,"")</f>
        <v/>
      </c>
      <c r="CU10" s="194" t="str">
        <f aca="false">IF(AND(Projects!$C$5&lt;=CU$4,CU$4&lt;=19),$F10,"")</f>
        <v/>
      </c>
      <c r="CV10" s="194" t="str">
        <f aca="false">IF(AND(Projects!$C$5&lt;=CV$4,CV$4&lt;=19),$F10,"")</f>
        <v/>
      </c>
      <c r="CW10" s="194" t="str">
        <f aca="false">IF(AND(Projects!$C$5&lt;=CW$4,CW$4&lt;=19),$F10,"")</f>
        <v/>
      </c>
      <c r="CX10" s="194" t="str">
        <f aca="false">IF(AND(Projects!$C$5&lt;=CX$4,CX$4&lt;=19),$F10,"")</f>
        <v/>
      </c>
      <c r="CY10" s="194" t="str">
        <f aca="false">IF(AND(Projects!$C$5&lt;=CY$4,CY$4&lt;=19),$F10,"")</f>
        <v/>
      </c>
      <c r="CZ10" s="194" t="str">
        <f aca="false">IF(AND(Projects!$C$5&lt;=CZ$4,CZ$4&lt;=19),$F10,"")</f>
        <v/>
      </c>
      <c r="DA10" s="194" t="str">
        <f aca="false">IF(AND(Projects!$C$5&lt;=DA$4,DA$4&lt;=19),$F10,"")</f>
        <v/>
      </c>
      <c r="DB10" s="194" t="str">
        <f aca="false">IF(AND(Projects!$C$5&lt;=DB$4,DB$4&lt;=19),$F10,"")</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Projects!$B$6/E11</f>
        <v>241549.666666667</v>
      </c>
      <c r="G11" s="194" t="n">
        <f aca="false">IF(AND(Projects!$C$6&lt;=G$4,G$4&lt;=15),$F11,"")</f>
        <v>241549.666666667</v>
      </c>
      <c r="H11" s="194" t="n">
        <f aca="false">IF(AND(Projects!$C$6&lt;=H$4,H$4&lt;=15),$F11,"")</f>
        <v>241549.666666667</v>
      </c>
      <c r="I11" s="194" t="n">
        <f aca="false">IF(AND(Projects!$C$6&lt;=I$4,I$4&lt;=15),$F11,"")</f>
        <v>241549.666666667</v>
      </c>
      <c r="J11" s="194" t="n">
        <f aca="false">IF(AND(Projects!$C$6&lt;=J$4,J$4&lt;=15),$F11,"")</f>
        <v>241549.666666667</v>
      </c>
      <c r="K11" s="194" t="n">
        <f aca="false">IF(AND(Projects!$C$6&lt;=K$4,K$4&lt;=15),$F11,"")</f>
        <v>241549.666666667</v>
      </c>
      <c r="L11" s="194" t="n">
        <f aca="false">IF(AND(Projects!$C$6&lt;=L$4,L$4&lt;=15),$F11,"")</f>
        <v>241549.666666667</v>
      </c>
      <c r="M11" s="194" t="n">
        <f aca="false">IF(AND(Projects!$C$6&lt;=M$4,M$4&lt;=15),$F11,"")</f>
        <v>241549.666666667</v>
      </c>
      <c r="N11" s="194" t="n">
        <f aca="false">IF(AND(Projects!$C$6&lt;=N$4,N$4&lt;=15),$F11,"")</f>
        <v>241549.666666667</v>
      </c>
      <c r="O11" s="194" t="n">
        <f aca="false">IF(AND(Projects!$C$6&lt;=O$4,O$4&lt;=15),$F11,"")</f>
        <v>241549.666666667</v>
      </c>
      <c r="P11" s="194" t="n">
        <f aca="false">IF(AND(Projects!$C$6&lt;=P$4,P$4&lt;=15),$F11,"")</f>
        <v>241549.666666667</v>
      </c>
      <c r="Q11" s="194" t="n">
        <f aca="false">IF(AND(Projects!$C$6&lt;=Q$4,Q$4&lt;=15),$F11,"")</f>
        <v>241549.666666667</v>
      </c>
      <c r="R11" s="194" t="n">
        <f aca="false">IF(AND(Projects!$C$6&lt;=R$4,R$4&lt;=15),$F11,"")</f>
        <v>241549.666666667</v>
      </c>
      <c r="S11" s="194" t="n">
        <f aca="false">IF(AND(Projects!$C$6&lt;=S$4,S$4&lt;=15),$F11,"")</f>
        <v>241549.666666667</v>
      </c>
      <c r="T11" s="194" t="n">
        <f aca="false">IF(AND(Projects!$C$6&lt;=T$4,T$4&lt;=15),$F11,"")</f>
        <v>241549.666666667</v>
      </c>
      <c r="U11" s="194" t="n">
        <f aca="false">IF(AND(Projects!$C$6&lt;=U$4,U$4&lt;=15),$F11,"")</f>
        <v>241549.666666667</v>
      </c>
      <c r="V11" s="194" t="str">
        <f aca="false">IF(AND(Projects!$C$6&lt;=V$4,V$4&lt;=15),$F11,"")</f>
        <v/>
      </c>
      <c r="W11" s="194" t="str">
        <f aca="false">IF(AND(Projects!$C$6&lt;=W$4,W$4&lt;=15),$F11,"")</f>
        <v/>
      </c>
      <c r="X11" s="194" t="str">
        <f aca="false">IF(AND(Projects!$C$6&lt;=X$4,X$4&lt;=15),$F11,"")</f>
        <v/>
      </c>
      <c r="Y11" s="194" t="str">
        <f aca="false">IF(AND(Projects!$C$6&lt;=Y$4,Y$4&lt;=15),$F11,"")</f>
        <v/>
      </c>
      <c r="Z11" s="194" t="str">
        <f aca="false">IF(AND(Projects!$C$6&lt;=Z$4,Z$4&lt;=15),$F11,"")</f>
        <v/>
      </c>
      <c r="AA11" s="194" t="str">
        <f aca="false">IF(AND(Projects!$C$6&lt;=AA$4,AA$4&lt;=15),$F11,"")</f>
        <v/>
      </c>
      <c r="AB11" s="194" t="str">
        <f aca="false">IF(AND(Projects!$C$6&lt;=AB$4,AB$4&lt;=15),$F11,"")</f>
        <v/>
      </c>
      <c r="AC11" s="194" t="str">
        <f aca="false">IF(AND(Projects!$C$6&lt;=AC$4,AC$4&lt;=15),$F11,"")</f>
        <v/>
      </c>
      <c r="AD11" s="194" t="str">
        <f aca="false">IF(AND(Projects!$C$6&lt;=AD$4,AD$4&lt;=15),$F11,"")</f>
        <v/>
      </c>
      <c r="AE11" s="194" t="str">
        <f aca="false">IF(AND(Projects!$C$6&lt;=AE$4,AE$4&lt;=15),$F11,"")</f>
        <v/>
      </c>
      <c r="AF11" s="194" t="str">
        <f aca="false">IF(AND(Projects!$C$6&lt;=AF$4,AF$4&lt;=15),$F11,"")</f>
        <v/>
      </c>
      <c r="AG11" s="194" t="str">
        <f aca="false">IF(AND(Projects!$C$6&lt;=AG$4,AG$4&lt;=15),$F11,"")</f>
        <v/>
      </c>
      <c r="AH11" s="194" t="str">
        <f aca="false">IF(AND(Projects!$C$6&lt;=AH$4,AH$4&lt;=15),$F11,"")</f>
        <v/>
      </c>
      <c r="AI11" s="194" t="str">
        <f aca="false">IF(AND(Projects!$C$6&lt;=AI$4,AI$4&lt;=15),$F11,"")</f>
        <v/>
      </c>
      <c r="AJ11" s="194" t="str">
        <f aca="false">IF(AND(Projects!$C$6&lt;=AJ$4,AJ$4&lt;=15),$F11,"")</f>
        <v/>
      </c>
      <c r="AK11" s="194" t="str">
        <f aca="false">IF(AND(Projects!$C$6&lt;=AK$4,AK$4&lt;=15),$F11,"")</f>
        <v/>
      </c>
      <c r="AL11" s="194" t="str">
        <f aca="false">IF(AND(Projects!$C$6&lt;=AL$4,AL$4&lt;=15),$F11,"")</f>
        <v/>
      </c>
      <c r="AM11" s="194" t="str">
        <f aca="false">IF(AND(Projects!$C$6&lt;=AM$4,AM$4&lt;=15),$F11,"")</f>
        <v/>
      </c>
      <c r="AN11" s="194" t="str">
        <f aca="false">IF(AND(Projects!$C$6&lt;=AN$4,AN$4&lt;=15),$F11,"")</f>
        <v/>
      </c>
      <c r="AO11" s="194" t="str">
        <f aca="false">IF(AND(Projects!$C$6&lt;=AO$4,AO$4&lt;=15),$F11,"")</f>
        <v/>
      </c>
      <c r="AP11" s="194" t="str">
        <f aca="false">IF(AND(Projects!$C$6&lt;=AP$4,AP$4&lt;=15),$F11,"")</f>
        <v/>
      </c>
      <c r="AQ11" s="194" t="str">
        <f aca="false">IF(AND(Projects!$C$6&lt;=AQ$4,AQ$4&lt;=15),$F11,"")</f>
        <v/>
      </c>
      <c r="AR11" s="194" t="str">
        <f aca="false">IF(AND(Projects!$C$6&lt;=AR$4,AR$4&lt;=15),$F11,"")</f>
        <v/>
      </c>
      <c r="AS11" s="194" t="str">
        <f aca="false">IF(AND(Projects!$C$6&lt;=AS$4,AS$4&lt;=15),$F11,"")</f>
        <v/>
      </c>
      <c r="AT11" s="194" t="str">
        <f aca="false">IF(AND(Projects!$C$6&lt;=AT$4,AT$4&lt;=15),$F11,"")</f>
        <v/>
      </c>
      <c r="AU11" s="194" t="str">
        <f aca="false">IF(AND(Projects!$C$6&lt;=AU$4,AU$4&lt;=15),$F11,"")</f>
        <v/>
      </c>
      <c r="AV11" s="194" t="str">
        <f aca="false">IF(AND(Projects!$C$6&lt;=AV$4,AV$4&lt;=15),$F11,"")</f>
        <v/>
      </c>
      <c r="AW11" s="194" t="str">
        <f aca="false">IF(AND(Projects!$C$6&lt;=AW$4,AW$4&lt;=15),$F11,"")</f>
        <v/>
      </c>
      <c r="AX11" s="194" t="str">
        <f aca="false">IF(AND(Projects!$C$6&lt;=AX$4,AX$4&lt;=15),$F11,"")</f>
        <v/>
      </c>
      <c r="AY11" s="194" t="str">
        <f aca="false">IF(AND(Projects!$C$6&lt;=AY$4,AY$4&lt;=15),$F11,"")</f>
        <v/>
      </c>
      <c r="AZ11" s="194" t="str">
        <f aca="false">IF(AND(Projects!$C$6&lt;=AZ$4,AZ$4&lt;=15),$F11,"")</f>
        <v/>
      </c>
      <c r="BA11" s="194" t="str">
        <f aca="false">IF(AND(Projects!$C$6&lt;=BA$4,BA$4&lt;=15),$F11,"")</f>
        <v/>
      </c>
      <c r="BB11" s="194" t="str">
        <f aca="false">IF(AND(Projects!$C$6&lt;=BB$4,BB$4&lt;=15),$F11,"")</f>
        <v/>
      </c>
      <c r="BC11" s="194" t="str">
        <f aca="false">IF(AND(Projects!$C$6&lt;=BC$4,BC$4&lt;=15),$F11,"")</f>
        <v/>
      </c>
      <c r="BD11" s="194" t="str">
        <f aca="false">IF(AND(Projects!$C$6&lt;=BD$4,BD$4&lt;=15),$F11,"")</f>
        <v/>
      </c>
      <c r="BE11" s="194" t="str">
        <f aca="false">IF(AND(Projects!$C$6&lt;=BE$4,BE$4&lt;=15),$F11,"")</f>
        <v/>
      </c>
      <c r="BF11" s="194" t="str">
        <f aca="false">IF(AND(Projects!$C$6&lt;=BF$4,BF$4&lt;=15),$F11,"")</f>
        <v/>
      </c>
      <c r="BG11" s="194" t="str">
        <f aca="false">IF(AND(Projects!$C$6&lt;=BG$4,BG$4&lt;=15),$F11,"")</f>
        <v/>
      </c>
      <c r="BH11" s="194" t="str">
        <f aca="false">IF(AND(Projects!$C$6&lt;=BH$4,BH$4&lt;=15),$F11,"")</f>
        <v/>
      </c>
      <c r="BI11" s="194" t="str">
        <f aca="false">IF(AND(Projects!$C$6&lt;=BI$4,BI$4&lt;=15),$F11,"")</f>
        <v/>
      </c>
      <c r="BJ11" s="194" t="str">
        <f aca="false">IF(AND(Projects!$C$6&lt;=BJ$4,BJ$4&lt;=15),$F11,"")</f>
        <v/>
      </c>
      <c r="BK11" s="194" t="str">
        <f aca="false">IF(AND(Projects!$C$6&lt;=BK$4,BK$4&lt;=15),$F11,"")</f>
        <v/>
      </c>
      <c r="BL11" s="194" t="str">
        <f aca="false">IF(AND(Projects!$C$6&lt;=BL$4,BL$4&lt;=15),$F11,"")</f>
        <v/>
      </c>
      <c r="BM11" s="194" t="str">
        <f aca="false">IF(AND(Projects!$C$6&lt;=BM$4,BM$4&lt;=15),$F11,"")</f>
        <v/>
      </c>
      <c r="BN11" s="194" t="str">
        <f aca="false">IF(AND(Projects!$C$6&lt;=BN$4,BN$4&lt;=15),$F11,"")</f>
        <v/>
      </c>
      <c r="BO11" s="194" t="str">
        <f aca="false">IF(AND(Projects!$C$6&lt;=BO$4,BO$4&lt;=15),$F11,"")</f>
        <v/>
      </c>
      <c r="BP11" s="194" t="str">
        <f aca="false">IF(AND(Projects!$C$6&lt;=BP$4,BP$4&lt;=15),$F11,"")</f>
        <v/>
      </c>
      <c r="BQ11" s="194" t="str">
        <f aca="false">IF(AND(Projects!$C$6&lt;=BQ$4,BQ$4&lt;=15),$F11,"")</f>
        <v/>
      </c>
      <c r="BR11" s="194" t="str">
        <f aca="false">IF(AND(Projects!$C$6&lt;=BR$4,BR$4&lt;=15),$F11,"")</f>
        <v/>
      </c>
      <c r="BS11" s="194" t="str">
        <f aca="false">IF(AND(Projects!$C$6&lt;=BS$4,BS$4&lt;=15),$F11,"")</f>
        <v/>
      </c>
      <c r="BT11" s="194" t="str">
        <f aca="false">IF(AND(Projects!$C$6&lt;=BT$4,BT$4&lt;=15),$F11,"")</f>
        <v/>
      </c>
      <c r="BU11" s="194" t="str">
        <f aca="false">IF(AND(Projects!$C$6&lt;=BU$4,BU$4&lt;=15),$F11,"")</f>
        <v/>
      </c>
      <c r="BV11" s="194" t="str">
        <f aca="false">IF(AND(Projects!$C$6&lt;=BV$4,BV$4&lt;=15),$F11,"")</f>
        <v/>
      </c>
      <c r="BW11" s="194" t="str">
        <f aca="false">IF(AND(Projects!$C$6&lt;=BW$4,BW$4&lt;=15),$F11,"")</f>
        <v/>
      </c>
      <c r="BX11" s="194" t="str">
        <f aca="false">IF(AND(Projects!$C$6&lt;=BX$4,BX$4&lt;=15),$F11,"")</f>
        <v/>
      </c>
      <c r="BY11" s="194" t="str">
        <f aca="false">IF(AND(Projects!$C$6&lt;=BY$4,BY$4&lt;=15),$F11,"")</f>
        <v/>
      </c>
      <c r="BZ11" s="194" t="str">
        <f aca="false">IF(AND(Projects!$C$6&lt;=BZ$4,BZ$4&lt;=15),$F11,"")</f>
        <v/>
      </c>
      <c r="CA11" s="194" t="str">
        <f aca="false">IF(AND(Projects!$C$6&lt;=CA$4,CA$4&lt;=15),$F11,"")</f>
        <v/>
      </c>
      <c r="CB11" s="194" t="str">
        <f aca="false">IF(AND(Projects!$C$6&lt;=CB$4,CB$4&lt;=15),$F11,"")</f>
        <v/>
      </c>
      <c r="CC11" s="194" t="str">
        <f aca="false">IF(AND(Projects!$C$6&lt;=CC$4,CC$4&lt;=15),$F11,"")</f>
        <v/>
      </c>
      <c r="CD11" s="194" t="str">
        <f aca="false">IF(AND(Projects!$C$6&lt;=CD$4,CD$4&lt;=15),$F11,"")</f>
        <v/>
      </c>
      <c r="CE11" s="194" t="str">
        <f aca="false">IF(AND(Projects!$C$6&lt;=CE$4,CE$4&lt;=15),$F11,"")</f>
        <v/>
      </c>
      <c r="CF11" s="194" t="str">
        <f aca="false">IF(AND(Projects!$C$6&lt;=CF$4,CF$4&lt;=15),$F11,"")</f>
        <v/>
      </c>
      <c r="CG11" s="194" t="str">
        <f aca="false">IF(AND(Projects!$C$6&lt;=CG$4,CG$4&lt;=15),$F11,"")</f>
        <v/>
      </c>
      <c r="CH11" s="194" t="str">
        <f aca="false">IF(AND(Projects!$C$6&lt;=CH$4,CH$4&lt;=15),$F11,"")</f>
        <v/>
      </c>
      <c r="CI11" s="194" t="str">
        <f aca="false">IF(AND(Projects!$C$6&lt;=CI$4,CI$4&lt;=15),$F11,"")</f>
        <v/>
      </c>
      <c r="CJ11" s="194" t="str">
        <f aca="false">IF(AND(Projects!$C$6&lt;=CJ$4,CJ$4&lt;=15),$F11,"")</f>
        <v/>
      </c>
      <c r="CK11" s="194" t="str">
        <f aca="false">IF(AND(Projects!$C$6&lt;=CK$4,CK$4&lt;=15),$F11,"")</f>
        <v/>
      </c>
      <c r="CL11" s="194" t="str">
        <f aca="false">IF(AND(Projects!$C$6&lt;=CL$4,CL$4&lt;=15),$F11,"")</f>
        <v/>
      </c>
      <c r="CM11" s="194" t="str">
        <f aca="false">IF(AND(Projects!$C$6&lt;=CM$4,CM$4&lt;=15),$F11,"")</f>
        <v/>
      </c>
      <c r="CN11" s="194" t="str">
        <f aca="false">IF(AND(Projects!$C$6&lt;=CN$4,CN$4&lt;=15),$F11,"")</f>
        <v/>
      </c>
      <c r="CO11" s="194" t="str">
        <f aca="false">IF(AND(Projects!$C$6&lt;=CO$4,CO$4&lt;=15),$F11,"")</f>
        <v/>
      </c>
      <c r="CP11" s="194" t="str">
        <f aca="false">IF(AND(Projects!$C$6&lt;=CP$4,CP$4&lt;=15),$F11,"")</f>
        <v/>
      </c>
      <c r="CQ11" s="194" t="str">
        <f aca="false">IF(AND(Projects!$C$6&lt;=CQ$4,CQ$4&lt;=15),$F11,"")</f>
        <v/>
      </c>
      <c r="CR11" s="194" t="str">
        <f aca="false">IF(AND(Projects!$C$6&lt;=CR$4,CR$4&lt;=15),$F11,"")</f>
        <v/>
      </c>
      <c r="CS11" s="194" t="str">
        <f aca="false">IF(AND(Projects!$C$6&lt;=CS$4,CS$4&lt;=15),$F11,"")</f>
        <v/>
      </c>
      <c r="CT11" s="194" t="str">
        <f aca="false">IF(AND(Projects!$C$6&lt;=CT$4,CT$4&lt;=15),$F11,"")</f>
        <v/>
      </c>
      <c r="CU11" s="194" t="str">
        <f aca="false">IF(AND(Projects!$C$6&lt;=CU$4,CU$4&lt;=15),$F11,"")</f>
        <v/>
      </c>
      <c r="CV11" s="194" t="str">
        <f aca="false">IF(AND(Projects!$C$6&lt;=CV$4,CV$4&lt;=15),$F11,"")</f>
        <v/>
      </c>
      <c r="CW11" s="194" t="str">
        <f aca="false">IF(AND(Projects!$C$6&lt;=CW$4,CW$4&lt;=15),$F11,"")</f>
        <v/>
      </c>
      <c r="CX11" s="194" t="str">
        <f aca="false">IF(AND(Projects!$C$6&lt;=CX$4,CX$4&lt;=15),$F11,"")</f>
        <v/>
      </c>
      <c r="CY11" s="194" t="str">
        <f aca="false">IF(AND(Projects!$C$6&lt;=CY$4,CY$4&lt;=15),$F11,"")</f>
        <v/>
      </c>
      <c r="CZ11" s="194" t="str">
        <f aca="false">IF(AND(Projects!$C$6&lt;=CZ$4,CZ$4&lt;=15),$F11,"")</f>
        <v/>
      </c>
      <c r="DA11" s="194" t="str">
        <f aca="false">IF(AND(Projects!$C$6&lt;=DA$4,DA$4&lt;=15),$F11,"")</f>
        <v/>
      </c>
      <c r="DB11" s="194" t="str">
        <f aca="false">IF(AND(Projects!$C$6&lt;=DB$4,DB$4&lt;=15),$F11,"")</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Projects!$B$7/E12</f>
        <v>1337336.40625</v>
      </c>
      <c r="G12" s="194" t="str">
        <f aca="false">IF(AND(Projects!$C$7&lt;=G$4,G$4&lt;=36),$F12,"")</f>
        <v/>
      </c>
      <c r="H12" s="194" t="str">
        <f aca="false">IF(AND(Projects!$C$7&lt;=H$4,H$4&lt;=36),$F12,"")</f>
        <v/>
      </c>
      <c r="I12" s="194" t="str">
        <f aca="false">IF(AND(Projects!$C$7&lt;=I$4,I$4&lt;=36),$F12,"")</f>
        <v/>
      </c>
      <c r="J12" s="194" t="str">
        <f aca="false">IF(AND(Projects!$C$7&lt;=J$4,J$4&lt;=36),$F12,"")</f>
        <v/>
      </c>
      <c r="K12" s="194" t="n">
        <f aca="false">IF(AND(Projects!$C$7&lt;=K$4,K$4&lt;=36),$F12,"")</f>
        <v>1337336.40625</v>
      </c>
      <c r="L12" s="194" t="n">
        <f aca="false">IF(AND(Projects!$C$7&lt;=L$4,L$4&lt;=36),$F12,"")</f>
        <v>1337336.40625</v>
      </c>
      <c r="M12" s="194" t="n">
        <f aca="false">IF(AND(Projects!$C$7&lt;=M$4,M$4&lt;=36),$F12,"")</f>
        <v>1337336.40625</v>
      </c>
      <c r="N12" s="194" t="n">
        <f aca="false">IF(AND(Projects!$C$7&lt;=N$4,N$4&lt;=36),$F12,"")</f>
        <v>1337336.40625</v>
      </c>
      <c r="O12" s="194" t="n">
        <f aca="false">IF(AND(Projects!$C$7&lt;=O$4,O$4&lt;=36),$F12,"")</f>
        <v>1337336.40625</v>
      </c>
      <c r="P12" s="194" t="n">
        <f aca="false">IF(AND(Projects!$C$7&lt;=P$4,P$4&lt;=36),$F12,"")</f>
        <v>1337336.40625</v>
      </c>
      <c r="Q12" s="194" t="n">
        <f aca="false">IF(AND(Projects!$C$7&lt;=Q$4,Q$4&lt;=36),$F12,"")</f>
        <v>1337336.40625</v>
      </c>
      <c r="R12" s="194" t="n">
        <f aca="false">IF(AND(Projects!$C$7&lt;=R$4,R$4&lt;=36),$F12,"")</f>
        <v>1337336.40625</v>
      </c>
      <c r="S12" s="194" t="n">
        <f aca="false">IF(AND(Projects!$C$7&lt;=S$4,S$4&lt;=36),$F12,"")</f>
        <v>1337336.40625</v>
      </c>
      <c r="T12" s="194" t="n">
        <f aca="false">IF(AND(Projects!$C$7&lt;=T$4,T$4&lt;=36),$F12,"")</f>
        <v>1337336.40625</v>
      </c>
      <c r="U12" s="194" t="n">
        <f aca="false">IF(AND(Projects!$C$7&lt;=U$4,U$4&lt;=36),$F12,"")</f>
        <v>1337336.40625</v>
      </c>
      <c r="V12" s="194" t="n">
        <f aca="false">IF(AND(Projects!$C$7&lt;=V$4,V$4&lt;=36),$F12,"")</f>
        <v>1337336.40625</v>
      </c>
      <c r="W12" s="194" t="n">
        <f aca="false">IF(AND(Projects!$C$7&lt;=W$4,W$4&lt;=36),$F12,"")</f>
        <v>1337336.40625</v>
      </c>
      <c r="X12" s="194" t="n">
        <f aca="false">IF(AND(Projects!$C$7&lt;=X$4,X$4&lt;=36),$F12,"")</f>
        <v>1337336.40625</v>
      </c>
      <c r="Y12" s="194" t="n">
        <f aca="false">IF(AND(Projects!$C$7&lt;=Y$4,Y$4&lt;=36),$F12,"")</f>
        <v>1337336.40625</v>
      </c>
      <c r="Z12" s="194" t="n">
        <f aca="false">IF(AND(Projects!$C$7&lt;=Z$4,Z$4&lt;=36),$F12,"")</f>
        <v>1337336.40625</v>
      </c>
      <c r="AA12" s="194" t="n">
        <f aca="false">IF(AND(Projects!$C$7&lt;=AA$4,AA$4&lt;=36),$F12,"")</f>
        <v>1337336.40625</v>
      </c>
      <c r="AB12" s="194" t="n">
        <f aca="false">IF(AND(Projects!$C$7&lt;=AB$4,AB$4&lt;=36),$F12,"")</f>
        <v>1337336.40625</v>
      </c>
      <c r="AC12" s="194" t="n">
        <f aca="false">IF(AND(Projects!$C$7&lt;=AC$4,AC$4&lt;=36),$F12,"")</f>
        <v>1337336.40625</v>
      </c>
      <c r="AD12" s="194" t="n">
        <f aca="false">IF(AND(Projects!$C$7&lt;=AD$4,AD$4&lt;=36),$F12,"")</f>
        <v>1337336.40625</v>
      </c>
      <c r="AE12" s="194" t="n">
        <f aca="false">IF(AND(Projects!$C$7&lt;=AE$4,AE$4&lt;=36),$F12,"")</f>
        <v>1337336.40625</v>
      </c>
      <c r="AF12" s="194" t="n">
        <f aca="false">IF(AND(Projects!$C$7&lt;=AF$4,AF$4&lt;=36),$F12,"")</f>
        <v>1337336.40625</v>
      </c>
      <c r="AG12" s="194" t="n">
        <f aca="false">IF(AND(Projects!$C$7&lt;=AG$4,AG$4&lt;=36),$F12,"")</f>
        <v>1337336.40625</v>
      </c>
      <c r="AH12" s="194" t="n">
        <f aca="false">IF(AND(Projects!$C$7&lt;=AH$4,AH$4&lt;=36),$F12,"")</f>
        <v>1337336.40625</v>
      </c>
      <c r="AI12" s="194" t="n">
        <f aca="false">IF(AND(Projects!$C$7&lt;=AI$4,AI$4&lt;=36),$F12,"")</f>
        <v>1337336.40625</v>
      </c>
      <c r="AJ12" s="194" t="n">
        <f aca="false">IF(AND(Projects!$C$7&lt;=AJ$4,AJ$4&lt;=36),$F12,"")</f>
        <v>1337336.40625</v>
      </c>
      <c r="AK12" s="194" t="n">
        <f aca="false">IF(AND(Projects!$C$7&lt;=AK$4,AK$4&lt;=36),$F12,"")</f>
        <v>1337336.40625</v>
      </c>
      <c r="AL12" s="194" t="n">
        <f aca="false">IF(AND(Projects!$C$7&lt;=AL$4,AL$4&lt;=36),$F12,"")</f>
        <v>1337336.40625</v>
      </c>
      <c r="AM12" s="194" t="n">
        <f aca="false">IF(AND(Projects!$C$7&lt;=AM$4,AM$4&lt;=36),$F12,"")</f>
        <v>1337336.40625</v>
      </c>
      <c r="AN12" s="194" t="n">
        <f aca="false">IF(AND(Projects!$C$7&lt;=AN$4,AN$4&lt;=36),$F12,"")</f>
        <v>1337336.40625</v>
      </c>
      <c r="AO12" s="194" t="n">
        <f aca="false">IF(AND(Projects!$C$7&lt;=AO$4,AO$4&lt;=36),$F12,"")</f>
        <v>1337336.40625</v>
      </c>
      <c r="AP12" s="194" t="n">
        <f aca="false">IF(AND(Projects!$C$7&lt;=AP$4,AP$4&lt;=36),$F12,"")</f>
        <v>1337336.40625</v>
      </c>
      <c r="AQ12" s="194" t="str">
        <f aca="false">IF(AND(Projects!$C$7&lt;=AQ$4,AQ$4&lt;=36),$F12,"")</f>
        <v/>
      </c>
      <c r="AR12" s="194" t="str">
        <f aca="false">IF(AND(Projects!$C$7&lt;=AR$4,AR$4&lt;=36),$F12,"")</f>
        <v/>
      </c>
      <c r="AS12" s="194" t="str">
        <f aca="false">IF(AND(Projects!$C$7&lt;=AS$4,AS$4&lt;=36),$F12,"")</f>
        <v/>
      </c>
      <c r="AT12" s="194" t="str">
        <f aca="false">IF(AND(Projects!$C$7&lt;=AT$4,AT$4&lt;=36),$F12,"")</f>
        <v/>
      </c>
      <c r="AU12" s="194" t="str">
        <f aca="false">IF(AND(Projects!$C$7&lt;=AU$4,AU$4&lt;=36),$F12,"")</f>
        <v/>
      </c>
      <c r="AV12" s="194" t="str">
        <f aca="false">IF(AND(Projects!$C$7&lt;=AV$4,AV$4&lt;=36),$F12,"")</f>
        <v/>
      </c>
      <c r="AW12" s="194" t="str">
        <f aca="false">IF(AND(Projects!$C$7&lt;=AW$4,AW$4&lt;=36),$F12,"")</f>
        <v/>
      </c>
      <c r="AX12" s="194" t="str">
        <f aca="false">IF(AND(Projects!$C$7&lt;=AX$4,AX$4&lt;=36),$F12,"")</f>
        <v/>
      </c>
      <c r="AY12" s="194" t="str">
        <f aca="false">IF(AND(Projects!$C$7&lt;=AY$4,AY$4&lt;=36),$F12,"")</f>
        <v/>
      </c>
      <c r="AZ12" s="194" t="str">
        <f aca="false">IF(AND(Projects!$C$7&lt;=AZ$4,AZ$4&lt;=36),$F12,"")</f>
        <v/>
      </c>
      <c r="BA12" s="194" t="str">
        <f aca="false">IF(AND(Projects!$C$7&lt;=BA$4,BA$4&lt;=36),$F12,"")</f>
        <v/>
      </c>
      <c r="BB12" s="194" t="str">
        <f aca="false">IF(AND(Projects!$C$7&lt;=BB$4,BB$4&lt;=36),$F12,"")</f>
        <v/>
      </c>
      <c r="BC12" s="194" t="str">
        <f aca="false">IF(AND(Projects!$C$7&lt;=BC$4,BC$4&lt;=36),$F12,"")</f>
        <v/>
      </c>
      <c r="BD12" s="194" t="str">
        <f aca="false">IF(AND(Projects!$C$7&lt;=BD$4,BD$4&lt;=36),$F12,"")</f>
        <v/>
      </c>
      <c r="BE12" s="194" t="str">
        <f aca="false">IF(AND(Projects!$C$7&lt;=BE$4,BE$4&lt;=36),$F12,"")</f>
        <v/>
      </c>
      <c r="BF12" s="194" t="str">
        <f aca="false">IF(AND(Projects!$C$7&lt;=BF$4,BF$4&lt;=36),$F12,"")</f>
        <v/>
      </c>
      <c r="BG12" s="194" t="str">
        <f aca="false">IF(AND(Projects!$C$7&lt;=BG$4,BG$4&lt;=36),$F12,"")</f>
        <v/>
      </c>
      <c r="BH12" s="194" t="str">
        <f aca="false">IF(AND(Projects!$C$7&lt;=BH$4,BH$4&lt;=36),$F12,"")</f>
        <v/>
      </c>
      <c r="BI12" s="194" t="str">
        <f aca="false">IF(AND(Projects!$C$7&lt;=BI$4,BI$4&lt;=36),$F12,"")</f>
        <v/>
      </c>
      <c r="BJ12" s="194" t="str">
        <f aca="false">IF(AND(Projects!$C$7&lt;=BJ$4,BJ$4&lt;=36),$F12,"")</f>
        <v/>
      </c>
      <c r="BK12" s="194" t="str">
        <f aca="false">IF(AND(Projects!$C$7&lt;=BK$4,BK$4&lt;=36),$F12,"")</f>
        <v/>
      </c>
      <c r="BL12" s="194" t="str">
        <f aca="false">IF(AND(Projects!$C$7&lt;=BL$4,BL$4&lt;=36),$F12,"")</f>
        <v/>
      </c>
      <c r="BM12" s="194" t="str">
        <f aca="false">IF(AND(Projects!$C$7&lt;=BM$4,BM$4&lt;=36),$F12,"")</f>
        <v/>
      </c>
      <c r="BN12" s="194" t="str">
        <f aca="false">IF(AND(Projects!$C$7&lt;=BN$4,BN$4&lt;=36),$F12,"")</f>
        <v/>
      </c>
      <c r="BO12" s="194" t="str">
        <f aca="false">IF(AND(Projects!$C$7&lt;=BO$4,BO$4&lt;=36),$F12,"")</f>
        <v/>
      </c>
      <c r="BP12" s="194" t="str">
        <f aca="false">IF(AND(Projects!$C$7&lt;=BP$4,BP$4&lt;=36),$F12,"")</f>
        <v/>
      </c>
      <c r="BQ12" s="194" t="str">
        <f aca="false">IF(AND(Projects!$C$7&lt;=BQ$4,BQ$4&lt;=36),$F12,"")</f>
        <v/>
      </c>
      <c r="BR12" s="194" t="str">
        <f aca="false">IF(AND(Projects!$C$7&lt;=BR$4,BR$4&lt;=36),$F12,"")</f>
        <v/>
      </c>
      <c r="BS12" s="194" t="str">
        <f aca="false">IF(AND(Projects!$C$7&lt;=BS$4,BS$4&lt;=36),$F12,"")</f>
        <v/>
      </c>
      <c r="BT12" s="194" t="str">
        <f aca="false">IF(AND(Projects!$C$7&lt;=BT$4,BT$4&lt;=36),$F12,"")</f>
        <v/>
      </c>
      <c r="BU12" s="194" t="str">
        <f aca="false">IF(AND(Projects!$C$7&lt;=BU$4,BU$4&lt;=36),$F12,"")</f>
        <v/>
      </c>
      <c r="BV12" s="194" t="str">
        <f aca="false">IF(AND(Projects!$C$7&lt;=BV$4,BV$4&lt;=36),$F12,"")</f>
        <v/>
      </c>
      <c r="BW12" s="194" t="str">
        <f aca="false">IF(AND(Projects!$C$7&lt;=BW$4,BW$4&lt;=36),$F12,"")</f>
        <v/>
      </c>
      <c r="BX12" s="194" t="str">
        <f aca="false">IF(AND(Projects!$C$7&lt;=BX$4,BX$4&lt;=36),$F12,"")</f>
        <v/>
      </c>
      <c r="BY12" s="194" t="str">
        <f aca="false">IF(AND(Projects!$C$7&lt;=BY$4,BY$4&lt;=36),$F12,"")</f>
        <v/>
      </c>
      <c r="BZ12" s="194" t="str">
        <f aca="false">IF(AND(Projects!$C$7&lt;=BZ$4,BZ$4&lt;=36),$F12,"")</f>
        <v/>
      </c>
      <c r="CA12" s="194" t="str">
        <f aca="false">IF(AND(Projects!$C$7&lt;=CA$4,CA$4&lt;=36),$F12,"")</f>
        <v/>
      </c>
      <c r="CB12" s="194" t="str">
        <f aca="false">IF(AND(Projects!$C$7&lt;=CB$4,CB$4&lt;=36),$F12,"")</f>
        <v/>
      </c>
      <c r="CC12" s="194" t="str">
        <f aca="false">IF(AND(Projects!$C$7&lt;=CC$4,CC$4&lt;=36),$F12,"")</f>
        <v/>
      </c>
      <c r="CD12" s="194" t="str">
        <f aca="false">IF(AND(Projects!$C$7&lt;=CD$4,CD$4&lt;=36),$F12,"")</f>
        <v/>
      </c>
      <c r="CE12" s="194" t="str">
        <f aca="false">IF(AND(Projects!$C$7&lt;=CE$4,CE$4&lt;=36),$F12,"")</f>
        <v/>
      </c>
      <c r="CF12" s="194" t="str">
        <f aca="false">IF(AND(Projects!$C$7&lt;=CF$4,CF$4&lt;=36),$F12,"")</f>
        <v/>
      </c>
      <c r="CG12" s="194" t="str">
        <f aca="false">IF(AND(Projects!$C$7&lt;=CG$4,CG$4&lt;=36),$F12,"")</f>
        <v/>
      </c>
      <c r="CH12" s="194" t="str">
        <f aca="false">IF(AND(Projects!$C$7&lt;=CH$4,CH$4&lt;=36),$F12,"")</f>
        <v/>
      </c>
      <c r="CI12" s="194" t="str">
        <f aca="false">IF(AND(Projects!$C$7&lt;=CI$4,CI$4&lt;=36),$F12,"")</f>
        <v/>
      </c>
      <c r="CJ12" s="194" t="str">
        <f aca="false">IF(AND(Projects!$C$7&lt;=CJ$4,CJ$4&lt;=36),$F12,"")</f>
        <v/>
      </c>
      <c r="CK12" s="194" t="str">
        <f aca="false">IF(AND(Projects!$C$7&lt;=CK$4,CK$4&lt;=36),$F12,"")</f>
        <v/>
      </c>
      <c r="CL12" s="194" t="str">
        <f aca="false">IF(AND(Projects!$C$7&lt;=CL$4,CL$4&lt;=36),$F12,"")</f>
        <v/>
      </c>
      <c r="CM12" s="194" t="str">
        <f aca="false">IF(AND(Projects!$C$7&lt;=CM$4,CM$4&lt;=36),$F12,"")</f>
        <v/>
      </c>
      <c r="CN12" s="194" t="str">
        <f aca="false">IF(AND(Projects!$C$7&lt;=CN$4,CN$4&lt;=36),$F12,"")</f>
        <v/>
      </c>
      <c r="CO12" s="194" t="str">
        <f aca="false">IF(AND(Projects!$C$7&lt;=CO$4,CO$4&lt;=36),$F12,"")</f>
        <v/>
      </c>
      <c r="CP12" s="194" t="str">
        <f aca="false">IF(AND(Projects!$C$7&lt;=CP$4,CP$4&lt;=36),$F12,"")</f>
        <v/>
      </c>
      <c r="CQ12" s="194" t="str">
        <f aca="false">IF(AND(Projects!$C$7&lt;=CQ$4,CQ$4&lt;=36),$F12,"")</f>
        <v/>
      </c>
      <c r="CR12" s="194" t="str">
        <f aca="false">IF(AND(Projects!$C$7&lt;=CR$4,CR$4&lt;=36),$F12,"")</f>
        <v/>
      </c>
      <c r="CS12" s="194" t="str">
        <f aca="false">IF(AND(Projects!$C$7&lt;=CS$4,CS$4&lt;=36),$F12,"")</f>
        <v/>
      </c>
      <c r="CT12" s="194" t="str">
        <f aca="false">IF(AND(Projects!$C$7&lt;=CT$4,CT$4&lt;=36),$F12,"")</f>
        <v/>
      </c>
      <c r="CU12" s="194" t="str">
        <f aca="false">IF(AND(Projects!$C$7&lt;=CU$4,CU$4&lt;=36),$F12,"")</f>
        <v/>
      </c>
      <c r="CV12" s="194" t="str">
        <f aca="false">IF(AND(Projects!$C$7&lt;=CV$4,CV$4&lt;=36),$F12,"")</f>
        <v/>
      </c>
      <c r="CW12" s="194" t="str">
        <f aca="false">IF(AND(Projects!$C$7&lt;=CW$4,CW$4&lt;=36),$F12,"")</f>
        <v/>
      </c>
      <c r="CX12" s="194" t="str">
        <f aca="false">IF(AND(Projects!$C$7&lt;=CX$4,CX$4&lt;=36),$F12,"")</f>
        <v/>
      </c>
      <c r="CY12" s="194" t="str">
        <f aca="false">IF(AND(Projects!$C$7&lt;=CY$4,CY$4&lt;=36),$F12,"")</f>
        <v/>
      </c>
      <c r="CZ12" s="194" t="str">
        <f aca="false">IF(AND(Projects!$C$7&lt;=CZ$4,CZ$4&lt;=36),$F12,"")</f>
        <v/>
      </c>
      <c r="DA12" s="194" t="str">
        <f aca="false">IF(AND(Projects!$C$7&lt;=DA$4,DA$4&lt;=36),$F12,"")</f>
        <v/>
      </c>
      <c r="DB12" s="194" t="str">
        <f aca="false">IF(AND(Projects!$C$7&lt;=DB$4,DB$4&lt;=36),$F12,"")</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Projects!$B$8/Projects!$D$8</f>
        <v>683882.95</v>
      </c>
      <c r="G13" s="194" t="str">
        <f aca="false">IF(AND(Projects!$C$8&lt;=G$4,G$4&lt;=Projects!$C$8+Projects!$D$8-1),Projects!$B$8/Projects!$D$8,"")</f>
        <v/>
      </c>
      <c r="H13" s="194" t="str">
        <f aca="false">IF(AND(Projects!$C$8&lt;=H$4,H$4&lt;=Projects!$C$8+Projects!$D$8-1),Projects!$B$8/Projects!$D$8,"")</f>
        <v/>
      </c>
      <c r="I13" s="194" t="str">
        <f aca="false">IF(AND(Projects!$C$8&lt;=I$4,I$4&lt;=Projects!$C$8+Projects!$D$8-1),Projects!$B$8/Projects!$D$8,"")</f>
        <v/>
      </c>
      <c r="J13" s="194" t="str">
        <f aca="false">IF(AND(Projects!$C$8&lt;=J$4,J$4&lt;=Projects!$C$8+Projects!$D$8-1),Projects!$B$8/Projects!$D$8,"")</f>
        <v/>
      </c>
      <c r="K13" s="194" t="str">
        <f aca="false">IF(AND(Projects!$C$8&lt;=K$4,K$4&lt;=Projects!$C$8+Projects!$D$8-1),Projects!$B$8/Projects!$D$8,"")</f>
        <v/>
      </c>
      <c r="L13" s="194" t="n">
        <f aca="false">IF(AND(Projects!$C$8&lt;=L$4,L$4&lt;=Projects!$C$8+Projects!$D$8-1),Projects!$B$8/Projects!$D$8,"")</f>
        <v>683882.95</v>
      </c>
      <c r="M13" s="194" t="n">
        <f aca="false">IF(AND(Projects!$C$8&lt;=M$4,M$4&lt;=Projects!$C$8+Projects!$D$8-1),Projects!$B$8/Projects!$D$8,"")</f>
        <v>683882.95</v>
      </c>
      <c r="N13" s="194" t="n">
        <f aca="false">IF(AND(Projects!$C$8&lt;=N$4,N$4&lt;=Projects!$C$8+Projects!$D$8-1),Projects!$B$8/Projects!$D$8,"")</f>
        <v>683882.95</v>
      </c>
      <c r="O13" s="194" t="n">
        <f aca="false">IF(AND(Projects!$C$8&lt;=O$4,O$4&lt;=Projects!$C$8+Projects!$D$8-1),Projects!$B$8/Projects!$D$8,"")</f>
        <v>683882.95</v>
      </c>
      <c r="P13" s="194" t="n">
        <f aca="false">IF(AND(Projects!$C$8&lt;=P$4,P$4&lt;=Projects!$C$8+Projects!$D$8-1),Projects!$B$8/Projects!$D$8,"")</f>
        <v>683882.95</v>
      </c>
      <c r="Q13" s="194" t="n">
        <f aca="false">IF(AND(Projects!$C$8&lt;=Q$4,Q$4&lt;=Projects!$C$8+Projects!$D$8-1),Projects!$B$8/Projects!$D$8,"")</f>
        <v>683882.95</v>
      </c>
      <c r="R13" s="194" t="n">
        <f aca="false">IF(AND(Projects!$C$8&lt;=R$4,R$4&lt;=Projects!$C$8+Projects!$D$8-1),Projects!$B$8/Projects!$D$8,"")</f>
        <v>683882.95</v>
      </c>
      <c r="S13" s="194" t="n">
        <f aca="false">IF(AND(Projects!$C$8&lt;=S$4,S$4&lt;=Projects!$C$8+Projects!$D$8-1),Projects!$B$8/Projects!$D$8,"")</f>
        <v>683882.95</v>
      </c>
      <c r="T13" s="194" t="n">
        <f aca="false">IF(AND(Projects!$C$8&lt;=T$4,T$4&lt;=Projects!$C$8+Projects!$D$8-1),Projects!$B$8/Projects!$D$8,"")</f>
        <v>683882.95</v>
      </c>
      <c r="U13" s="194" t="n">
        <f aca="false">IF(AND(Projects!$C$8&lt;=U$4,U$4&lt;=Projects!$C$8+Projects!$D$8-1),Projects!$B$8/Projects!$D$8,"")</f>
        <v>683882.95</v>
      </c>
      <c r="V13" s="194" t="n">
        <f aca="false">IF(AND(Projects!$C$8&lt;=V$4,V$4&lt;=Projects!$C$8+Projects!$D$8-1),Projects!$B$8/Projects!$D$8,"")</f>
        <v>683882.95</v>
      </c>
      <c r="W13" s="194" t="n">
        <f aca="false">IF(AND(Projects!$C$8&lt;=W$4,W$4&lt;=Projects!$C$8+Projects!$D$8-1),Projects!$B$8/Projects!$D$8,"")</f>
        <v>683882.95</v>
      </c>
      <c r="X13" s="194" t="n">
        <f aca="false">IF(AND(Projects!$C$8&lt;=X$4,X$4&lt;=Projects!$C$8+Projects!$D$8-1),Projects!$B$8/Projects!$D$8,"")</f>
        <v>683882.95</v>
      </c>
      <c r="Y13" s="194" t="n">
        <f aca="false">IF(AND(Projects!$C$8&lt;=Y$4,Y$4&lt;=Projects!$C$8+Projects!$D$8-1),Projects!$B$8/Projects!$D$8,"")</f>
        <v>683882.95</v>
      </c>
      <c r="Z13" s="194" t="n">
        <f aca="false">IF(AND(Projects!$C$8&lt;=Z$4,Z$4&lt;=Projects!$C$8+Projects!$D$8-1),Projects!$B$8/Projects!$D$8,"")</f>
        <v>683882.95</v>
      </c>
      <c r="AA13" s="194" t="n">
        <f aca="false">IF(AND(Projects!$C$8&lt;=AA$4,AA$4&lt;=Projects!$C$8+Projects!$D$8-1),Projects!$B$8/Projects!$D$8,"")</f>
        <v>683882.95</v>
      </c>
      <c r="AB13" s="194" t="n">
        <f aca="false">IF(AND(Projects!$C$8&lt;=AB$4,AB$4&lt;=Projects!$C$8+Projects!$D$8-1),Projects!$B$8/Projects!$D$8,"")</f>
        <v>683882.95</v>
      </c>
      <c r="AC13" s="194" t="n">
        <f aca="false">IF(AND(Projects!$C$8&lt;=AC$4,AC$4&lt;=Projects!$C$8+Projects!$D$8-1),Projects!$B$8/Projects!$D$8,"")</f>
        <v>683882.95</v>
      </c>
      <c r="AD13" s="194" t="n">
        <f aca="false">IF(AND(Projects!$C$8&lt;=AD$4,AD$4&lt;=Projects!$C$8+Projects!$D$8-1),Projects!$B$8/Projects!$D$8,"")</f>
        <v>683882.95</v>
      </c>
      <c r="AE13" s="194" t="str">
        <f aca="false">IF(AND(Projects!$C$8&lt;=AE$4,AE$4&lt;=Projects!$C$8+Projects!$D$8-1),Projects!$B$8/Projects!$D$8,"")</f>
        <v/>
      </c>
      <c r="AF13" s="194" t="str">
        <f aca="false">IF(AND(Projects!$C$8&lt;=AF$4,AF$4&lt;=Projects!$C$8+Projects!$D$8-1),Projects!$B$8/Projects!$D$8,"")</f>
        <v/>
      </c>
      <c r="AG13" s="194" t="str">
        <f aca="false">IF(AND(Projects!$C$8&lt;=AG$4,AG$4&lt;=Projects!$C$8+Projects!$D$8-1),Projects!$B$8/Projects!$D$8,"")</f>
        <v/>
      </c>
      <c r="AH13" s="194" t="str">
        <f aca="false">IF(AND(Projects!$C$8&lt;=AH$4,AH$4&lt;=Projects!$C$8+Projects!$D$8-1),Projects!$B$8/Projects!$D$8,"")</f>
        <v/>
      </c>
      <c r="AI13" s="194" t="str">
        <f aca="false">IF(AND(Projects!$C$8&lt;=AI$4,AI$4&lt;=Projects!$C$8+Projects!$D$8-1),Projects!$B$8/Projects!$D$8,"")</f>
        <v/>
      </c>
      <c r="AJ13" s="194" t="str">
        <f aca="false">IF(AND(Projects!$C$8&lt;=AJ$4,AJ$4&lt;=Projects!$C$8+Projects!$D$8-1),Projects!$B$8/Projects!$D$8,"")</f>
        <v/>
      </c>
      <c r="AK13" s="194" t="str">
        <f aca="false">IF(AND(Projects!$C$8&lt;=AK$4,AK$4&lt;=Projects!$C$8+Projects!$D$8-1),Projects!$B$8/Projects!$D$8,"")</f>
        <v/>
      </c>
      <c r="AL13" s="194" t="str">
        <f aca="false">IF(AND(Projects!$C$8&lt;=AL$4,AL$4&lt;=Projects!$C$8+Projects!$D$8-1),Projects!$B$8/Projects!$D$8,"")</f>
        <v/>
      </c>
      <c r="AM13" s="194" t="str">
        <f aca="false">IF(AND(Projects!$C$8&lt;=AM$4,AM$4&lt;=Projects!$C$8+Projects!$D$8-1),Projects!$B$8/Projects!$D$8,"")</f>
        <v/>
      </c>
      <c r="AN13" s="194" t="str">
        <f aca="false">IF(AND(Projects!$C$8&lt;=AN$4,AN$4&lt;=Projects!$C$8+Projects!$D$8-1),Projects!$B$8/Projects!$D$8,"")</f>
        <v/>
      </c>
      <c r="AO13" s="194" t="str">
        <f aca="false">IF(AND(Projects!$C$8&lt;=AO$4,AO$4&lt;=Projects!$C$8+Projects!$D$8-1),Projects!$B$8/Projects!$D$8,"")</f>
        <v/>
      </c>
      <c r="AP13" s="194" t="str">
        <f aca="false">IF(AND(Projects!$C$8&lt;=AP$4,AP$4&lt;=Projects!$C$8+Projects!$D$8-1),Projects!$B$8/Projects!$D$8,"")</f>
        <v/>
      </c>
      <c r="AQ13" s="194" t="str">
        <f aca="false">IF(AND(Projects!$C$8&lt;=AQ$4,AQ$4&lt;=Projects!$C$8+Projects!$D$8-1),Projects!$B$8/Projects!$D$8,"")</f>
        <v/>
      </c>
      <c r="AR13" s="194" t="str">
        <f aca="false">IF(AND(Projects!$C$8&lt;=AR$4,AR$4&lt;=Projects!$C$8+Projects!$D$8-1),Projects!$B$8/Projects!$D$8,"")</f>
        <v/>
      </c>
      <c r="AS13" s="194" t="str">
        <f aca="false">IF(AND(Projects!$C$8&lt;=AS$4,AS$4&lt;=Projects!$C$8+Projects!$D$8-1),Projects!$B$8/Projects!$D$8,"")</f>
        <v/>
      </c>
      <c r="AT13" s="194" t="str">
        <f aca="false">IF(AND(Projects!$C$8&lt;=AT$4,AT$4&lt;=Projects!$C$8+Projects!$D$8-1),Projects!$B$8/Projects!$D$8,"")</f>
        <v/>
      </c>
      <c r="AU13" s="194" t="str">
        <f aca="false">IF(AND(Projects!$C$8&lt;=AU$4,AU$4&lt;=Projects!$C$8+Projects!$D$8-1),Projects!$B$8/Projects!$D$8,"")</f>
        <v/>
      </c>
      <c r="AV13" s="194" t="str">
        <f aca="false">IF(AND(Projects!$C$8&lt;=AV$4,AV$4&lt;=Projects!$C$8+Projects!$D$8-1),Projects!$B$8/Projects!$D$8,"")</f>
        <v/>
      </c>
      <c r="AW13" s="194" t="str">
        <f aca="false">IF(AND(Projects!$C$8&lt;=AW$4,AW$4&lt;=Projects!$C$8+Projects!$D$8-1),Projects!$B$8/Projects!$D$8,"")</f>
        <v/>
      </c>
      <c r="AX13" s="194" t="str">
        <f aca="false">IF(AND(Projects!$C$8&lt;=AX$4,AX$4&lt;=Projects!$C$8+Projects!$D$8-1),Projects!$B$8/Projects!$D$8,"")</f>
        <v/>
      </c>
      <c r="AY13" s="194" t="str">
        <f aca="false">IF(AND(Projects!$C$8&lt;=AY$4,AY$4&lt;=Projects!$C$8+Projects!$D$8-1),Projects!$B$8/Projects!$D$8,"")</f>
        <v/>
      </c>
      <c r="AZ13" s="194" t="str">
        <f aca="false">IF(AND(Projects!$C$8&lt;=AZ$4,AZ$4&lt;=Projects!$C$8+Projects!$D$8-1),Projects!$B$8/Projects!$D$8,"")</f>
        <v/>
      </c>
      <c r="BA13" s="194" t="str">
        <f aca="false">IF(AND(Projects!$C$8&lt;=BA$4,BA$4&lt;=Projects!$C$8+Projects!$D$8-1),Projects!$B$8/Projects!$D$8,"")</f>
        <v/>
      </c>
      <c r="BB13" s="194" t="str">
        <f aca="false">IF(AND(Projects!$C$8&lt;=BB$4,BB$4&lt;=Projects!$C$8+Projects!$D$8-1),Projects!$B$8/Projects!$D$8,"")</f>
        <v/>
      </c>
      <c r="BC13" s="194" t="str">
        <f aca="false">IF(AND(Projects!$C$8&lt;=BC$4,BC$4&lt;=Projects!$C$8+Projects!$D$8-1),Projects!$B$8/Projects!$D$8,"")</f>
        <v/>
      </c>
      <c r="BD13" s="194" t="str">
        <f aca="false">IF(AND(Projects!$C$8&lt;=BD$4,BD$4&lt;=Projects!$C$8+Projects!$D$8-1),Projects!$B$8/Projects!$D$8,"")</f>
        <v/>
      </c>
      <c r="BE13" s="194" t="str">
        <f aca="false">IF(AND(Projects!$C$8&lt;=BE$4,BE$4&lt;=Projects!$C$8+Projects!$D$8-1),Projects!$B$8/Projects!$D$8,"")</f>
        <v/>
      </c>
      <c r="BF13" s="194" t="str">
        <f aca="false">IF(AND(Projects!$C$8&lt;=BF$4,BF$4&lt;=Projects!$C$8+Projects!$D$8-1),Projects!$B$8/Projects!$D$8,"")</f>
        <v/>
      </c>
      <c r="BG13" s="194" t="str">
        <f aca="false">IF(AND(Projects!$C$8&lt;=BG$4,BG$4&lt;=Projects!$C$8+Projects!$D$8-1),Projects!$B$8/Projects!$D$8,"")</f>
        <v/>
      </c>
      <c r="BH13" s="194" t="str">
        <f aca="false">IF(AND(Projects!$C$8&lt;=BH$4,BH$4&lt;=Projects!$C$8+Projects!$D$8-1),Projects!$B$8/Projects!$D$8,"")</f>
        <v/>
      </c>
      <c r="BI13" s="194" t="str">
        <f aca="false">IF(AND(Projects!$C$8&lt;=BI$4,BI$4&lt;=Projects!$C$8+Projects!$D$8-1),Projects!$B$8/Projects!$D$8,"")</f>
        <v/>
      </c>
      <c r="BJ13" s="194" t="str">
        <f aca="false">IF(AND(Projects!$C$8&lt;=BJ$4,BJ$4&lt;=Projects!$C$8+Projects!$D$8-1),Projects!$B$8/Projects!$D$8,"")</f>
        <v/>
      </c>
      <c r="BK13" s="194" t="str">
        <f aca="false">IF(AND(Projects!$C$8&lt;=BK$4,BK$4&lt;=Projects!$C$8+Projects!$D$8-1),Projects!$B$8/Projects!$D$8,"")</f>
        <v/>
      </c>
      <c r="BL13" s="194" t="str">
        <f aca="false">IF(AND(Projects!$C$8&lt;=BL$4,BL$4&lt;=Projects!$C$8+Projects!$D$8-1),Projects!$B$8/Projects!$D$8,"")</f>
        <v/>
      </c>
      <c r="BM13" s="194" t="str">
        <f aca="false">IF(AND(Projects!$C$8&lt;=BM$4,BM$4&lt;=Projects!$C$8+Projects!$D$8-1),Projects!$B$8/Projects!$D$8,"")</f>
        <v/>
      </c>
      <c r="BN13" s="194" t="str">
        <f aca="false">IF(AND(Projects!$C$8&lt;=BN$4,BN$4&lt;=Projects!$C$8+Projects!$D$8-1),Projects!$B$8/Projects!$D$8,"")</f>
        <v/>
      </c>
      <c r="BO13" s="194" t="str">
        <f aca="false">IF(AND(Projects!$C$8&lt;=BO$4,BO$4&lt;=Projects!$C$8+Projects!$D$8-1),Projects!$B$8/Projects!$D$8,"")</f>
        <v/>
      </c>
      <c r="BP13" s="194" t="str">
        <f aca="false">IF(AND(Projects!$C$8&lt;=BP$4,BP$4&lt;=Projects!$C$8+Projects!$D$8-1),Projects!$B$8/Projects!$D$8,"")</f>
        <v/>
      </c>
      <c r="BQ13" s="194" t="str">
        <f aca="false">IF(AND(Projects!$C$8&lt;=BQ$4,BQ$4&lt;=Projects!$C$8+Projects!$D$8-1),Projects!$B$8/Projects!$D$8,"")</f>
        <v/>
      </c>
      <c r="BR13" s="194" t="str">
        <f aca="false">IF(AND(Projects!$C$8&lt;=BR$4,BR$4&lt;=Projects!$C$8+Projects!$D$8-1),Projects!$B$8/Projects!$D$8,"")</f>
        <v/>
      </c>
      <c r="BS13" s="194" t="str">
        <f aca="false">IF(AND(Projects!$C$8&lt;=BS$4,BS$4&lt;=Projects!$C$8+Projects!$D$8-1),Projects!$B$8/Projects!$D$8,"")</f>
        <v/>
      </c>
      <c r="BT13" s="194" t="str">
        <f aca="false">IF(AND(Projects!$C$8&lt;=BT$4,BT$4&lt;=Projects!$C$8+Projects!$D$8-1),Projects!$B$8/Projects!$D$8,"")</f>
        <v/>
      </c>
      <c r="BU13" s="194" t="str">
        <f aca="false">IF(AND(Projects!$C$8&lt;=BU$4,BU$4&lt;=Projects!$C$8+Projects!$D$8-1),Projects!$B$8/Projects!$D$8,"")</f>
        <v/>
      </c>
      <c r="BV13" s="194" t="str">
        <f aca="false">IF(AND(Projects!$C$8&lt;=BV$4,BV$4&lt;=Projects!$C$8+Projects!$D$8-1),Projects!$B$8/Projects!$D$8,"")</f>
        <v/>
      </c>
      <c r="BW13" s="194" t="str">
        <f aca="false">IF(AND(Projects!$C$8&lt;=BW$4,BW$4&lt;=Projects!$C$8+Projects!$D$8-1),Projects!$B$8/Projects!$D$8,"")</f>
        <v/>
      </c>
      <c r="BX13" s="194" t="str">
        <f aca="false">IF(AND(Projects!$C$8&lt;=BX$4,BX$4&lt;=Projects!$C$8+Projects!$D$8-1),Projects!$B$8/Projects!$D$8,"")</f>
        <v/>
      </c>
      <c r="BY13" s="194" t="str">
        <f aca="false">IF(AND(Projects!$C$8&lt;=BY$4,BY$4&lt;=Projects!$C$8+Projects!$D$8-1),Projects!$B$8/Projects!$D$8,"")</f>
        <v/>
      </c>
      <c r="BZ13" s="194" t="str">
        <f aca="false">IF(AND(Projects!$C$8&lt;=BZ$4,BZ$4&lt;=Projects!$C$8+Projects!$D$8-1),Projects!$B$8/Projects!$D$8,"")</f>
        <v/>
      </c>
      <c r="CA13" s="194" t="str">
        <f aca="false">IF(AND(Projects!$C$8&lt;=CA$4,CA$4&lt;=Projects!$C$8+Projects!$D$8-1),Projects!$B$8/Projects!$D$8,"")</f>
        <v/>
      </c>
      <c r="CB13" s="194" t="str">
        <f aca="false">IF(AND(Projects!$C$8&lt;=CB$4,CB$4&lt;=Projects!$C$8+Projects!$D$8-1),Projects!$B$8/Projects!$D$8,"")</f>
        <v/>
      </c>
      <c r="CC13" s="194" t="str">
        <f aca="false">IF(AND(Projects!$C$8&lt;=CC$4,CC$4&lt;=Projects!$C$8+Projects!$D$8-1),Projects!$B$8/Projects!$D$8,"")</f>
        <v/>
      </c>
      <c r="CD13" s="194" t="str">
        <f aca="false">IF(AND(Projects!$C$8&lt;=CD$4,CD$4&lt;=Projects!$C$8+Projects!$D$8-1),Projects!$B$8/Projects!$D$8,"")</f>
        <v/>
      </c>
      <c r="CE13" s="194" t="str">
        <f aca="false">IF(AND(Projects!$C$8&lt;=CE$4,CE$4&lt;=Projects!$C$8+Projects!$D$8-1),Projects!$B$8/Projects!$D$8,"")</f>
        <v/>
      </c>
      <c r="CF13" s="194" t="str">
        <f aca="false">IF(AND(Projects!$C$8&lt;=CF$4,CF$4&lt;=Projects!$C$8+Projects!$D$8-1),Projects!$B$8/Projects!$D$8,"")</f>
        <v/>
      </c>
      <c r="CG13" s="194" t="str">
        <f aca="false">IF(AND(Projects!$C$8&lt;=CG$4,CG$4&lt;=Projects!$C$8+Projects!$D$8-1),Projects!$B$8/Projects!$D$8,"")</f>
        <v/>
      </c>
      <c r="CH13" s="194" t="str">
        <f aca="false">IF(AND(Projects!$C$8&lt;=CH$4,CH$4&lt;=Projects!$C$8+Projects!$D$8-1),Projects!$B$8/Projects!$D$8,"")</f>
        <v/>
      </c>
      <c r="CI13" s="194" t="str">
        <f aca="false">IF(AND(Projects!$C$8&lt;=CI$4,CI$4&lt;=Projects!$C$8+Projects!$D$8-1),Projects!$B$8/Projects!$D$8,"")</f>
        <v/>
      </c>
      <c r="CJ13" s="194" t="str">
        <f aca="false">IF(AND(Projects!$C$8&lt;=CJ$4,CJ$4&lt;=Projects!$C$8+Projects!$D$8-1),Projects!$B$8/Projects!$D$8,"")</f>
        <v/>
      </c>
      <c r="CK13" s="194" t="str">
        <f aca="false">IF(AND(Projects!$C$8&lt;=CK$4,CK$4&lt;=Projects!$C$8+Projects!$D$8-1),Projects!$B$8/Projects!$D$8,"")</f>
        <v/>
      </c>
      <c r="CL13" s="194" t="str">
        <f aca="false">IF(AND(Projects!$C$8&lt;=CL$4,CL$4&lt;=Projects!$C$8+Projects!$D$8-1),Projects!$B$8/Projects!$D$8,"")</f>
        <v/>
      </c>
      <c r="CM13" s="194" t="str">
        <f aca="false">IF(AND(Projects!$C$8&lt;=CM$4,CM$4&lt;=Projects!$C$8+Projects!$D$8-1),Projects!$B$8/Projects!$D$8,"")</f>
        <v/>
      </c>
      <c r="CN13" s="194" t="str">
        <f aca="false">IF(AND(Projects!$C$8&lt;=CN$4,CN$4&lt;=Projects!$C$8+Projects!$D$8-1),Projects!$B$8/Projects!$D$8,"")</f>
        <v/>
      </c>
      <c r="CO13" s="194" t="str">
        <f aca="false">IF(AND(Projects!$C$8&lt;=CO$4,CO$4&lt;=Projects!$C$8+Projects!$D$8-1),Projects!$B$8/Projects!$D$8,"")</f>
        <v/>
      </c>
      <c r="CP13" s="194" t="str">
        <f aca="false">IF(AND(Projects!$C$8&lt;=CP$4,CP$4&lt;=Projects!$C$8+Projects!$D$8-1),Projects!$B$8/Projects!$D$8,"")</f>
        <v/>
      </c>
      <c r="CQ13" s="194" t="str">
        <f aca="false">IF(AND(Projects!$C$8&lt;=CQ$4,CQ$4&lt;=Projects!$C$8+Projects!$D$8-1),Projects!$B$8/Projects!$D$8,"")</f>
        <v/>
      </c>
      <c r="CR13" s="194" t="str">
        <f aca="false">IF(AND(Projects!$C$8&lt;=CR$4,CR$4&lt;=Projects!$C$8+Projects!$D$8-1),Projects!$B$8/Projects!$D$8,"")</f>
        <v/>
      </c>
      <c r="CS13" s="194" t="str">
        <f aca="false">IF(AND(Projects!$C$8&lt;=CS$4,CS$4&lt;=Projects!$C$8+Projects!$D$8-1),Projects!$B$8/Projects!$D$8,"")</f>
        <v/>
      </c>
      <c r="CT13" s="194" t="str">
        <f aca="false">IF(AND(Projects!$C$8&lt;=CT$4,CT$4&lt;=Projects!$C$8+Projects!$D$8-1),Projects!$B$8/Projects!$D$8,"")</f>
        <v/>
      </c>
      <c r="CU13" s="194" t="str">
        <f aca="false">IF(AND(Projects!$C$8&lt;=CU$4,CU$4&lt;=Projects!$C$8+Projects!$D$8-1),Projects!$B$8/Projects!$D$8,"")</f>
        <v/>
      </c>
      <c r="CV13" s="194" t="str">
        <f aca="false">IF(AND(Projects!$C$8&lt;=CV$4,CV$4&lt;=Projects!$C$8+Projects!$D$8-1),Projects!$B$8/Projects!$D$8,"")</f>
        <v/>
      </c>
      <c r="CW13" s="194" t="str">
        <f aca="false">IF(AND(Projects!$C$8&lt;=CW$4,CW$4&lt;=Projects!$C$8+Projects!$D$8-1),Projects!$B$8/Projects!$D$8,"")</f>
        <v/>
      </c>
      <c r="CX13" s="194" t="str">
        <f aca="false">IF(AND(Projects!$C$8&lt;=CX$4,CX$4&lt;=Projects!$C$8+Projects!$D$8-1),Projects!$B$8/Projects!$D$8,"")</f>
        <v/>
      </c>
      <c r="CY13" s="194" t="str">
        <f aca="false">IF(AND(Projects!$C$8&lt;=CY$4,CY$4&lt;=Projects!$C$8+Projects!$D$8-1),Projects!$B$8/Projects!$D$8,"")</f>
        <v/>
      </c>
      <c r="CZ13" s="194" t="str">
        <f aca="false">IF(AND(Projects!$C$8&lt;=CZ$4,CZ$4&lt;=Projects!$C$8+Projects!$D$8-1),Projects!$B$8/Projects!$D$8,"")</f>
        <v/>
      </c>
      <c r="DA13" s="194" t="str">
        <f aca="false">IF(AND(Projects!$C$8&lt;=DA$4,DA$4&lt;=Projects!$C$8+Projects!$D$8-1),Projects!$B$8/Projects!$D$8,"")</f>
        <v/>
      </c>
      <c r="DB13" s="194" t="str">
        <f aca="false">IF(AND(Projects!$C$8&lt;=DB$4,DB$4&lt;=Projects!$C$8+Projects!$D$8-1),Projects!$B$8/Projects!$D$8,"")</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Projects!$B$9/Projects!$D$9</f>
        <v>754579.515789474</v>
      </c>
      <c r="G14" s="194" t="str">
        <f aca="false">IF(AND(Projects!$C$9&lt;=G$4,G$4&lt;=Projects!$C$9+Projects!$D$9-1),Projects!$B$9/Projects!$D$9,"")</f>
        <v/>
      </c>
      <c r="H14" s="194" t="str">
        <f aca="false">IF(AND(Projects!$C$9&lt;=H$4,H$4&lt;=Projects!$C$9+Projects!$D$9-1),Projects!$B$9/Projects!$D$9,"")</f>
        <v/>
      </c>
      <c r="I14" s="194" t="str">
        <f aca="false">IF(AND(Projects!$C$9&lt;=I$4,I$4&lt;=Projects!$C$9+Projects!$D$9-1),Projects!$B$9/Projects!$D$9,"")</f>
        <v/>
      </c>
      <c r="J14" s="194" t="str">
        <f aca="false">IF(AND(Projects!$C$9&lt;=J$4,J$4&lt;=Projects!$C$9+Projects!$D$9-1),Projects!$B$9/Projects!$D$9,"")</f>
        <v/>
      </c>
      <c r="K14" s="194" t="n">
        <f aca="false">IF(AND(Projects!$C$9&lt;=K$4,K$4&lt;=Projects!$C$9+Projects!$D$9-1),Projects!$B$9/Projects!$D$9,"")</f>
        <v>754579.515789474</v>
      </c>
      <c r="L14" s="194" t="n">
        <f aca="false">IF(AND(Projects!$C$9&lt;=L$4,L$4&lt;=Projects!$C$9+Projects!$D$9-1),Projects!$B$9/Projects!$D$9,"")</f>
        <v>754579.515789474</v>
      </c>
      <c r="M14" s="194" t="n">
        <f aca="false">IF(AND(Projects!$C$9&lt;=M$4,M$4&lt;=Projects!$C$9+Projects!$D$9-1),Projects!$B$9/Projects!$D$9,"")</f>
        <v>754579.515789474</v>
      </c>
      <c r="N14" s="194" t="n">
        <f aca="false">IF(AND(Projects!$C$9&lt;=N$4,N$4&lt;=Projects!$C$9+Projects!$D$9-1),Projects!$B$9/Projects!$D$9,"")</f>
        <v>754579.515789474</v>
      </c>
      <c r="O14" s="194" t="n">
        <f aca="false">IF(AND(Projects!$C$9&lt;=O$4,O$4&lt;=Projects!$C$9+Projects!$D$9-1),Projects!$B$9/Projects!$D$9,"")</f>
        <v>754579.515789474</v>
      </c>
      <c r="P14" s="194" t="n">
        <f aca="false">IF(AND(Projects!$C$9&lt;=P$4,P$4&lt;=Projects!$C$9+Projects!$D$9-1),Projects!$B$9/Projects!$D$9,"")</f>
        <v>754579.515789474</v>
      </c>
      <c r="Q14" s="194" t="n">
        <f aca="false">IF(AND(Projects!$C$9&lt;=Q$4,Q$4&lt;=Projects!$C$9+Projects!$D$9-1),Projects!$B$9/Projects!$D$9,"")</f>
        <v>754579.515789474</v>
      </c>
      <c r="R14" s="194" t="n">
        <f aca="false">IF(AND(Projects!$C$9&lt;=R$4,R$4&lt;=Projects!$C$9+Projects!$D$9-1),Projects!$B$9/Projects!$D$9,"")</f>
        <v>754579.515789474</v>
      </c>
      <c r="S14" s="194" t="n">
        <f aca="false">IF(AND(Projects!$C$9&lt;=S$4,S$4&lt;=Projects!$C$9+Projects!$D$9-1),Projects!$B$9/Projects!$D$9,"")</f>
        <v>754579.515789474</v>
      </c>
      <c r="T14" s="194" t="n">
        <f aca="false">IF(AND(Projects!$C$9&lt;=T$4,T$4&lt;=Projects!$C$9+Projects!$D$9-1),Projects!$B$9/Projects!$D$9,"")</f>
        <v>754579.515789474</v>
      </c>
      <c r="U14" s="194" t="n">
        <f aca="false">IF(AND(Projects!$C$9&lt;=U$4,U$4&lt;=Projects!$C$9+Projects!$D$9-1),Projects!$B$9/Projects!$D$9,"")</f>
        <v>754579.515789474</v>
      </c>
      <c r="V14" s="194" t="n">
        <f aca="false">IF(AND(Projects!$C$9&lt;=V$4,V$4&lt;=Projects!$C$9+Projects!$D$9-1),Projects!$B$9/Projects!$D$9,"")</f>
        <v>754579.515789474</v>
      </c>
      <c r="W14" s="194" t="n">
        <f aca="false">IF(AND(Projects!$C$9&lt;=W$4,W$4&lt;=Projects!$C$9+Projects!$D$9-1),Projects!$B$9/Projects!$D$9,"")</f>
        <v>754579.515789474</v>
      </c>
      <c r="X14" s="194" t="n">
        <f aca="false">IF(AND(Projects!$C$9&lt;=X$4,X$4&lt;=Projects!$C$9+Projects!$D$9-1),Projects!$B$9/Projects!$D$9,"")</f>
        <v>754579.515789474</v>
      </c>
      <c r="Y14" s="194" t="n">
        <f aca="false">IF(AND(Projects!$C$9&lt;=Y$4,Y$4&lt;=Projects!$C$9+Projects!$D$9-1),Projects!$B$9/Projects!$D$9,"")</f>
        <v>754579.515789474</v>
      </c>
      <c r="Z14" s="194" t="n">
        <f aca="false">IF(AND(Projects!$C$9&lt;=Z$4,Z$4&lt;=Projects!$C$9+Projects!$D$9-1),Projects!$B$9/Projects!$D$9,"")</f>
        <v>754579.515789474</v>
      </c>
      <c r="AA14" s="194" t="n">
        <f aca="false">IF(AND(Projects!$C$9&lt;=AA$4,AA$4&lt;=Projects!$C$9+Projects!$D$9-1),Projects!$B$9/Projects!$D$9,"")</f>
        <v>754579.515789474</v>
      </c>
      <c r="AB14" s="194" t="n">
        <f aca="false">IF(AND(Projects!$C$9&lt;=AB$4,AB$4&lt;=Projects!$C$9+Projects!$D$9-1),Projects!$B$9/Projects!$D$9,"")</f>
        <v>754579.515789474</v>
      </c>
      <c r="AC14" s="194" t="n">
        <f aca="false">IF(AND(Projects!$C$9&lt;=AC$4,AC$4&lt;=Projects!$C$9+Projects!$D$9-1),Projects!$B$9/Projects!$D$9,"")</f>
        <v>754579.515789474</v>
      </c>
      <c r="AD14" s="194" t="str">
        <f aca="false">IF(AND(Projects!$C$9&lt;=AD$4,AD$4&lt;=Projects!$C$9+Projects!$D$9-1),Projects!$B$9/Projects!$D$9,"")</f>
        <v/>
      </c>
      <c r="AE14" s="194" t="str">
        <f aca="false">IF(AND(Projects!$C$9&lt;=AE$4,AE$4&lt;=Projects!$C$9+Projects!$D$9-1),Projects!$B$9/Projects!$D$9,"")</f>
        <v/>
      </c>
      <c r="AF14" s="194" t="str">
        <f aca="false">IF(AND(Projects!$C$9&lt;=AF$4,AF$4&lt;=Projects!$C$9+Projects!$D$9-1),Projects!$B$9/Projects!$D$9,"")</f>
        <v/>
      </c>
      <c r="AG14" s="194" t="str">
        <f aca="false">IF(AND(Projects!$C$9&lt;=AG$4,AG$4&lt;=Projects!$C$9+Projects!$D$9-1),Projects!$B$9/Projects!$D$9,"")</f>
        <v/>
      </c>
      <c r="AH14" s="194" t="str">
        <f aca="false">IF(AND(Projects!$C$9&lt;=AH$4,AH$4&lt;=Projects!$C$9+Projects!$D$9-1),Projects!$B$9/Projects!$D$9,"")</f>
        <v/>
      </c>
      <c r="AI14" s="194" t="str">
        <f aca="false">IF(AND(Projects!$C$9&lt;=AI$4,AI$4&lt;=Projects!$C$9+Projects!$D$9-1),Projects!$B$9/Projects!$D$9,"")</f>
        <v/>
      </c>
      <c r="AJ14" s="194" t="str">
        <f aca="false">IF(AND(Projects!$C$9&lt;=AJ$4,AJ$4&lt;=Projects!$C$9+Projects!$D$9-1),Projects!$B$9/Projects!$D$9,"")</f>
        <v/>
      </c>
      <c r="AK14" s="194" t="str">
        <f aca="false">IF(AND(Projects!$C$9&lt;=AK$4,AK$4&lt;=Projects!$C$9+Projects!$D$9-1),Projects!$B$9/Projects!$D$9,"")</f>
        <v/>
      </c>
      <c r="AL14" s="194" t="str">
        <f aca="false">IF(AND(Projects!$C$9&lt;=AL$4,AL$4&lt;=Projects!$C$9+Projects!$D$9-1),Projects!$B$9/Projects!$D$9,"")</f>
        <v/>
      </c>
      <c r="AM14" s="194" t="str">
        <f aca="false">IF(AND(Projects!$C$9&lt;=AM$4,AM$4&lt;=Projects!$C$9+Projects!$D$9-1),Projects!$B$9/Projects!$D$9,"")</f>
        <v/>
      </c>
      <c r="AN14" s="194" t="str">
        <f aca="false">IF(AND(Projects!$C$9&lt;=AN$4,AN$4&lt;=Projects!$C$9+Projects!$D$9-1),Projects!$B$9/Projects!$D$9,"")</f>
        <v/>
      </c>
      <c r="AO14" s="194" t="str">
        <f aca="false">IF(AND(Projects!$C$9&lt;=AO$4,AO$4&lt;=Projects!$C$9+Projects!$D$9-1),Projects!$B$9/Projects!$D$9,"")</f>
        <v/>
      </c>
      <c r="AP14" s="194" t="str">
        <f aca="false">IF(AND(Projects!$C$9&lt;=AP$4,AP$4&lt;=Projects!$C$9+Projects!$D$9-1),Projects!$B$9/Projects!$D$9,"")</f>
        <v/>
      </c>
      <c r="AQ14" s="194" t="str">
        <f aca="false">IF(AND(Projects!$C$9&lt;=AQ$4,AQ$4&lt;=Projects!$C$9+Projects!$D$9-1),Projects!$B$9/Projects!$D$9,"")</f>
        <v/>
      </c>
      <c r="AR14" s="194" t="str">
        <f aca="false">IF(AND(Projects!$C$9&lt;=AR$4,AR$4&lt;=Projects!$C$9+Projects!$D$9-1),Projects!$B$9/Projects!$D$9,"")</f>
        <v/>
      </c>
      <c r="AS14" s="194" t="str">
        <f aca="false">IF(AND(Projects!$C$9&lt;=AS$4,AS$4&lt;=Projects!$C$9+Projects!$D$9-1),Projects!$B$9/Projects!$D$9,"")</f>
        <v/>
      </c>
      <c r="AT14" s="194" t="str">
        <f aca="false">IF(AND(Projects!$C$9&lt;=AT$4,AT$4&lt;=Projects!$C$9+Projects!$D$9-1),Projects!$B$9/Projects!$D$9,"")</f>
        <v/>
      </c>
      <c r="AU14" s="194" t="str">
        <f aca="false">IF(AND(Projects!$C$9&lt;=AU$4,AU$4&lt;=Projects!$C$9+Projects!$D$9-1),Projects!$B$9/Projects!$D$9,"")</f>
        <v/>
      </c>
      <c r="AV14" s="194" t="str">
        <f aca="false">IF(AND(Projects!$C$9&lt;=AV$4,AV$4&lt;=Projects!$C$9+Projects!$D$9-1),Projects!$B$9/Projects!$D$9,"")</f>
        <v/>
      </c>
      <c r="AW14" s="194" t="str">
        <f aca="false">IF(AND(Projects!$C$9&lt;=AW$4,AW$4&lt;=Projects!$C$9+Projects!$D$9-1),Projects!$B$9/Projects!$D$9,"")</f>
        <v/>
      </c>
      <c r="AX14" s="194" t="str">
        <f aca="false">IF(AND(Projects!$C$9&lt;=AX$4,AX$4&lt;=Projects!$C$9+Projects!$D$9-1),Projects!$B$9/Projects!$D$9,"")</f>
        <v/>
      </c>
      <c r="AY14" s="194" t="str">
        <f aca="false">IF(AND(Projects!$C$9&lt;=AY$4,AY$4&lt;=Projects!$C$9+Projects!$D$9-1),Projects!$B$9/Projects!$D$9,"")</f>
        <v/>
      </c>
      <c r="AZ14" s="194" t="str">
        <f aca="false">IF(AND(Projects!$C$9&lt;=AZ$4,AZ$4&lt;=Projects!$C$9+Projects!$D$9-1),Projects!$B$9/Projects!$D$9,"")</f>
        <v/>
      </c>
      <c r="BA14" s="194" t="str">
        <f aca="false">IF(AND(Projects!$C$9&lt;=BA$4,BA$4&lt;=Projects!$C$9+Projects!$D$9-1),Projects!$B$9/Projects!$D$9,"")</f>
        <v/>
      </c>
      <c r="BB14" s="194" t="str">
        <f aca="false">IF(AND(Projects!$C$9&lt;=BB$4,BB$4&lt;=Projects!$C$9+Projects!$D$9-1),Projects!$B$9/Projects!$D$9,"")</f>
        <v/>
      </c>
      <c r="BC14" s="194" t="str">
        <f aca="false">IF(AND(Projects!$C$9&lt;=BC$4,BC$4&lt;=Projects!$C$9+Projects!$D$9-1),Projects!$B$9/Projects!$D$9,"")</f>
        <v/>
      </c>
      <c r="BD14" s="194" t="str">
        <f aca="false">IF(AND(Projects!$C$9&lt;=BD$4,BD$4&lt;=Projects!$C$9+Projects!$D$9-1),Projects!$B$9/Projects!$D$9,"")</f>
        <v/>
      </c>
      <c r="BE14" s="194" t="str">
        <f aca="false">IF(AND(Projects!$C$9&lt;=BE$4,BE$4&lt;=Projects!$C$9+Projects!$D$9-1),Projects!$B$9/Projects!$D$9,"")</f>
        <v/>
      </c>
      <c r="BF14" s="194" t="str">
        <f aca="false">IF(AND(Projects!$C$9&lt;=BF$4,BF$4&lt;=Projects!$C$9+Projects!$D$9-1),Projects!$B$9/Projects!$D$9,"")</f>
        <v/>
      </c>
      <c r="BG14" s="194" t="str">
        <f aca="false">IF(AND(Projects!$C$9&lt;=BG$4,BG$4&lt;=Projects!$C$9+Projects!$D$9-1),Projects!$B$9/Projects!$D$9,"")</f>
        <v/>
      </c>
      <c r="BH14" s="194" t="str">
        <f aca="false">IF(AND(Projects!$C$9&lt;=BH$4,BH$4&lt;=Projects!$C$9+Projects!$D$9-1),Projects!$B$9/Projects!$D$9,"")</f>
        <v/>
      </c>
      <c r="BI14" s="194" t="str">
        <f aca="false">IF(AND(Projects!$C$9&lt;=BI$4,BI$4&lt;=Projects!$C$9+Projects!$D$9-1),Projects!$B$9/Projects!$D$9,"")</f>
        <v/>
      </c>
      <c r="BJ14" s="194" t="str">
        <f aca="false">IF(AND(Projects!$C$9&lt;=BJ$4,BJ$4&lt;=Projects!$C$9+Projects!$D$9-1),Projects!$B$9/Projects!$D$9,"")</f>
        <v/>
      </c>
      <c r="BK14" s="194" t="str">
        <f aca="false">IF(AND(Projects!$C$9&lt;=BK$4,BK$4&lt;=Projects!$C$9+Projects!$D$9-1),Projects!$B$9/Projects!$D$9,"")</f>
        <v/>
      </c>
      <c r="BL14" s="194" t="str">
        <f aca="false">IF(AND(Projects!$C$9&lt;=BL$4,BL$4&lt;=Projects!$C$9+Projects!$D$9-1),Projects!$B$9/Projects!$D$9,"")</f>
        <v/>
      </c>
      <c r="BM14" s="194" t="str">
        <f aca="false">IF(AND(Projects!$C$9&lt;=BM$4,BM$4&lt;=Projects!$C$9+Projects!$D$9-1),Projects!$B$9/Projects!$D$9,"")</f>
        <v/>
      </c>
      <c r="BN14" s="194" t="str">
        <f aca="false">IF(AND(Projects!$C$9&lt;=BN$4,BN$4&lt;=Projects!$C$9+Projects!$D$9-1),Projects!$B$9/Projects!$D$9,"")</f>
        <v/>
      </c>
      <c r="BO14" s="194" t="str">
        <f aca="false">IF(AND(Projects!$C$9&lt;=BO$4,BO$4&lt;=Projects!$C$9+Projects!$D$9-1),Projects!$B$9/Projects!$D$9,"")</f>
        <v/>
      </c>
      <c r="BP14" s="194" t="str">
        <f aca="false">IF(AND(Projects!$C$9&lt;=BP$4,BP$4&lt;=Projects!$C$9+Projects!$D$9-1),Projects!$B$9/Projects!$D$9,"")</f>
        <v/>
      </c>
      <c r="BQ14" s="194" t="str">
        <f aca="false">IF(AND(Projects!$C$9&lt;=BQ$4,BQ$4&lt;=Projects!$C$9+Projects!$D$9-1),Projects!$B$9/Projects!$D$9,"")</f>
        <v/>
      </c>
      <c r="BR14" s="194" t="str">
        <f aca="false">IF(AND(Projects!$C$9&lt;=BR$4,BR$4&lt;=Projects!$C$9+Projects!$D$9-1),Projects!$B$9/Projects!$D$9,"")</f>
        <v/>
      </c>
      <c r="BS14" s="194" t="str">
        <f aca="false">IF(AND(Projects!$C$9&lt;=BS$4,BS$4&lt;=Projects!$C$9+Projects!$D$9-1),Projects!$B$9/Projects!$D$9,"")</f>
        <v/>
      </c>
      <c r="BT14" s="194" t="str">
        <f aca="false">IF(AND(Projects!$C$9&lt;=BT$4,BT$4&lt;=Projects!$C$9+Projects!$D$9-1),Projects!$B$9/Projects!$D$9,"")</f>
        <v/>
      </c>
      <c r="BU14" s="194" t="str">
        <f aca="false">IF(AND(Projects!$C$9&lt;=BU$4,BU$4&lt;=Projects!$C$9+Projects!$D$9-1),Projects!$B$9/Projects!$D$9,"")</f>
        <v/>
      </c>
      <c r="BV14" s="194" t="str">
        <f aca="false">IF(AND(Projects!$C$9&lt;=BV$4,BV$4&lt;=Projects!$C$9+Projects!$D$9-1),Projects!$B$9/Projects!$D$9,"")</f>
        <v/>
      </c>
      <c r="BW14" s="194" t="str">
        <f aca="false">IF(AND(Projects!$C$9&lt;=BW$4,BW$4&lt;=Projects!$C$9+Projects!$D$9-1),Projects!$B$9/Projects!$D$9,"")</f>
        <v/>
      </c>
      <c r="BX14" s="194" t="str">
        <f aca="false">IF(AND(Projects!$C$9&lt;=BX$4,BX$4&lt;=Projects!$C$9+Projects!$D$9-1),Projects!$B$9/Projects!$D$9,"")</f>
        <v/>
      </c>
      <c r="BY14" s="194" t="str">
        <f aca="false">IF(AND(Projects!$C$9&lt;=BY$4,BY$4&lt;=Projects!$C$9+Projects!$D$9-1),Projects!$B$9/Projects!$D$9,"")</f>
        <v/>
      </c>
      <c r="BZ14" s="194" t="str">
        <f aca="false">IF(AND(Projects!$C$9&lt;=BZ$4,BZ$4&lt;=Projects!$C$9+Projects!$D$9-1),Projects!$B$9/Projects!$D$9,"")</f>
        <v/>
      </c>
      <c r="CA14" s="194" t="str">
        <f aca="false">IF(AND(Projects!$C$9&lt;=CA$4,CA$4&lt;=Projects!$C$9+Projects!$D$9-1),Projects!$B$9/Projects!$D$9,"")</f>
        <v/>
      </c>
      <c r="CB14" s="194" t="str">
        <f aca="false">IF(AND(Projects!$C$9&lt;=CB$4,CB$4&lt;=Projects!$C$9+Projects!$D$9-1),Projects!$B$9/Projects!$D$9,"")</f>
        <v/>
      </c>
      <c r="CC14" s="194" t="str">
        <f aca="false">IF(AND(Projects!$C$9&lt;=CC$4,CC$4&lt;=Projects!$C$9+Projects!$D$9-1),Projects!$B$9/Projects!$D$9,"")</f>
        <v/>
      </c>
      <c r="CD14" s="194" t="str">
        <f aca="false">IF(AND(Projects!$C$9&lt;=CD$4,CD$4&lt;=Projects!$C$9+Projects!$D$9-1),Projects!$B$9/Projects!$D$9,"")</f>
        <v/>
      </c>
      <c r="CE14" s="194" t="str">
        <f aca="false">IF(AND(Projects!$C$9&lt;=CE$4,CE$4&lt;=Projects!$C$9+Projects!$D$9-1),Projects!$B$9/Projects!$D$9,"")</f>
        <v/>
      </c>
      <c r="CF14" s="194" t="str">
        <f aca="false">IF(AND(Projects!$C$9&lt;=CF$4,CF$4&lt;=Projects!$C$9+Projects!$D$9-1),Projects!$B$9/Projects!$D$9,"")</f>
        <v/>
      </c>
      <c r="CG14" s="194" t="str">
        <f aca="false">IF(AND(Projects!$C$9&lt;=CG$4,CG$4&lt;=Projects!$C$9+Projects!$D$9-1),Projects!$B$9/Projects!$D$9,"")</f>
        <v/>
      </c>
      <c r="CH14" s="194" t="str">
        <f aca="false">IF(AND(Projects!$C$9&lt;=CH$4,CH$4&lt;=Projects!$C$9+Projects!$D$9-1),Projects!$B$9/Projects!$D$9,"")</f>
        <v/>
      </c>
      <c r="CI14" s="194" t="str">
        <f aca="false">IF(AND(Projects!$C$9&lt;=CI$4,CI$4&lt;=Projects!$C$9+Projects!$D$9-1),Projects!$B$9/Projects!$D$9,"")</f>
        <v/>
      </c>
      <c r="CJ14" s="194" t="str">
        <f aca="false">IF(AND(Projects!$C$9&lt;=CJ$4,CJ$4&lt;=Projects!$C$9+Projects!$D$9-1),Projects!$B$9/Projects!$D$9,"")</f>
        <v/>
      </c>
      <c r="CK14" s="194" t="str">
        <f aca="false">IF(AND(Projects!$C$9&lt;=CK$4,CK$4&lt;=Projects!$C$9+Projects!$D$9-1),Projects!$B$9/Projects!$D$9,"")</f>
        <v/>
      </c>
      <c r="CL14" s="194" t="str">
        <f aca="false">IF(AND(Projects!$C$9&lt;=CL$4,CL$4&lt;=Projects!$C$9+Projects!$D$9-1),Projects!$B$9/Projects!$D$9,"")</f>
        <v/>
      </c>
      <c r="CM14" s="194" t="str">
        <f aca="false">IF(AND(Projects!$C$9&lt;=CM$4,CM$4&lt;=Projects!$C$9+Projects!$D$9-1),Projects!$B$9/Projects!$D$9,"")</f>
        <v/>
      </c>
      <c r="CN14" s="194" t="str">
        <f aca="false">IF(AND(Projects!$C$9&lt;=CN$4,CN$4&lt;=Projects!$C$9+Projects!$D$9-1),Projects!$B$9/Projects!$D$9,"")</f>
        <v/>
      </c>
      <c r="CO14" s="194" t="str">
        <f aca="false">IF(AND(Projects!$C$9&lt;=CO$4,CO$4&lt;=Projects!$C$9+Projects!$D$9-1),Projects!$B$9/Projects!$D$9,"")</f>
        <v/>
      </c>
      <c r="CP14" s="194" t="str">
        <f aca="false">IF(AND(Projects!$C$9&lt;=CP$4,CP$4&lt;=Projects!$C$9+Projects!$D$9-1),Projects!$B$9/Projects!$D$9,"")</f>
        <v/>
      </c>
      <c r="CQ14" s="194" t="str">
        <f aca="false">IF(AND(Projects!$C$9&lt;=CQ$4,CQ$4&lt;=Projects!$C$9+Projects!$D$9-1),Projects!$B$9/Projects!$D$9,"")</f>
        <v/>
      </c>
      <c r="CR14" s="194" t="str">
        <f aca="false">IF(AND(Projects!$C$9&lt;=CR$4,CR$4&lt;=Projects!$C$9+Projects!$D$9-1),Projects!$B$9/Projects!$D$9,"")</f>
        <v/>
      </c>
      <c r="CS14" s="194" t="str">
        <f aca="false">IF(AND(Projects!$C$9&lt;=CS$4,CS$4&lt;=Projects!$C$9+Projects!$D$9-1),Projects!$B$9/Projects!$D$9,"")</f>
        <v/>
      </c>
      <c r="CT14" s="194" t="str">
        <f aca="false">IF(AND(Projects!$C$9&lt;=CT$4,CT$4&lt;=Projects!$C$9+Projects!$D$9-1),Projects!$B$9/Projects!$D$9,"")</f>
        <v/>
      </c>
      <c r="CU14" s="194" t="str">
        <f aca="false">IF(AND(Projects!$C$9&lt;=CU$4,CU$4&lt;=Projects!$C$9+Projects!$D$9-1),Projects!$B$9/Projects!$D$9,"")</f>
        <v/>
      </c>
      <c r="CV14" s="194" t="str">
        <f aca="false">IF(AND(Projects!$C$9&lt;=CV$4,CV$4&lt;=Projects!$C$9+Projects!$D$9-1),Projects!$B$9/Projects!$D$9,"")</f>
        <v/>
      </c>
      <c r="CW14" s="194" t="str">
        <f aca="false">IF(AND(Projects!$C$9&lt;=CW$4,CW$4&lt;=Projects!$C$9+Projects!$D$9-1),Projects!$B$9/Projects!$D$9,"")</f>
        <v/>
      </c>
      <c r="CX14" s="194" t="str">
        <f aca="false">IF(AND(Projects!$C$9&lt;=CX$4,CX$4&lt;=Projects!$C$9+Projects!$D$9-1),Projects!$B$9/Projects!$D$9,"")</f>
        <v/>
      </c>
      <c r="CY14" s="194" t="str">
        <f aca="false">IF(AND(Projects!$C$9&lt;=CY$4,CY$4&lt;=Projects!$C$9+Projects!$D$9-1),Projects!$B$9/Projects!$D$9,"")</f>
        <v/>
      </c>
      <c r="CZ14" s="194" t="str">
        <f aca="false">IF(AND(Projects!$C$9&lt;=CZ$4,CZ$4&lt;=Projects!$C$9+Projects!$D$9-1),Projects!$B$9/Projects!$D$9,"")</f>
        <v/>
      </c>
      <c r="DA14" s="194" t="str">
        <f aca="false">IF(AND(Projects!$C$9&lt;=DA$4,DA$4&lt;=Projects!$C$9+Projects!$D$9-1),Projects!$B$9/Projects!$D$9,"")</f>
        <v/>
      </c>
      <c r="DB14" s="194" t="str">
        <f aca="false">IF(AND(Projects!$C$9&lt;=DB$4,DB$4&lt;=Projects!$C$9+Projects!$D$9-1),Projects!$B$9/Projects!$D$9,"")</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Projects!$B$10/Projects!$D$10</f>
        <v>885975.208333333</v>
      </c>
      <c r="G15" s="194" t="str">
        <f aca="false">IF(AND(Projects!$C$10&lt;=G$4,G$4&lt;=Projects!$C$10+Projects!$D$10-1),Projects!$B$10/Projects!$D$10,"")</f>
        <v/>
      </c>
      <c r="H15" s="194" t="str">
        <f aca="false">IF(AND(Projects!$C$10&lt;=H$4,H$4&lt;=Projects!$C$10+Projects!$D$10-1),Projects!$B$10/Projects!$D$10,"")</f>
        <v/>
      </c>
      <c r="I15" s="194" t="str">
        <f aca="false">IF(AND(Projects!$C$10&lt;=I$4,I$4&lt;=Projects!$C$10+Projects!$D$10-1),Projects!$B$10/Projects!$D$10,"")</f>
        <v/>
      </c>
      <c r="J15" s="194" t="str">
        <f aca="false">IF(AND(Projects!$C$10&lt;=J$4,J$4&lt;=Projects!$C$10+Projects!$D$10-1),Projects!$B$10/Projects!$D$10,"")</f>
        <v/>
      </c>
      <c r="K15" s="194" t="str">
        <f aca="false">IF(AND(Projects!$C$10&lt;=K$4,K$4&lt;=Projects!$C$10+Projects!$D$10-1),Projects!$B$10/Projects!$D$10,"")</f>
        <v/>
      </c>
      <c r="L15" s="194" t="str">
        <f aca="false">IF(AND(Projects!$C$10&lt;=L$4,L$4&lt;=Projects!$C$10+Projects!$D$10-1),Projects!$B$10/Projects!$D$10,"")</f>
        <v/>
      </c>
      <c r="M15" s="194" t="str">
        <f aca="false">IF(AND(Projects!$C$10&lt;=M$4,M$4&lt;=Projects!$C$10+Projects!$D$10-1),Projects!$B$10/Projects!$D$10,"")</f>
        <v/>
      </c>
      <c r="N15" s="194" t="str">
        <f aca="false">IF(AND(Projects!$C$10&lt;=N$4,N$4&lt;=Projects!$C$10+Projects!$D$10-1),Projects!$B$10/Projects!$D$10,"")</f>
        <v/>
      </c>
      <c r="O15" s="194" t="n">
        <f aca="false">IF(AND(Projects!$C$10&lt;=O$4,O$4&lt;=Projects!$C$10+Projects!$D$10-1),Projects!$B$10/Projects!$D$10,"")</f>
        <v>885975.208333333</v>
      </c>
      <c r="P15" s="194" t="n">
        <f aca="false">IF(AND(Projects!$C$10&lt;=P$4,P$4&lt;=Projects!$C$10+Projects!$D$10-1),Projects!$B$10/Projects!$D$10,"")</f>
        <v>885975.208333333</v>
      </c>
      <c r="Q15" s="194" t="n">
        <f aca="false">IF(AND(Projects!$C$10&lt;=Q$4,Q$4&lt;=Projects!$C$10+Projects!$D$10-1),Projects!$B$10/Projects!$D$10,"")</f>
        <v>885975.208333333</v>
      </c>
      <c r="R15" s="194" t="n">
        <f aca="false">IF(AND(Projects!$C$10&lt;=R$4,R$4&lt;=Projects!$C$10+Projects!$D$10-1),Projects!$B$10/Projects!$D$10,"")</f>
        <v>885975.208333333</v>
      </c>
      <c r="S15" s="194" t="n">
        <f aca="false">IF(AND(Projects!$C$10&lt;=S$4,S$4&lt;=Projects!$C$10+Projects!$D$10-1),Projects!$B$10/Projects!$D$10,"")</f>
        <v>885975.208333333</v>
      </c>
      <c r="T15" s="194" t="n">
        <f aca="false">IF(AND(Projects!$C$10&lt;=T$4,T$4&lt;=Projects!$C$10+Projects!$D$10-1),Projects!$B$10/Projects!$D$10,"")</f>
        <v>885975.208333333</v>
      </c>
      <c r="U15" s="194" t="n">
        <f aca="false">IF(AND(Projects!$C$10&lt;=U$4,U$4&lt;=Projects!$C$10+Projects!$D$10-1),Projects!$B$10/Projects!$D$10,"")</f>
        <v>885975.208333333</v>
      </c>
      <c r="V15" s="194" t="n">
        <f aca="false">IF(AND(Projects!$C$10&lt;=V$4,V$4&lt;=Projects!$C$10+Projects!$D$10-1),Projects!$B$10/Projects!$D$10,"")</f>
        <v>885975.208333333</v>
      </c>
      <c r="W15" s="194" t="n">
        <f aca="false">IF(AND(Projects!$C$10&lt;=W$4,W$4&lt;=Projects!$C$10+Projects!$D$10-1),Projects!$B$10/Projects!$D$10,"")</f>
        <v>885975.208333333</v>
      </c>
      <c r="X15" s="194" t="n">
        <f aca="false">IF(AND(Projects!$C$10&lt;=X$4,X$4&lt;=Projects!$C$10+Projects!$D$10-1),Projects!$B$10/Projects!$D$10,"")</f>
        <v>885975.208333333</v>
      </c>
      <c r="Y15" s="194" t="n">
        <f aca="false">IF(AND(Projects!$C$10&lt;=Y$4,Y$4&lt;=Projects!$C$10+Projects!$D$10-1),Projects!$B$10/Projects!$D$10,"")</f>
        <v>885975.208333333</v>
      </c>
      <c r="Z15" s="194" t="n">
        <f aca="false">IF(AND(Projects!$C$10&lt;=Z$4,Z$4&lt;=Projects!$C$10+Projects!$D$10-1),Projects!$B$10/Projects!$D$10,"")</f>
        <v>885975.208333333</v>
      </c>
      <c r="AA15" s="194" t="n">
        <f aca="false">IF(AND(Projects!$C$10&lt;=AA$4,AA$4&lt;=Projects!$C$10+Projects!$D$10-1),Projects!$B$10/Projects!$D$10,"")</f>
        <v>885975.208333333</v>
      </c>
      <c r="AB15" s="194" t="n">
        <f aca="false">IF(AND(Projects!$C$10&lt;=AB$4,AB$4&lt;=Projects!$C$10+Projects!$D$10-1),Projects!$B$10/Projects!$D$10,"")</f>
        <v>885975.208333333</v>
      </c>
      <c r="AC15" s="194" t="n">
        <f aca="false">IF(AND(Projects!$C$10&lt;=AC$4,AC$4&lt;=Projects!$C$10+Projects!$D$10-1),Projects!$B$10/Projects!$D$10,"")</f>
        <v>885975.208333333</v>
      </c>
      <c r="AD15" s="194" t="n">
        <f aca="false">IF(AND(Projects!$C$10&lt;=AD$4,AD$4&lt;=Projects!$C$10+Projects!$D$10-1),Projects!$B$10/Projects!$D$10,"")</f>
        <v>885975.208333333</v>
      </c>
      <c r="AE15" s="194" t="n">
        <f aca="false">IF(AND(Projects!$C$10&lt;=AE$4,AE$4&lt;=Projects!$C$10+Projects!$D$10-1),Projects!$B$10/Projects!$D$10,"")</f>
        <v>885975.208333333</v>
      </c>
      <c r="AF15" s="194" t="n">
        <f aca="false">IF(AND(Projects!$C$10&lt;=AF$4,AF$4&lt;=Projects!$C$10+Projects!$D$10-1),Projects!$B$10/Projects!$D$10,"")</f>
        <v>885975.208333333</v>
      </c>
      <c r="AG15" s="194" t="n">
        <f aca="false">IF(AND(Projects!$C$10&lt;=AG$4,AG$4&lt;=Projects!$C$10+Projects!$D$10-1),Projects!$B$10/Projects!$D$10,"")</f>
        <v>885975.208333333</v>
      </c>
      <c r="AH15" s="194" t="n">
        <f aca="false">IF(AND(Projects!$C$10&lt;=AH$4,AH$4&lt;=Projects!$C$10+Projects!$D$10-1),Projects!$B$10/Projects!$D$10,"")</f>
        <v>885975.208333333</v>
      </c>
      <c r="AI15" s="194" t="n">
        <f aca="false">IF(AND(Projects!$C$10&lt;=AI$4,AI$4&lt;=Projects!$C$10+Projects!$D$10-1),Projects!$B$10/Projects!$D$10,"")</f>
        <v>885975.208333333</v>
      </c>
      <c r="AJ15" s="194" t="n">
        <f aca="false">IF(AND(Projects!$C$10&lt;=AJ$4,AJ$4&lt;=Projects!$C$10+Projects!$D$10-1),Projects!$B$10/Projects!$D$10,"")</f>
        <v>885975.208333333</v>
      </c>
      <c r="AK15" s="194" t="n">
        <f aca="false">IF(AND(Projects!$C$10&lt;=AK$4,AK$4&lt;=Projects!$C$10+Projects!$D$10-1),Projects!$B$10/Projects!$D$10,"")</f>
        <v>885975.208333333</v>
      </c>
      <c r="AL15" s="194" t="n">
        <f aca="false">IF(AND(Projects!$C$10&lt;=AL$4,AL$4&lt;=Projects!$C$10+Projects!$D$10-1),Projects!$B$10/Projects!$D$10,"")</f>
        <v>885975.208333333</v>
      </c>
      <c r="AM15" s="194" t="str">
        <f aca="false">IF(AND(Projects!$C$10&lt;=AM$4,AM$4&lt;=Projects!$C$10+Projects!$D$10-1),Projects!$B$10/Projects!$D$10,"")</f>
        <v/>
      </c>
      <c r="AN15" s="194" t="str">
        <f aca="false">IF(AND(Projects!$C$10&lt;=AN$4,AN$4&lt;=Projects!$C$10+Projects!$D$10-1),Projects!$B$10/Projects!$D$10,"")</f>
        <v/>
      </c>
      <c r="AO15" s="194" t="str">
        <f aca="false">IF(AND(Projects!$C$10&lt;=AO$4,AO$4&lt;=Projects!$C$10+Projects!$D$10-1),Projects!$B$10/Projects!$D$10,"")</f>
        <v/>
      </c>
      <c r="AP15" s="194" t="str">
        <f aca="false">IF(AND(Projects!$C$10&lt;=AP$4,AP$4&lt;=Projects!$C$10+Projects!$D$10-1),Projects!$B$10/Projects!$D$10,"")</f>
        <v/>
      </c>
      <c r="AQ15" s="194" t="str">
        <f aca="false">IF(AND(Projects!$C$10&lt;=AQ$4,AQ$4&lt;=Projects!$C$10+Projects!$D$10-1),Projects!$B$10/Projects!$D$10,"")</f>
        <v/>
      </c>
      <c r="AR15" s="194" t="str">
        <f aca="false">IF(AND(Projects!$C$10&lt;=AR$4,AR$4&lt;=Projects!$C$10+Projects!$D$10-1),Projects!$B$10/Projects!$D$10,"")</f>
        <v/>
      </c>
      <c r="AS15" s="194" t="str">
        <f aca="false">IF(AND(Projects!$C$10&lt;=AS$4,AS$4&lt;=Projects!$C$10+Projects!$D$10-1),Projects!$B$10/Projects!$D$10,"")</f>
        <v/>
      </c>
      <c r="AT15" s="194" t="str">
        <f aca="false">IF(AND(Projects!$C$10&lt;=AT$4,AT$4&lt;=Projects!$C$10+Projects!$D$10-1),Projects!$B$10/Projects!$D$10,"")</f>
        <v/>
      </c>
      <c r="AU15" s="194" t="str">
        <f aca="false">IF(AND(Projects!$C$10&lt;=AU$4,AU$4&lt;=Projects!$C$10+Projects!$D$10-1),Projects!$B$10/Projects!$D$10,"")</f>
        <v/>
      </c>
      <c r="AV15" s="194" t="str">
        <f aca="false">IF(AND(Projects!$C$10&lt;=AV$4,AV$4&lt;=Projects!$C$10+Projects!$D$10-1),Projects!$B$10/Projects!$D$10,"")</f>
        <v/>
      </c>
      <c r="AW15" s="194" t="str">
        <f aca="false">IF(AND(Projects!$C$10&lt;=AW$4,AW$4&lt;=Projects!$C$10+Projects!$D$10-1),Projects!$B$10/Projects!$D$10,"")</f>
        <v/>
      </c>
      <c r="AX15" s="194" t="str">
        <f aca="false">IF(AND(Projects!$C$10&lt;=AX$4,AX$4&lt;=Projects!$C$10+Projects!$D$10-1),Projects!$B$10/Projects!$D$10,"")</f>
        <v/>
      </c>
      <c r="AY15" s="194" t="str">
        <f aca="false">IF(AND(Projects!$C$10&lt;=AY$4,AY$4&lt;=Projects!$C$10+Projects!$D$10-1),Projects!$B$10/Projects!$D$10,"")</f>
        <v/>
      </c>
      <c r="AZ15" s="194" t="str">
        <f aca="false">IF(AND(Projects!$C$10&lt;=AZ$4,AZ$4&lt;=Projects!$C$10+Projects!$D$10-1),Projects!$B$10/Projects!$D$10,"")</f>
        <v/>
      </c>
      <c r="BA15" s="194" t="str">
        <f aca="false">IF(AND(Projects!$C$10&lt;=BA$4,BA$4&lt;=Projects!$C$10+Projects!$D$10-1),Projects!$B$10/Projects!$D$10,"")</f>
        <v/>
      </c>
      <c r="BB15" s="194" t="str">
        <f aca="false">IF(AND(Projects!$C$10&lt;=BB$4,BB$4&lt;=Projects!$C$10+Projects!$D$10-1),Projects!$B$10/Projects!$D$10,"")</f>
        <v/>
      </c>
      <c r="BC15" s="194" t="str">
        <f aca="false">IF(AND(Projects!$C$10&lt;=BC$4,BC$4&lt;=Projects!$C$10+Projects!$D$10-1),Projects!$B$10/Projects!$D$10,"")</f>
        <v/>
      </c>
      <c r="BD15" s="194" t="str">
        <f aca="false">IF(AND(Projects!$C$10&lt;=BD$4,BD$4&lt;=Projects!$C$10+Projects!$D$10-1),Projects!$B$10/Projects!$D$10,"")</f>
        <v/>
      </c>
      <c r="BE15" s="194" t="str">
        <f aca="false">IF(AND(Projects!$C$10&lt;=BE$4,BE$4&lt;=Projects!$C$10+Projects!$D$10-1),Projects!$B$10/Projects!$D$10,"")</f>
        <v/>
      </c>
      <c r="BF15" s="194" t="str">
        <f aca="false">IF(AND(Projects!$C$10&lt;=BF$4,BF$4&lt;=Projects!$C$10+Projects!$D$10-1),Projects!$B$10/Projects!$D$10,"")</f>
        <v/>
      </c>
      <c r="BG15" s="194" t="str">
        <f aca="false">IF(AND(Projects!$C$10&lt;=BG$4,BG$4&lt;=Projects!$C$10+Projects!$D$10-1),Projects!$B$10/Projects!$D$10,"")</f>
        <v/>
      </c>
      <c r="BH15" s="194" t="str">
        <f aca="false">IF(AND(Projects!$C$10&lt;=BH$4,BH$4&lt;=Projects!$C$10+Projects!$D$10-1),Projects!$B$10/Projects!$D$10,"")</f>
        <v/>
      </c>
      <c r="BI15" s="194" t="str">
        <f aca="false">IF(AND(Projects!$C$10&lt;=BI$4,BI$4&lt;=Projects!$C$10+Projects!$D$10-1),Projects!$B$10/Projects!$D$10,"")</f>
        <v/>
      </c>
      <c r="BJ15" s="194" t="str">
        <f aca="false">IF(AND(Projects!$C$10&lt;=BJ$4,BJ$4&lt;=Projects!$C$10+Projects!$D$10-1),Projects!$B$10/Projects!$D$10,"")</f>
        <v/>
      </c>
      <c r="BK15" s="194" t="str">
        <f aca="false">IF(AND(Projects!$C$10&lt;=BK$4,BK$4&lt;=Projects!$C$10+Projects!$D$10-1),Projects!$B$10/Projects!$D$10,"")</f>
        <v/>
      </c>
      <c r="BL15" s="194" t="str">
        <f aca="false">IF(AND(Projects!$C$10&lt;=BL$4,BL$4&lt;=Projects!$C$10+Projects!$D$10-1),Projects!$B$10/Projects!$D$10,"")</f>
        <v/>
      </c>
      <c r="BM15" s="194" t="str">
        <f aca="false">IF(AND(Projects!$C$10&lt;=BM$4,BM$4&lt;=Projects!$C$10+Projects!$D$10-1),Projects!$B$10/Projects!$D$10,"")</f>
        <v/>
      </c>
      <c r="BN15" s="194" t="str">
        <f aca="false">IF(AND(Projects!$C$10&lt;=BN$4,BN$4&lt;=Projects!$C$10+Projects!$D$10-1),Projects!$B$10/Projects!$D$10,"")</f>
        <v/>
      </c>
      <c r="BO15" s="194" t="str">
        <f aca="false">IF(AND(Projects!$C$10&lt;=BO$4,BO$4&lt;=Projects!$C$10+Projects!$D$10-1),Projects!$B$10/Projects!$D$10,"")</f>
        <v/>
      </c>
      <c r="BP15" s="194" t="str">
        <f aca="false">IF(AND(Projects!$C$10&lt;=BP$4,BP$4&lt;=Projects!$C$10+Projects!$D$10-1),Projects!$B$10/Projects!$D$10,"")</f>
        <v/>
      </c>
      <c r="BQ15" s="194" t="str">
        <f aca="false">IF(AND(Projects!$C$10&lt;=BQ$4,BQ$4&lt;=Projects!$C$10+Projects!$D$10-1),Projects!$B$10/Projects!$D$10,"")</f>
        <v/>
      </c>
      <c r="BR15" s="194" t="str">
        <f aca="false">IF(AND(Projects!$C$10&lt;=BR$4,BR$4&lt;=Projects!$C$10+Projects!$D$10-1),Projects!$B$10/Projects!$D$10,"")</f>
        <v/>
      </c>
      <c r="BS15" s="194" t="str">
        <f aca="false">IF(AND(Projects!$C$10&lt;=BS$4,BS$4&lt;=Projects!$C$10+Projects!$D$10-1),Projects!$B$10/Projects!$D$10,"")</f>
        <v/>
      </c>
      <c r="BT15" s="194" t="str">
        <f aca="false">IF(AND(Projects!$C$10&lt;=BT$4,BT$4&lt;=Projects!$C$10+Projects!$D$10-1),Projects!$B$10/Projects!$D$10,"")</f>
        <v/>
      </c>
      <c r="BU15" s="194" t="str">
        <f aca="false">IF(AND(Projects!$C$10&lt;=BU$4,BU$4&lt;=Projects!$C$10+Projects!$D$10-1),Projects!$B$10/Projects!$D$10,"")</f>
        <v/>
      </c>
      <c r="BV15" s="194" t="str">
        <f aca="false">IF(AND(Projects!$C$10&lt;=BV$4,BV$4&lt;=Projects!$C$10+Projects!$D$10-1),Projects!$B$10/Projects!$D$10,"")</f>
        <v/>
      </c>
      <c r="BW15" s="194" t="str">
        <f aca="false">IF(AND(Projects!$C$10&lt;=BW$4,BW$4&lt;=Projects!$C$10+Projects!$D$10-1),Projects!$B$10/Projects!$D$10,"")</f>
        <v/>
      </c>
      <c r="BX15" s="194" t="str">
        <f aca="false">IF(AND(Projects!$C$10&lt;=BX$4,BX$4&lt;=Projects!$C$10+Projects!$D$10-1),Projects!$B$10/Projects!$D$10,"")</f>
        <v/>
      </c>
      <c r="BY15" s="194" t="str">
        <f aca="false">IF(AND(Projects!$C$10&lt;=BY$4,BY$4&lt;=Projects!$C$10+Projects!$D$10-1),Projects!$B$10/Projects!$D$10,"")</f>
        <v/>
      </c>
      <c r="BZ15" s="194" t="str">
        <f aca="false">IF(AND(Projects!$C$10&lt;=BZ$4,BZ$4&lt;=Projects!$C$10+Projects!$D$10-1),Projects!$B$10/Projects!$D$10,"")</f>
        <v/>
      </c>
      <c r="CA15" s="194" t="str">
        <f aca="false">IF(AND(Projects!$C$10&lt;=CA$4,CA$4&lt;=Projects!$C$10+Projects!$D$10-1),Projects!$B$10/Projects!$D$10,"")</f>
        <v/>
      </c>
      <c r="CB15" s="194" t="str">
        <f aca="false">IF(AND(Projects!$C$10&lt;=CB$4,CB$4&lt;=Projects!$C$10+Projects!$D$10-1),Projects!$B$10/Projects!$D$10,"")</f>
        <v/>
      </c>
      <c r="CC15" s="194" t="str">
        <f aca="false">IF(AND(Projects!$C$10&lt;=CC$4,CC$4&lt;=Projects!$C$10+Projects!$D$10-1),Projects!$B$10/Projects!$D$10,"")</f>
        <v/>
      </c>
      <c r="CD15" s="194" t="str">
        <f aca="false">IF(AND(Projects!$C$10&lt;=CD$4,CD$4&lt;=Projects!$C$10+Projects!$D$10-1),Projects!$B$10/Projects!$D$10,"")</f>
        <v/>
      </c>
      <c r="CE15" s="194" t="str">
        <f aca="false">IF(AND(Projects!$C$10&lt;=CE$4,CE$4&lt;=Projects!$C$10+Projects!$D$10-1),Projects!$B$10/Projects!$D$10,"")</f>
        <v/>
      </c>
      <c r="CF15" s="194" t="str">
        <f aca="false">IF(AND(Projects!$C$10&lt;=CF$4,CF$4&lt;=Projects!$C$10+Projects!$D$10-1),Projects!$B$10/Projects!$D$10,"")</f>
        <v/>
      </c>
      <c r="CG15" s="194" t="str">
        <f aca="false">IF(AND(Projects!$C$10&lt;=CG$4,CG$4&lt;=Projects!$C$10+Projects!$D$10-1),Projects!$B$10/Projects!$D$10,"")</f>
        <v/>
      </c>
      <c r="CH15" s="194" t="str">
        <f aca="false">IF(AND(Projects!$C$10&lt;=CH$4,CH$4&lt;=Projects!$C$10+Projects!$D$10-1),Projects!$B$10/Projects!$D$10,"")</f>
        <v/>
      </c>
      <c r="CI15" s="194" t="str">
        <f aca="false">IF(AND(Projects!$C$10&lt;=CI$4,CI$4&lt;=Projects!$C$10+Projects!$D$10-1),Projects!$B$10/Projects!$D$10,"")</f>
        <v/>
      </c>
      <c r="CJ15" s="194" t="str">
        <f aca="false">IF(AND(Projects!$C$10&lt;=CJ$4,CJ$4&lt;=Projects!$C$10+Projects!$D$10-1),Projects!$B$10/Projects!$D$10,"")</f>
        <v/>
      </c>
      <c r="CK15" s="194" t="str">
        <f aca="false">IF(AND(Projects!$C$10&lt;=CK$4,CK$4&lt;=Projects!$C$10+Projects!$D$10-1),Projects!$B$10/Projects!$D$10,"")</f>
        <v/>
      </c>
      <c r="CL15" s="194" t="str">
        <f aca="false">IF(AND(Projects!$C$10&lt;=CL$4,CL$4&lt;=Projects!$C$10+Projects!$D$10-1),Projects!$B$10/Projects!$D$10,"")</f>
        <v/>
      </c>
      <c r="CM15" s="194" t="str">
        <f aca="false">IF(AND(Projects!$C$10&lt;=CM$4,CM$4&lt;=Projects!$C$10+Projects!$D$10-1),Projects!$B$10/Projects!$D$10,"")</f>
        <v/>
      </c>
      <c r="CN15" s="194" t="str">
        <f aca="false">IF(AND(Projects!$C$10&lt;=CN$4,CN$4&lt;=Projects!$C$10+Projects!$D$10-1),Projects!$B$10/Projects!$D$10,"")</f>
        <v/>
      </c>
      <c r="CO15" s="194" t="str">
        <f aca="false">IF(AND(Projects!$C$10&lt;=CO$4,CO$4&lt;=Projects!$C$10+Projects!$D$10-1),Projects!$B$10/Projects!$D$10,"")</f>
        <v/>
      </c>
      <c r="CP15" s="194" t="str">
        <f aca="false">IF(AND(Projects!$C$10&lt;=CP$4,CP$4&lt;=Projects!$C$10+Projects!$D$10-1),Projects!$B$10/Projects!$D$10,"")</f>
        <v/>
      </c>
      <c r="CQ15" s="194" t="str">
        <f aca="false">IF(AND(Projects!$C$10&lt;=CQ$4,CQ$4&lt;=Projects!$C$10+Projects!$D$10-1),Projects!$B$10/Projects!$D$10,"")</f>
        <v/>
      </c>
      <c r="CR15" s="194" t="str">
        <f aca="false">IF(AND(Projects!$C$10&lt;=CR$4,CR$4&lt;=Projects!$C$10+Projects!$D$10-1),Projects!$B$10/Projects!$D$10,"")</f>
        <v/>
      </c>
      <c r="CS15" s="194" t="str">
        <f aca="false">IF(AND(Projects!$C$10&lt;=CS$4,CS$4&lt;=Projects!$C$10+Projects!$D$10-1),Projects!$B$10/Projects!$D$10,"")</f>
        <v/>
      </c>
      <c r="CT15" s="194" t="str">
        <f aca="false">IF(AND(Projects!$C$10&lt;=CT$4,CT$4&lt;=Projects!$C$10+Projects!$D$10-1),Projects!$B$10/Projects!$D$10,"")</f>
        <v/>
      </c>
      <c r="CU15" s="194" t="str">
        <f aca="false">IF(AND(Projects!$C$10&lt;=CU$4,CU$4&lt;=Projects!$C$10+Projects!$D$10-1),Projects!$B$10/Projects!$D$10,"")</f>
        <v/>
      </c>
      <c r="CV15" s="194" t="str">
        <f aca="false">IF(AND(Projects!$C$10&lt;=CV$4,CV$4&lt;=Projects!$C$10+Projects!$D$10-1),Projects!$B$10/Projects!$D$10,"")</f>
        <v/>
      </c>
      <c r="CW15" s="194" t="str">
        <f aca="false">IF(AND(Projects!$C$10&lt;=CW$4,CW$4&lt;=Projects!$C$10+Projects!$D$10-1),Projects!$B$10/Projects!$D$10,"")</f>
        <v/>
      </c>
      <c r="CX15" s="194" t="str">
        <f aca="false">IF(AND(Projects!$C$10&lt;=CX$4,CX$4&lt;=Projects!$C$10+Projects!$D$10-1),Projects!$B$10/Projects!$D$10,"")</f>
        <v/>
      </c>
      <c r="CY15" s="194" t="str">
        <f aca="false">IF(AND(Projects!$C$10&lt;=CY$4,CY$4&lt;=Projects!$C$10+Projects!$D$10-1),Projects!$B$10/Projects!$D$10,"")</f>
        <v/>
      </c>
      <c r="CZ15" s="194" t="str">
        <f aca="false">IF(AND(Projects!$C$10&lt;=CZ$4,CZ$4&lt;=Projects!$C$10+Projects!$D$10-1),Projects!$B$10/Projects!$D$10,"")</f>
        <v/>
      </c>
      <c r="DA15" s="194" t="str">
        <f aca="false">IF(AND(Projects!$C$10&lt;=DA$4,DA$4&lt;=Projects!$C$10+Projects!$D$10-1),Projects!$B$10/Projects!$D$10,"")</f>
        <v/>
      </c>
      <c r="DB15" s="194" t="str">
        <f aca="false">IF(AND(Projects!$C$10&lt;=DB$4,DB$4&lt;=Projects!$C$10+Projects!$D$10-1),Projects!$B$10/Projects!$D$10,"")</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Projects!$B$13/Projects!$D$13</f>
        <v>1508892.33333333</v>
      </c>
      <c r="G16" s="194" t="str">
        <f aca="false">IF(AND(Projects!$C$13&lt;=G$4,G$4&lt;=Projects!$C$13+Projects!$D$13-1),Projects!$B$13/Projects!$D$13,"")</f>
        <v/>
      </c>
      <c r="H16" s="194" t="str">
        <f aca="false">IF(AND(Projects!$C$13&lt;=H$4,H$4&lt;=Projects!$C$13+Projects!$D$13-1),Projects!$B$13/Projects!$D$13,"")</f>
        <v/>
      </c>
      <c r="I16" s="194" t="str">
        <f aca="false">IF(AND(Projects!$C$13&lt;=I$4,I$4&lt;=Projects!$C$13+Projects!$D$13-1),Projects!$B$13/Projects!$D$13,"")</f>
        <v/>
      </c>
      <c r="J16" s="194" t="str">
        <f aca="false">IF(AND(Projects!$C$13&lt;=J$4,J$4&lt;=Projects!$C$13+Projects!$D$13-1),Projects!$B$13/Projects!$D$13,"")</f>
        <v/>
      </c>
      <c r="K16" s="194" t="str">
        <f aca="false">IF(AND(Projects!$C$13&lt;=K$4,K$4&lt;=Projects!$C$13+Projects!$D$13-1),Projects!$B$13/Projects!$D$13,"")</f>
        <v/>
      </c>
      <c r="L16" s="194" t="str">
        <f aca="false">IF(AND(Projects!$C$13&lt;=L$4,L$4&lt;=Projects!$C$13+Projects!$D$13-1),Projects!$B$13/Projects!$D$13,"")</f>
        <v/>
      </c>
      <c r="M16" s="194" t="str">
        <f aca="false">IF(AND(Projects!$C$13&lt;=M$4,M$4&lt;=Projects!$C$13+Projects!$D$13-1),Projects!$B$13/Projects!$D$13,"")</f>
        <v/>
      </c>
      <c r="N16" s="194" t="str">
        <f aca="false">IF(AND(Projects!$C$13&lt;=N$4,N$4&lt;=Projects!$C$13+Projects!$D$13-1),Projects!$B$13/Projects!$D$13,"")</f>
        <v/>
      </c>
      <c r="O16" s="194" t="str">
        <f aca="false">IF(AND(Projects!$C$13&lt;=O$4,O$4&lt;=Projects!$C$13+Projects!$D$13-1),Projects!$B$13/Projects!$D$13,"")</f>
        <v/>
      </c>
      <c r="P16" s="194" t="str">
        <f aca="false">IF(AND(Projects!$C$13&lt;=P$4,P$4&lt;=Projects!$C$13+Projects!$D$13-1),Projects!$B$13/Projects!$D$13,"")</f>
        <v/>
      </c>
      <c r="Q16" s="194" t="str">
        <f aca="false">IF(AND(Projects!$C$13&lt;=Q$4,Q$4&lt;=Projects!$C$13+Projects!$D$13-1),Projects!$B$13/Projects!$D$13,"")</f>
        <v/>
      </c>
      <c r="R16" s="194" t="str">
        <f aca="false">IF(AND(Projects!$C$13&lt;=R$4,R$4&lt;=Projects!$C$13+Projects!$D$13-1),Projects!$B$13/Projects!$D$13,"")</f>
        <v/>
      </c>
      <c r="S16" s="194" t="n">
        <f aca="false">IF(AND(Projects!$C$13&lt;=S$4,S$4&lt;=Projects!$C$13+Projects!$D$13-1),Projects!$B$13/Projects!$D$13,"")</f>
        <v>1508892.33333333</v>
      </c>
      <c r="T16" s="194" t="n">
        <f aca="false">IF(AND(Projects!$C$13&lt;=T$4,T$4&lt;=Projects!$C$13+Projects!$D$13-1),Projects!$B$13/Projects!$D$13,"")</f>
        <v>1508892.33333333</v>
      </c>
      <c r="U16" s="194" t="n">
        <f aca="false">IF(AND(Projects!$C$13&lt;=U$4,U$4&lt;=Projects!$C$13+Projects!$D$13-1),Projects!$B$13/Projects!$D$13,"")</f>
        <v>1508892.33333333</v>
      </c>
      <c r="V16" s="194" t="n">
        <f aca="false">IF(AND(Projects!$C$13&lt;=V$4,V$4&lt;=Projects!$C$13+Projects!$D$13-1),Projects!$B$13/Projects!$D$13,"")</f>
        <v>1508892.33333333</v>
      </c>
      <c r="W16" s="194" t="n">
        <f aca="false">IF(AND(Projects!$C$13&lt;=W$4,W$4&lt;=Projects!$C$13+Projects!$D$13-1),Projects!$B$13/Projects!$D$13,"")</f>
        <v>1508892.33333333</v>
      </c>
      <c r="X16" s="194" t="n">
        <f aca="false">IF(AND(Projects!$C$13&lt;=X$4,X$4&lt;=Projects!$C$13+Projects!$D$13-1),Projects!$B$13/Projects!$D$13,"")</f>
        <v>1508892.33333333</v>
      </c>
      <c r="Y16" s="194" t="n">
        <f aca="false">IF(AND(Projects!$C$13&lt;=Y$4,Y$4&lt;=Projects!$C$13+Projects!$D$13-1),Projects!$B$13/Projects!$D$13,"")</f>
        <v>1508892.33333333</v>
      </c>
      <c r="Z16" s="194" t="n">
        <f aca="false">IF(AND(Projects!$C$13&lt;=Z$4,Z$4&lt;=Projects!$C$13+Projects!$D$13-1),Projects!$B$13/Projects!$D$13,"")</f>
        <v>1508892.33333333</v>
      </c>
      <c r="AA16" s="194" t="n">
        <f aca="false">IF(AND(Projects!$C$13&lt;=AA$4,AA$4&lt;=Projects!$C$13+Projects!$D$13-1),Projects!$B$13/Projects!$D$13,"")</f>
        <v>1508892.33333333</v>
      </c>
      <c r="AB16" s="194" t="n">
        <f aca="false">IF(AND(Projects!$C$13&lt;=AB$4,AB$4&lt;=Projects!$C$13+Projects!$D$13-1),Projects!$B$13/Projects!$D$13,"")</f>
        <v>1508892.33333333</v>
      </c>
      <c r="AC16" s="194" t="n">
        <f aca="false">IF(AND(Projects!$C$13&lt;=AC$4,AC$4&lt;=Projects!$C$13+Projects!$D$13-1),Projects!$B$13/Projects!$D$13,"")</f>
        <v>1508892.33333333</v>
      </c>
      <c r="AD16" s="194" t="n">
        <f aca="false">IF(AND(Projects!$C$13&lt;=AD$4,AD$4&lt;=Projects!$C$13+Projects!$D$13-1),Projects!$B$13/Projects!$D$13,"")</f>
        <v>1508892.33333333</v>
      </c>
      <c r="AE16" s="194" t="n">
        <f aca="false">IF(AND(Projects!$C$13&lt;=AE$4,AE$4&lt;=Projects!$C$13+Projects!$D$13-1),Projects!$B$13/Projects!$D$13,"")</f>
        <v>1508892.33333333</v>
      </c>
      <c r="AF16" s="194" t="n">
        <f aca="false">IF(AND(Projects!$C$13&lt;=AF$4,AF$4&lt;=Projects!$C$13+Projects!$D$13-1),Projects!$B$13/Projects!$D$13,"")</f>
        <v>1508892.33333333</v>
      </c>
      <c r="AG16" s="194" t="n">
        <f aca="false">IF(AND(Projects!$C$13&lt;=AG$4,AG$4&lt;=Projects!$C$13+Projects!$D$13-1),Projects!$B$13/Projects!$D$13,"")</f>
        <v>1508892.33333333</v>
      </c>
      <c r="AH16" s="194" t="n">
        <f aca="false">IF(AND(Projects!$C$13&lt;=AH$4,AH$4&lt;=Projects!$C$13+Projects!$D$13-1),Projects!$B$13/Projects!$D$13,"")</f>
        <v>1508892.33333333</v>
      </c>
      <c r="AI16" s="194" t="n">
        <f aca="false">IF(AND(Projects!$C$13&lt;=AI$4,AI$4&lt;=Projects!$C$13+Projects!$D$13-1),Projects!$B$13/Projects!$D$13,"")</f>
        <v>1508892.33333333</v>
      </c>
      <c r="AJ16" s="194" t="n">
        <f aca="false">IF(AND(Projects!$C$13&lt;=AJ$4,AJ$4&lt;=Projects!$C$13+Projects!$D$13-1),Projects!$B$13/Projects!$D$13,"")</f>
        <v>1508892.33333333</v>
      </c>
      <c r="AK16" s="194" t="n">
        <f aca="false">IF(AND(Projects!$C$13&lt;=AK$4,AK$4&lt;=Projects!$C$13+Projects!$D$13-1),Projects!$B$13/Projects!$D$13,"")</f>
        <v>1508892.33333333</v>
      </c>
      <c r="AL16" s="194" t="n">
        <f aca="false">IF(AND(Projects!$C$13&lt;=AL$4,AL$4&lt;=Projects!$C$13+Projects!$D$13-1),Projects!$B$13/Projects!$D$13,"")</f>
        <v>1508892.33333333</v>
      </c>
      <c r="AM16" s="194" t="n">
        <f aca="false">IF(AND(Projects!$C$13&lt;=AM$4,AM$4&lt;=Projects!$C$13+Projects!$D$13-1),Projects!$B$13/Projects!$D$13,"")</f>
        <v>1508892.33333333</v>
      </c>
      <c r="AN16" s="194" t="n">
        <f aca="false">IF(AND(Projects!$C$13&lt;=AN$4,AN$4&lt;=Projects!$C$13+Projects!$D$13-1),Projects!$B$13/Projects!$D$13,"")</f>
        <v>1508892.33333333</v>
      </c>
      <c r="AO16" s="194" t="n">
        <f aca="false">IF(AND(Projects!$C$13&lt;=AO$4,AO$4&lt;=Projects!$C$13+Projects!$D$13-1),Projects!$B$13/Projects!$D$13,"")</f>
        <v>1508892.33333333</v>
      </c>
      <c r="AP16" s="194" t="n">
        <f aca="false">IF(AND(Projects!$C$13&lt;=AP$4,AP$4&lt;=Projects!$C$13+Projects!$D$13-1),Projects!$B$13/Projects!$D$13,"")</f>
        <v>1508892.33333333</v>
      </c>
      <c r="AQ16" s="194" t="n">
        <f aca="false">IF(AND(Projects!$C$13&lt;=AQ$4,AQ$4&lt;=Projects!$C$13+Projects!$D$13-1),Projects!$B$13/Projects!$D$13,"")</f>
        <v>1508892.33333333</v>
      </c>
      <c r="AR16" s="194" t="n">
        <f aca="false">IF(AND(Projects!$C$13&lt;=AR$4,AR$4&lt;=Projects!$C$13+Projects!$D$13-1),Projects!$B$13/Projects!$D$13,"")</f>
        <v>1508892.33333333</v>
      </c>
      <c r="AS16" s="194" t="n">
        <f aca="false">IF(AND(Projects!$C$13&lt;=AS$4,AS$4&lt;=Projects!$C$13+Projects!$D$13-1),Projects!$B$13/Projects!$D$13,"")</f>
        <v>1508892.33333333</v>
      </c>
      <c r="AT16" s="194" t="n">
        <f aca="false">IF(AND(Projects!$C$13&lt;=AT$4,AT$4&lt;=Projects!$C$13+Projects!$D$13-1),Projects!$B$13/Projects!$D$13,"")</f>
        <v>1508892.33333333</v>
      </c>
      <c r="AU16" s="194" t="n">
        <f aca="false">IF(AND(Projects!$C$13&lt;=AU$4,AU$4&lt;=Projects!$C$13+Projects!$D$13-1),Projects!$B$13/Projects!$D$13,"")</f>
        <v>1508892.33333333</v>
      </c>
      <c r="AV16" s="194" t="n">
        <f aca="false">IF(AND(Projects!$C$13&lt;=AV$4,AV$4&lt;=Projects!$C$13+Projects!$D$13-1),Projects!$B$13/Projects!$D$13,"")</f>
        <v>1508892.33333333</v>
      </c>
      <c r="AW16" s="194" t="str">
        <f aca="false">IF(AND(Projects!$C$13&lt;=AW$4,AW$4&lt;=Projects!$C$13+Projects!$D$13-1),Projects!$B$13/Projects!$D$13,"")</f>
        <v/>
      </c>
      <c r="AX16" s="194" t="str">
        <f aca="false">IF(AND(Projects!$C$13&lt;=AX$4,AX$4&lt;=Projects!$C$13+Projects!$D$13-1),Projects!$B$13/Projects!$D$13,"")</f>
        <v/>
      </c>
      <c r="AY16" s="194" t="str">
        <f aca="false">IF(AND(Projects!$C$13&lt;=AY$4,AY$4&lt;=Projects!$C$13+Projects!$D$13-1),Projects!$B$13/Projects!$D$13,"")</f>
        <v/>
      </c>
      <c r="AZ16" s="194" t="str">
        <f aca="false">IF(AND(Projects!$C$13&lt;=AZ$4,AZ$4&lt;=Projects!$C$13+Projects!$D$13-1),Projects!$B$13/Projects!$D$13,"")</f>
        <v/>
      </c>
      <c r="BA16" s="194" t="str">
        <f aca="false">IF(AND(Projects!$C$13&lt;=BA$4,BA$4&lt;=Projects!$C$13+Projects!$D$13-1),Projects!$B$13/Projects!$D$13,"")</f>
        <v/>
      </c>
      <c r="BB16" s="194" t="str">
        <f aca="false">IF(AND(Projects!$C$13&lt;=BB$4,BB$4&lt;=Projects!$C$13+Projects!$D$13-1),Projects!$B$13/Projects!$D$13,"")</f>
        <v/>
      </c>
      <c r="BC16" s="194" t="str">
        <f aca="false">IF(AND(Projects!$C$13&lt;=BC$4,BC$4&lt;=Projects!$C$13+Projects!$D$13-1),Projects!$B$13/Projects!$D$13,"")</f>
        <v/>
      </c>
      <c r="BD16" s="194" t="str">
        <f aca="false">IF(AND(Projects!$C$13&lt;=BD$4,BD$4&lt;=Projects!$C$13+Projects!$D$13-1),Projects!$B$13/Projects!$D$13,"")</f>
        <v/>
      </c>
      <c r="BE16" s="194" t="str">
        <f aca="false">IF(AND(Projects!$C$13&lt;=BE$4,BE$4&lt;=Projects!$C$13+Projects!$D$13-1),Projects!$B$13/Projects!$D$13,"")</f>
        <v/>
      </c>
      <c r="BF16" s="194" t="str">
        <f aca="false">IF(AND(Projects!$C$13&lt;=BF$4,BF$4&lt;=Projects!$C$13+Projects!$D$13-1),Projects!$B$13/Projects!$D$13,"")</f>
        <v/>
      </c>
      <c r="BG16" s="194" t="str">
        <f aca="false">IF(AND(Projects!$C$13&lt;=BG$4,BG$4&lt;=Projects!$C$13+Projects!$D$13-1),Projects!$B$13/Projects!$D$13,"")</f>
        <v/>
      </c>
      <c r="BH16" s="194" t="str">
        <f aca="false">IF(AND(Projects!$C$13&lt;=BH$4,BH$4&lt;=Projects!$C$13+Projects!$D$13-1),Projects!$B$13/Projects!$D$13,"")</f>
        <v/>
      </c>
      <c r="BI16" s="194" t="str">
        <f aca="false">IF(AND(Projects!$C$13&lt;=BI$4,BI$4&lt;=Projects!$C$13+Projects!$D$13-1),Projects!$B$13/Projects!$D$13,"")</f>
        <v/>
      </c>
      <c r="BJ16" s="194" t="str">
        <f aca="false">IF(AND(Projects!$C$13&lt;=BJ$4,BJ$4&lt;=Projects!$C$13+Projects!$D$13-1),Projects!$B$13/Projects!$D$13,"")</f>
        <v/>
      </c>
      <c r="BK16" s="194" t="str">
        <f aca="false">IF(AND(Projects!$C$13&lt;=BK$4,BK$4&lt;=Projects!$C$13+Projects!$D$13-1),Projects!$B$13/Projects!$D$13,"")</f>
        <v/>
      </c>
      <c r="BL16" s="194" t="str">
        <f aca="false">IF(AND(Projects!$C$13&lt;=BL$4,BL$4&lt;=Projects!$C$13+Projects!$D$13-1),Projects!$B$13/Projects!$D$13,"")</f>
        <v/>
      </c>
      <c r="BM16" s="194" t="str">
        <f aca="false">IF(AND(Projects!$C$13&lt;=BM$4,BM$4&lt;=Projects!$C$13+Projects!$D$13-1),Projects!$B$13/Projects!$D$13,"")</f>
        <v/>
      </c>
      <c r="BN16" s="194" t="str">
        <f aca="false">IF(AND(Projects!$C$13&lt;=BN$4,BN$4&lt;=Projects!$C$13+Projects!$D$13-1),Projects!$B$13/Projects!$D$13,"")</f>
        <v/>
      </c>
      <c r="BO16" s="194" t="str">
        <f aca="false">IF(AND(Projects!$C$13&lt;=BO$4,BO$4&lt;=Projects!$C$13+Projects!$D$13-1),Projects!$B$13/Projects!$D$13,"")</f>
        <v/>
      </c>
      <c r="BP16" s="194" t="str">
        <f aca="false">IF(AND(Projects!$C$13&lt;=BP$4,BP$4&lt;=Projects!$C$13+Projects!$D$13-1),Projects!$B$13/Projects!$D$13,"")</f>
        <v/>
      </c>
      <c r="BQ16" s="194" t="str">
        <f aca="false">IF(AND(Projects!$C$13&lt;=BQ$4,BQ$4&lt;=Projects!$C$13+Projects!$D$13-1),Projects!$B$13/Projects!$D$13,"")</f>
        <v/>
      </c>
      <c r="BR16" s="194" t="str">
        <f aca="false">IF(AND(Projects!$C$13&lt;=BR$4,BR$4&lt;=Projects!$C$13+Projects!$D$13-1),Projects!$B$13/Projects!$D$13,"")</f>
        <v/>
      </c>
      <c r="BS16" s="194" t="str">
        <f aca="false">IF(AND(Projects!$C$13&lt;=BS$4,BS$4&lt;=Projects!$C$13+Projects!$D$13-1),Projects!$B$13/Projects!$D$13,"")</f>
        <v/>
      </c>
      <c r="BT16" s="194" t="str">
        <f aca="false">IF(AND(Projects!$C$13&lt;=BT$4,BT$4&lt;=Projects!$C$13+Projects!$D$13-1),Projects!$B$13/Projects!$D$13,"")</f>
        <v/>
      </c>
      <c r="BU16" s="194" t="str">
        <f aca="false">IF(AND(Projects!$C$13&lt;=BU$4,BU$4&lt;=Projects!$C$13+Projects!$D$13-1),Projects!$B$13/Projects!$D$13,"")</f>
        <v/>
      </c>
      <c r="BV16" s="194" t="str">
        <f aca="false">IF(AND(Projects!$C$13&lt;=BV$4,BV$4&lt;=Projects!$C$13+Projects!$D$13-1),Projects!$B$13/Projects!$D$13,"")</f>
        <v/>
      </c>
      <c r="BW16" s="194" t="str">
        <f aca="false">IF(AND(Projects!$C$13&lt;=BW$4,BW$4&lt;=Projects!$C$13+Projects!$D$13-1),Projects!$B$13/Projects!$D$13,"")</f>
        <v/>
      </c>
      <c r="BX16" s="194" t="str">
        <f aca="false">IF(AND(Projects!$C$13&lt;=BX$4,BX$4&lt;=Projects!$C$13+Projects!$D$13-1),Projects!$B$13/Projects!$D$13,"")</f>
        <v/>
      </c>
      <c r="BY16" s="194" t="str">
        <f aca="false">IF(AND(Projects!$C$13&lt;=BY$4,BY$4&lt;=Projects!$C$13+Projects!$D$13-1),Projects!$B$13/Projects!$D$13,"")</f>
        <v/>
      </c>
      <c r="BZ16" s="194" t="str">
        <f aca="false">IF(AND(Projects!$C$13&lt;=BZ$4,BZ$4&lt;=Projects!$C$13+Projects!$D$13-1),Projects!$B$13/Projects!$D$13,"")</f>
        <v/>
      </c>
      <c r="CA16" s="194" t="str">
        <f aca="false">IF(AND(Projects!$C$13&lt;=CA$4,CA$4&lt;=Projects!$C$13+Projects!$D$13-1),Projects!$B$13/Projects!$D$13,"")</f>
        <v/>
      </c>
      <c r="CB16" s="194" t="str">
        <f aca="false">IF(AND(Projects!$C$13&lt;=CB$4,CB$4&lt;=Projects!$C$13+Projects!$D$13-1),Projects!$B$13/Projects!$D$13,"")</f>
        <v/>
      </c>
      <c r="CC16" s="194" t="str">
        <f aca="false">IF(AND(Projects!$C$13&lt;=CC$4,CC$4&lt;=Projects!$C$13+Projects!$D$13-1),Projects!$B$13/Projects!$D$13,"")</f>
        <v/>
      </c>
      <c r="CD16" s="194" t="str">
        <f aca="false">IF(AND(Projects!$C$13&lt;=CD$4,CD$4&lt;=Projects!$C$13+Projects!$D$13-1),Projects!$B$13/Projects!$D$13,"")</f>
        <v/>
      </c>
      <c r="CE16" s="194" t="str">
        <f aca="false">IF(AND(Projects!$C$13&lt;=CE$4,CE$4&lt;=Projects!$C$13+Projects!$D$13-1),Projects!$B$13/Projects!$D$13,"")</f>
        <v/>
      </c>
      <c r="CF16" s="194" t="str">
        <f aca="false">IF(AND(Projects!$C$13&lt;=CF$4,CF$4&lt;=Projects!$C$13+Projects!$D$13-1),Projects!$B$13/Projects!$D$13,"")</f>
        <v/>
      </c>
      <c r="CG16" s="194" t="str">
        <f aca="false">IF(AND(Projects!$C$13&lt;=CG$4,CG$4&lt;=Projects!$C$13+Projects!$D$13-1),Projects!$B$13/Projects!$D$13,"")</f>
        <v/>
      </c>
      <c r="CH16" s="194" t="str">
        <f aca="false">IF(AND(Projects!$C$13&lt;=CH$4,CH$4&lt;=Projects!$C$13+Projects!$D$13-1),Projects!$B$13/Projects!$D$13,"")</f>
        <v/>
      </c>
      <c r="CI16" s="194" t="str">
        <f aca="false">IF(AND(Projects!$C$13&lt;=CI$4,CI$4&lt;=Projects!$C$13+Projects!$D$13-1),Projects!$B$13/Projects!$D$13,"")</f>
        <v/>
      </c>
      <c r="CJ16" s="194" t="str">
        <f aca="false">IF(AND(Projects!$C$13&lt;=CJ$4,CJ$4&lt;=Projects!$C$13+Projects!$D$13-1),Projects!$B$13/Projects!$D$13,"")</f>
        <v/>
      </c>
      <c r="CK16" s="194" t="str">
        <f aca="false">IF(AND(Projects!$C$13&lt;=CK$4,CK$4&lt;=Projects!$C$13+Projects!$D$13-1),Projects!$B$13/Projects!$D$13,"")</f>
        <v/>
      </c>
      <c r="CL16" s="194" t="str">
        <f aca="false">IF(AND(Projects!$C$13&lt;=CL$4,CL$4&lt;=Projects!$C$13+Projects!$D$13-1),Projects!$B$13/Projects!$D$13,"")</f>
        <v/>
      </c>
      <c r="CM16" s="194" t="str">
        <f aca="false">IF(AND(Projects!$C$13&lt;=CM$4,CM$4&lt;=Projects!$C$13+Projects!$D$13-1),Projects!$B$13/Projects!$D$13,"")</f>
        <v/>
      </c>
      <c r="CN16" s="194" t="str">
        <f aca="false">IF(AND(Projects!$C$13&lt;=CN$4,CN$4&lt;=Projects!$C$13+Projects!$D$13-1),Projects!$B$13/Projects!$D$13,"")</f>
        <v/>
      </c>
      <c r="CO16" s="194" t="str">
        <f aca="false">IF(AND(Projects!$C$13&lt;=CO$4,CO$4&lt;=Projects!$C$13+Projects!$D$13-1),Projects!$B$13/Projects!$D$13,"")</f>
        <v/>
      </c>
      <c r="CP16" s="194" t="str">
        <f aca="false">IF(AND(Projects!$C$13&lt;=CP$4,CP$4&lt;=Projects!$C$13+Projects!$D$13-1),Projects!$B$13/Projects!$D$13,"")</f>
        <v/>
      </c>
      <c r="CQ16" s="194" t="str">
        <f aca="false">IF(AND(Projects!$C$13&lt;=CQ$4,CQ$4&lt;=Projects!$C$13+Projects!$D$13-1),Projects!$B$13/Projects!$D$13,"")</f>
        <v/>
      </c>
      <c r="CR16" s="194" t="str">
        <f aca="false">IF(AND(Projects!$C$13&lt;=CR$4,CR$4&lt;=Projects!$C$13+Projects!$D$13-1),Projects!$B$13/Projects!$D$13,"")</f>
        <v/>
      </c>
      <c r="CS16" s="194" t="str">
        <f aca="false">IF(AND(Projects!$C$13&lt;=CS$4,CS$4&lt;=Projects!$C$13+Projects!$D$13-1),Projects!$B$13/Projects!$D$13,"")</f>
        <v/>
      </c>
      <c r="CT16" s="194" t="str">
        <f aca="false">IF(AND(Projects!$C$13&lt;=CT$4,CT$4&lt;=Projects!$C$13+Projects!$D$13-1),Projects!$B$13/Projects!$D$13,"")</f>
        <v/>
      </c>
      <c r="CU16" s="194" t="str">
        <f aca="false">IF(AND(Projects!$C$13&lt;=CU$4,CU$4&lt;=Projects!$C$13+Projects!$D$13-1),Projects!$B$13/Projects!$D$13,"")</f>
        <v/>
      </c>
      <c r="CV16" s="194" t="str">
        <f aca="false">IF(AND(Projects!$C$13&lt;=CV$4,CV$4&lt;=Projects!$C$13+Projects!$D$13-1),Projects!$B$13/Projects!$D$13,"")</f>
        <v/>
      </c>
      <c r="CW16" s="194" t="str">
        <f aca="false">IF(AND(Projects!$C$13&lt;=CW$4,CW$4&lt;=Projects!$C$13+Projects!$D$13-1),Projects!$B$13/Projects!$D$13,"")</f>
        <v/>
      </c>
      <c r="CX16" s="194" t="str">
        <f aca="false">IF(AND(Projects!$C$13&lt;=CX$4,CX$4&lt;=Projects!$C$13+Projects!$D$13-1),Projects!$B$13/Projects!$D$13,"")</f>
        <v/>
      </c>
      <c r="CY16" s="194" t="str">
        <f aca="false">IF(AND(Projects!$C$13&lt;=CY$4,CY$4&lt;=Projects!$C$13+Projects!$D$13-1),Projects!$B$13/Projects!$D$13,"")</f>
        <v/>
      </c>
      <c r="CZ16" s="194" t="str">
        <f aca="false">IF(AND(Projects!$C$13&lt;=CZ$4,CZ$4&lt;=Projects!$C$13+Projects!$D$13-1),Projects!$B$13/Projects!$D$13,"")</f>
        <v/>
      </c>
      <c r="DA16" s="194" t="str">
        <f aca="false">IF(AND(Projects!$C$13&lt;=DA$4,DA$4&lt;=Projects!$C$13+Projects!$D$13-1),Projects!$B$13/Projects!$D$13,"")</f>
        <v/>
      </c>
      <c r="DB16" s="194" t="str">
        <f aca="false">IF(AND(Projects!$C$13&lt;=DB$4,DB$4&lt;=Projects!$C$13+Projects!$D$13-1),Projects!$B$13/Projects!$D$13,"")</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Projects!$B$14/Projects!$D$14</f>
        <v>1378487.73333333</v>
      </c>
      <c r="G17" s="194" t="str">
        <f aca="false">IF(AND(Projects!$C$14&lt;=G$4,G$4&lt;=Projects!$C$14+Projects!$D$14-1),Projects!$B$14/Projects!$D$14,"")</f>
        <v/>
      </c>
      <c r="H17" s="194" t="str">
        <f aca="false">IF(AND(Projects!$C$14&lt;=H$4,H$4&lt;=Projects!$C$14+Projects!$D$14-1),Projects!$B$14/Projects!$D$14,"")</f>
        <v/>
      </c>
      <c r="I17" s="194" t="str">
        <f aca="false">IF(AND(Projects!$C$14&lt;=I$4,I$4&lt;=Projects!$C$14+Projects!$D$14-1),Projects!$B$14/Projects!$D$14,"")</f>
        <v/>
      </c>
      <c r="J17" s="194" t="str">
        <f aca="false">IF(AND(Projects!$C$14&lt;=J$4,J$4&lt;=Projects!$C$14+Projects!$D$14-1),Projects!$B$14/Projects!$D$14,"")</f>
        <v/>
      </c>
      <c r="K17" s="194" t="str">
        <f aca="false">IF(AND(Projects!$C$14&lt;=K$4,K$4&lt;=Projects!$C$14+Projects!$D$14-1),Projects!$B$14/Projects!$D$14,"")</f>
        <v/>
      </c>
      <c r="L17" s="194" t="str">
        <f aca="false">IF(AND(Projects!$C$14&lt;=L$4,L$4&lt;=Projects!$C$14+Projects!$D$14-1),Projects!$B$14/Projects!$D$14,"")</f>
        <v/>
      </c>
      <c r="M17" s="194" t="str">
        <f aca="false">IF(AND(Projects!$C$14&lt;=M$4,M$4&lt;=Projects!$C$14+Projects!$D$14-1),Projects!$B$14/Projects!$D$14,"")</f>
        <v/>
      </c>
      <c r="N17" s="194" t="str">
        <f aca="false">IF(AND(Projects!$C$14&lt;=N$4,N$4&lt;=Projects!$C$14+Projects!$D$14-1),Projects!$B$14/Projects!$D$14,"")</f>
        <v/>
      </c>
      <c r="O17" s="194" t="str">
        <f aca="false">IF(AND(Projects!$C$14&lt;=O$4,O$4&lt;=Projects!$C$14+Projects!$D$14-1),Projects!$B$14/Projects!$D$14,"")</f>
        <v/>
      </c>
      <c r="P17" s="194" t="str">
        <f aca="false">IF(AND(Projects!$C$14&lt;=P$4,P$4&lt;=Projects!$C$14+Projects!$D$14-1),Projects!$B$14/Projects!$D$14,"")</f>
        <v/>
      </c>
      <c r="Q17" s="194" t="str">
        <f aca="false">IF(AND(Projects!$C$14&lt;=Q$4,Q$4&lt;=Projects!$C$14+Projects!$D$14-1),Projects!$B$14/Projects!$D$14,"")</f>
        <v/>
      </c>
      <c r="R17" s="194" t="str">
        <f aca="false">IF(AND(Projects!$C$14&lt;=R$4,R$4&lt;=Projects!$C$14+Projects!$D$14-1),Projects!$B$14/Projects!$D$14,"")</f>
        <v/>
      </c>
      <c r="S17" s="194" t="str">
        <f aca="false">IF(AND(Projects!$C$14&lt;=S$4,S$4&lt;=Projects!$C$14+Projects!$D$14-1),Projects!$B$14/Projects!$D$14,"")</f>
        <v/>
      </c>
      <c r="T17" s="194" t="str">
        <f aca="false">IF(AND(Projects!$C$14&lt;=T$4,T$4&lt;=Projects!$C$14+Projects!$D$14-1),Projects!$B$14/Projects!$D$14,"")</f>
        <v/>
      </c>
      <c r="U17" s="194" t="str">
        <f aca="false">IF(AND(Projects!$C$14&lt;=U$4,U$4&lt;=Projects!$C$14+Projects!$D$14-1),Projects!$B$14/Projects!$D$14,"")</f>
        <v/>
      </c>
      <c r="V17" s="194" t="str">
        <f aca="false">IF(AND(Projects!$C$14&lt;=V$4,V$4&lt;=Projects!$C$14+Projects!$D$14-1),Projects!$B$14/Projects!$D$14,"")</f>
        <v/>
      </c>
      <c r="W17" s="194" t="str">
        <f aca="false">IF(AND(Projects!$C$14&lt;=W$4,W$4&lt;=Projects!$C$14+Projects!$D$14-1),Projects!$B$14/Projects!$D$14,"")</f>
        <v/>
      </c>
      <c r="X17" s="194" t="str">
        <f aca="false">IF(AND(Projects!$C$14&lt;=X$4,X$4&lt;=Projects!$C$14+Projects!$D$14-1),Projects!$B$14/Projects!$D$14,"")</f>
        <v/>
      </c>
      <c r="Y17" s="194" t="str">
        <f aca="false">IF(AND(Projects!$C$14&lt;=Y$4,Y$4&lt;=Projects!$C$14+Projects!$D$14-1),Projects!$B$14/Projects!$D$14,"")</f>
        <v/>
      </c>
      <c r="Z17" s="194" t="str">
        <f aca="false">IF(AND(Projects!$C$14&lt;=Z$4,Z$4&lt;=Projects!$C$14+Projects!$D$14-1),Projects!$B$14/Projects!$D$14,"")</f>
        <v/>
      </c>
      <c r="AA17" s="194" t="str">
        <f aca="false">IF(AND(Projects!$C$14&lt;=AA$4,AA$4&lt;=Projects!$C$14+Projects!$D$14-1),Projects!$B$14/Projects!$D$14,"")</f>
        <v/>
      </c>
      <c r="AB17" s="194" t="str">
        <f aca="false">IF(AND(Projects!$C$14&lt;=AB$4,AB$4&lt;=Projects!$C$14+Projects!$D$14-1),Projects!$B$14/Projects!$D$14,"")</f>
        <v/>
      </c>
      <c r="AC17" s="194" t="str">
        <f aca="false">IF(AND(Projects!$C$14&lt;=AC$4,AC$4&lt;=Projects!$C$14+Projects!$D$14-1),Projects!$B$14/Projects!$D$14,"")</f>
        <v/>
      </c>
      <c r="AD17" s="194" t="str">
        <f aca="false">IF(AND(Projects!$C$14&lt;=AD$4,AD$4&lt;=Projects!$C$14+Projects!$D$14-1),Projects!$B$14/Projects!$D$14,"")</f>
        <v/>
      </c>
      <c r="AE17" s="194" t="str">
        <f aca="false">IF(AND(Projects!$C$14&lt;=AE$4,AE$4&lt;=Projects!$C$14+Projects!$D$14-1),Projects!$B$14/Projects!$D$14,"")</f>
        <v/>
      </c>
      <c r="AF17" s="194" t="str">
        <f aca="false">IF(AND(Projects!$C$14&lt;=AF$4,AF$4&lt;=Projects!$C$14+Projects!$D$14-1),Projects!$B$14/Projects!$D$14,"")</f>
        <v/>
      </c>
      <c r="AG17" s="194" t="n">
        <f aca="false">IF(AND(Projects!$C$14&lt;=AG$4,AG$4&lt;=Projects!$C$14+Projects!$D$14-1),Projects!$B$14/Projects!$D$14,"")</f>
        <v>1378487.73333333</v>
      </c>
      <c r="AH17" s="194" t="n">
        <f aca="false">IF(AND(Projects!$C$14&lt;=AH$4,AH$4&lt;=Projects!$C$14+Projects!$D$14-1),Projects!$B$14/Projects!$D$14,"")</f>
        <v>1378487.73333333</v>
      </c>
      <c r="AI17" s="194" t="n">
        <f aca="false">IF(AND(Projects!$C$14&lt;=AI$4,AI$4&lt;=Projects!$C$14+Projects!$D$14-1),Projects!$B$14/Projects!$D$14,"")</f>
        <v>1378487.73333333</v>
      </c>
      <c r="AJ17" s="194" t="n">
        <f aca="false">IF(AND(Projects!$C$14&lt;=AJ$4,AJ$4&lt;=Projects!$C$14+Projects!$D$14-1),Projects!$B$14/Projects!$D$14,"")</f>
        <v>1378487.73333333</v>
      </c>
      <c r="AK17" s="194" t="n">
        <f aca="false">IF(AND(Projects!$C$14&lt;=AK$4,AK$4&lt;=Projects!$C$14+Projects!$D$14-1),Projects!$B$14/Projects!$D$14,"")</f>
        <v>1378487.73333333</v>
      </c>
      <c r="AL17" s="194" t="n">
        <f aca="false">IF(AND(Projects!$C$14&lt;=AL$4,AL$4&lt;=Projects!$C$14+Projects!$D$14-1),Projects!$B$14/Projects!$D$14,"")</f>
        <v>1378487.73333333</v>
      </c>
      <c r="AM17" s="194" t="n">
        <f aca="false">IF(AND(Projects!$C$14&lt;=AM$4,AM$4&lt;=Projects!$C$14+Projects!$D$14-1),Projects!$B$14/Projects!$D$14,"")</f>
        <v>1378487.73333333</v>
      </c>
      <c r="AN17" s="194" t="n">
        <f aca="false">IF(AND(Projects!$C$14&lt;=AN$4,AN$4&lt;=Projects!$C$14+Projects!$D$14-1),Projects!$B$14/Projects!$D$14,"")</f>
        <v>1378487.73333333</v>
      </c>
      <c r="AO17" s="194" t="n">
        <f aca="false">IF(AND(Projects!$C$14&lt;=AO$4,AO$4&lt;=Projects!$C$14+Projects!$D$14-1),Projects!$B$14/Projects!$D$14,"")</f>
        <v>1378487.73333333</v>
      </c>
      <c r="AP17" s="194" t="n">
        <f aca="false">IF(AND(Projects!$C$14&lt;=AP$4,AP$4&lt;=Projects!$C$14+Projects!$D$14-1),Projects!$B$14/Projects!$D$14,"")</f>
        <v>1378487.73333333</v>
      </c>
      <c r="AQ17" s="194" t="n">
        <f aca="false">IF(AND(Projects!$C$14&lt;=AQ$4,AQ$4&lt;=Projects!$C$14+Projects!$D$14-1),Projects!$B$14/Projects!$D$14,"")</f>
        <v>1378487.73333333</v>
      </c>
      <c r="AR17" s="194" t="n">
        <f aca="false">IF(AND(Projects!$C$14&lt;=AR$4,AR$4&lt;=Projects!$C$14+Projects!$D$14-1),Projects!$B$14/Projects!$D$14,"")</f>
        <v>1378487.73333333</v>
      </c>
      <c r="AS17" s="194" t="n">
        <f aca="false">IF(AND(Projects!$C$14&lt;=AS$4,AS$4&lt;=Projects!$C$14+Projects!$D$14-1),Projects!$B$14/Projects!$D$14,"")</f>
        <v>1378487.73333333</v>
      </c>
      <c r="AT17" s="194" t="n">
        <f aca="false">IF(AND(Projects!$C$14&lt;=AT$4,AT$4&lt;=Projects!$C$14+Projects!$D$14-1),Projects!$B$14/Projects!$D$14,"")</f>
        <v>1378487.73333333</v>
      </c>
      <c r="AU17" s="194" t="n">
        <f aca="false">IF(AND(Projects!$C$14&lt;=AU$4,AU$4&lt;=Projects!$C$14+Projects!$D$14-1),Projects!$B$14/Projects!$D$14,"")</f>
        <v>1378487.73333333</v>
      </c>
      <c r="AV17" s="194" t="n">
        <f aca="false">IF(AND(Projects!$C$14&lt;=AV$4,AV$4&lt;=Projects!$C$14+Projects!$D$14-1),Projects!$B$14/Projects!$D$14,"")</f>
        <v>1378487.73333333</v>
      </c>
      <c r="AW17" s="194" t="n">
        <f aca="false">IF(AND(Projects!$C$14&lt;=AW$4,AW$4&lt;=Projects!$C$14+Projects!$D$14-1),Projects!$B$14/Projects!$D$14,"")</f>
        <v>1378487.73333333</v>
      </c>
      <c r="AX17" s="194" t="n">
        <f aca="false">IF(AND(Projects!$C$14&lt;=AX$4,AX$4&lt;=Projects!$C$14+Projects!$D$14-1),Projects!$B$14/Projects!$D$14,"")</f>
        <v>1378487.73333333</v>
      </c>
      <c r="AY17" s="194" t="n">
        <f aca="false">IF(AND(Projects!$C$14&lt;=AY$4,AY$4&lt;=Projects!$C$14+Projects!$D$14-1),Projects!$B$14/Projects!$D$14,"")</f>
        <v>1378487.73333333</v>
      </c>
      <c r="AZ17" s="194" t="n">
        <f aca="false">IF(AND(Projects!$C$14&lt;=AZ$4,AZ$4&lt;=Projects!$C$14+Projects!$D$14-1),Projects!$B$14/Projects!$D$14,"")</f>
        <v>1378487.73333333</v>
      </c>
      <c r="BA17" s="194" t="n">
        <f aca="false">IF(AND(Projects!$C$14&lt;=BA$4,BA$4&lt;=Projects!$C$14+Projects!$D$14-1),Projects!$B$14/Projects!$D$14,"")</f>
        <v>1378487.73333333</v>
      </c>
      <c r="BB17" s="194" t="n">
        <f aca="false">IF(AND(Projects!$C$14&lt;=BB$4,BB$4&lt;=Projects!$C$14+Projects!$D$14-1),Projects!$B$14/Projects!$D$14,"")</f>
        <v>1378487.73333333</v>
      </c>
      <c r="BC17" s="194" t="n">
        <f aca="false">IF(AND(Projects!$C$14&lt;=BC$4,BC$4&lt;=Projects!$C$14+Projects!$D$14-1),Projects!$B$14/Projects!$D$14,"")</f>
        <v>1378487.73333333</v>
      </c>
      <c r="BD17" s="194" t="n">
        <f aca="false">IF(AND(Projects!$C$14&lt;=BD$4,BD$4&lt;=Projects!$C$14+Projects!$D$14-1),Projects!$B$14/Projects!$D$14,"")</f>
        <v>1378487.73333333</v>
      </c>
      <c r="BE17" s="194" t="n">
        <f aca="false">IF(AND(Projects!$C$14&lt;=BE$4,BE$4&lt;=Projects!$C$14+Projects!$D$14-1),Projects!$B$14/Projects!$D$14,"")</f>
        <v>1378487.73333333</v>
      </c>
      <c r="BF17" s="194" t="n">
        <f aca="false">IF(AND(Projects!$C$14&lt;=BF$4,BF$4&lt;=Projects!$C$14+Projects!$D$14-1),Projects!$B$14/Projects!$D$14,"")</f>
        <v>1378487.73333333</v>
      </c>
      <c r="BG17" s="194" t="n">
        <f aca="false">IF(AND(Projects!$C$14&lt;=BG$4,BG$4&lt;=Projects!$C$14+Projects!$D$14-1),Projects!$B$14/Projects!$D$14,"")</f>
        <v>1378487.73333333</v>
      </c>
      <c r="BH17" s="194" t="n">
        <f aca="false">IF(AND(Projects!$C$14&lt;=BH$4,BH$4&lt;=Projects!$C$14+Projects!$D$14-1),Projects!$B$14/Projects!$D$14,"")</f>
        <v>1378487.73333333</v>
      </c>
      <c r="BI17" s="194" t="n">
        <f aca="false">IF(AND(Projects!$C$14&lt;=BI$4,BI$4&lt;=Projects!$C$14+Projects!$D$14-1),Projects!$B$14/Projects!$D$14,"")</f>
        <v>1378487.73333333</v>
      </c>
      <c r="BJ17" s="194" t="n">
        <f aca="false">IF(AND(Projects!$C$14&lt;=BJ$4,BJ$4&lt;=Projects!$C$14+Projects!$D$14-1),Projects!$B$14/Projects!$D$14,"")</f>
        <v>1378487.73333333</v>
      </c>
      <c r="BK17" s="194" t="str">
        <f aca="false">IF(AND(Projects!$C$14&lt;=BK$4,BK$4&lt;=Projects!$C$14+Projects!$D$14-1),Projects!$B$14/Projects!$D$14,"")</f>
        <v/>
      </c>
      <c r="BL17" s="194" t="str">
        <f aca="false">IF(AND(Projects!$C$14&lt;=BL$4,BL$4&lt;=Projects!$C$14+Projects!$D$14-1),Projects!$B$14/Projects!$D$14,"")</f>
        <v/>
      </c>
      <c r="BM17" s="194" t="str">
        <f aca="false">IF(AND(Projects!$C$14&lt;=BM$4,BM$4&lt;=Projects!$C$14+Projects!$D$14-1),Projects!$B$14/Projects!$D$14,"")</f>
        <v/>
      </c>
      <c r="BN17" s="194" t="str">
        <f aca="false">IF(AND(Projects!$C$14&lt;=BN$4,BN$4&lt;=Projects!$C$14+Projects!$D$14-1),Projects!$B$14/Projects!$D$14,"")</f>
        <v/>
      </c>
      <c r="BO17" s="194" t="str">
        <f aca="false">IF(AND(Projects!$C$14&lt;=BO$4,BO$4&lt;=Projects!$C$14+Projects!$D$14-1),Projects!$B$14/Projects!$D$14,"")</f>
        <v/>
      </c>
      <c r="BP17" s="194" t="str">
        <f aca="false">IF(AND(Projects!$C$14&lt;=BP$4,BP$4&lt;=Projects!$C$14+Projects!$D$14-1),Projects!$B$14/Projects!$D$14,"")</f>
        <v/>
      </c>
      <c r="BQ17" s="194" t="str">
        <f aca="false">IF(AND(Projects!$C$14&lt;=BQ$4,BQ$4&lt;=Projects!$C$14+Projects!$D$14-1),Projects!$B$14/Projects!$D$14,"")</f>
        <v/>
      </c>
      <c r="BR17" s="194" t="str">
        <f aca="false">IF(AND(Projects!$C$14&lt;=BR$4,BR$4&lt;=Projects!$C$14+Projects!$D$14-1),Projects!$B$14/Projects!$D$14,"")</f>
        <v/>
      </c>
      <c r="BS17" s="194" t="str">
        <f aca="false">IF(AND(Projects!$C$14&lt;=BS$4,BS$4&lt;=Projects!$C$14+Projects!$D$14-1),Projects!$B$14/Projects!$D$14,"")</f>
        <v/>
      </c>
      <c r="BT17" s="194" t="str">
        <f aca="false">IF(AND(Projects!$C$14&lt;=BT$4,BT$4&lt;=Projects!$C$14+Projects!$D$14-1),Projects!$B$14/Projects!$D$14,"")</f>
        <v/>
      </c>
      <c r="BU17" s="194" t="str">
        <f aca="false">IF(AND(Projects!$C$14&lt;=BU$4,BU$4&lt;=Projects!$C$14+Projects!$D$14-1),Projects!$B$14/Projects!$D$14,"")</f>
        <v/>
      </c>
      <c r="BV17" s="194" t="str">
        <f aca="false">IF(AND(Projects!$C$14&lt;=BV$4,BV$4&lt;=Projects!$C$14+Projects!$D$14-1),Projects!$B$14/Projects!$D$14,"")</f>
        <v/>
      </c>
      <c r="BW17" s="194" t="str">
        <f aca="false">IF(AND(Projects!$C$14&lt;=BW$4,BW$4&lt;=Projects!$C$14+Projects!$D$14-1),Projects!$B$14/Projects!$D$14,"")</f>
        <v/>
      </c>
      <c r="BX17" s="194" t="str">
        <f aca="false">IF(AND(Projects!$C$14&lt;=BX$4,BX$4&lt;=Projects!$C$14+Projects!$D$14-1),Projects!$B$14/Projects!$D$14,"")</f>
        <v/>
      </c>
      <c r="BY17" s="194" t="str">
        <f aca="false">IF(AND(Projects!$C$14&lt;=BY$4,BY$4&lt;=Projects!$C$14+Projects!$D$14-1),Projects!$B$14/Projects!$D$14,"")</f>
        <v/>
      </c>
      <c r="BZ17" s="194" t="str">
        <f aca="false">IF(AND(Projects!$C$14&lt;=BZ$4,BZ$4&lt;=Projects!$C$14+Projects!$D$14-1),Projects!$B$14/Projects!$D$14,"")</f>
        <v/>
      </c>
      <c r="CA17" s="194" t="str">
        <f aca="false">IF(AND(Projects!$C$14&lt;=CA$4,CA$4&lt;=Projects!$C$14+Projects!$D$14-1),Projects!$B$14/Projects!$D$14,"")</f>
        <v/>
      </c>
      <c r="CB17" s="194" t="str">
        <f aca="false">IF(AND(Projects!$C$14&lt;=CB$4,CB$4&lt;=Projects!$C$14+Projects!$D$14-1),Projects!$B$14/Projects!$D$14,"")</f>
        <v/>
      </c>
      <c r="CC17" s="194" t="str">
        <f aca="false">IF(AND(Projects!$C$14&lt;=CC$4,CC$4&lt;=Projects!$C$14+Projects!$D$14-1),Projects!$B$14/Projects!$D$14,"")</f>
        <v/>
      </c>
      <c r="CD17" s="194" t="str">
        <f aca="false">IF(AND(Projects!$C$14&lt;=CD$4,CD$4&lt;=Projects!$C$14+Projects!$D$14-1),Projects!$B$14/Projects!$D$14,"")</f>
        <v/>
      </c>
      <c r="CE17" s="194" t="str">
        <f aca="false">IF(AND(Projects!$C$14&lt;=CE$4,CE$4&lt;=Projects!$C$14+Projects!$D$14-1),Projects!$B$14/Projects!$D$14,"")</f>
        <v/>
      </c>
      <c r="CF17" s="194" t="str">
        <f aca="false">IF(AND(Projects!$C$14&lt;=CF$4,CF$4&lt;=Projects!$C$14+Projects!$D$14-1),Projects!$B$14/Projects!$D$14,"")</f>
        <v/>
      </c>
      <c r="CG17" s="194" t="str">
        <f aca="false">IF(AND(Projects!$C$14&lt;=CG$4,CG$4&lt;=Projects!$C$14+Projects!$D$14-1),Projects!$B$14/Projects!$D$14,"")</f>
        <v/>
      </c>
      <c r="CH17" s="194" t="str">
        <f aca="false">IF(AND(Projects!$C$14&lt;=CH$4,CH$4&lt;=Projects!$C$14+Projects!$D$14-1),Projects!$B$14/Projects!$D$14,"")</f>
        <v/>
      </c>
      <c r="CI17" s="194" t="str">
        <f aca="false">IF(AND(Projects!$C$14&lt;=CI$4,CI$4&lt;=Projects!$C$14+Projects!$D$14-1),Projects!$B$14/Projects!$D$14,"")</f>
        <v/>
      </c>
      <c r="CJ17" s="194" t="str">
        <f aca="false">IF(AND(Projects!$C$14&lt;=CJ$4,CJ$4&lt;=Projects!$C$14+Projects!$D$14-1),Projects!$B$14/Projects!$D$14,"")</f>
        <v/>
      </c>
      <c r="CK17" s="194" t="str">
        <f aca="false">IF(AND(Projects!$C$14&lt;=CK$4,CK$4&lt;=Projects!$C$14+Projects!$D$14-1),Projects!$B$14/Projects!$D$14,"")</f>
        <v/>
      </c>
      <c r="CL17" s="194" t="str">
        <f aca="false">IF(AND(Projects!$C$14&lt;=CL$4,CL$4&lt;=Projects!$C$14+Projects!$D$14-1),Projects!$B$14/Projects!$D$14,"")</f>
        <v/>
      </c>
      <c r="CM17" s="194" t="str">
        <f aca="false">IF(AND(Projects!$C$14&lt;=CM$4,CM$4&lt;=Projects!$C$14+Projects!$D$14-1),Projects!$B$14/Projects!$D$14,"")</f>
        <v/>
      </c>
      <c r="CN17" s="194" t="str">
        <f aca="false">IF(AND(Projects!$C$14&lt;=CN$4,CN$4&lt;=Projects!$C$14+Projects!$D$14-1),Projects!$B$14/Projects!$D$14,"")</f>
        <v/>
      </c>
      <c r="CO17" s="194" t="str">
        <f aca="false">IF(AND(Projects!$C$14&lt;=CO$4,CO$4&lt;=Projects!$C$14+Projects!$D$14-1),Projects!$B$14/Projects!$D$14,"")</f>
        <v/>
      </c>
      <c r="CP17" s="194" t="str">
        <f aca="false">IF(AND(Projects!$C$14&lt;=CP$4,CP$4&lt;=Projects!$C$14+Projects!$D$14-1),Projects!$B$14/Projects!$D$14,"")</f>
        <v/>
      </c>
      <c r="CQ17" s="194" t="str">
        <f aca="false">IF(AND(Projects!$C$14&lt;=CQ$4,CQ$4&lt;=Projects!$C$14+Projects!$D$14-1),Projects!$B$14/Projects!$D$14,"")</f>
        <v/>
      </c>
      <c r="CR17" s="194" t="str">
        <f aca="false">IF(AND(Projects!$C$14&lt;=CR$4,CR$4&lt;=Projects!$C$14+Projects!$D$14-1),Projects!$B$14/Projects!$D$14,"")</f>
        <v/>
      </c>
      <c r="CS17" s="194" t="str">
        <f aca="false">IF(AND(Projects!$C$14&lt;=CS$4,CS$4&lt;=Projects!$C$14+Projects!$D$14-1),Projects!$B$14/Projects!$D$14,"")</f>
        <v/>
      </c>
      <c r="CT17" s="194" t="str">
        <f aca="false">IF(AND(Projects!$C$14&lt;=CT$4,CT$4&lt;=Projects!$C$14+Projects!$D$14-1),Projects!$B$14/Projects!$D$14,"")</f>
        <v/>
      </c>
      <c r="CU17" s="194" t="str">
        <f aca="false">IF(AND(Projects!$C$14&lt;=CU$4,CU$4&lt;=Projects!$C$14+Projects!$D$14-1),Projects!$B$14/Projects!$D$14,"")</f>
        <v/>
      </c>
      <c r="CV17" s="194" t="str">
        <f aca="false">IF(AND(Projects!$C$14&lt;=CV$4,CV$4&lt;=Projects!$C$14+Projects!$D$14-1),Projects!$B$14/Projects!$D$14,"")</f>
        <v/>
      </c>
      <c r="CW17" s="194" t="str">
        <f aca="false">IF(AND(Projects!$C$14&lt;=CW$4,CW$4&lt;=Projects!$C$14+Projects!$D$14-1),Projects!$B$14/Projects!$D$14,"")</f>
        <v/>
      </c>
      <c r="CX17" s="194" t="str">
        <f aca="false">IF(AND(Projects!$C$14&lt;=CX$4,CX$4&lt;=Projects!$C$14+Projects!$D$14-1),Projects!$B$14/Projects!$D$14,"")</f>
        <v/>
      </c>
      <c r="CY17" s="194" t="str">
        <f aca="false">IF(AND(Projects!$C$14&lt;=CY$4,CY$4&lt;=Projects!$C$14+Projects!$D$14-1),Projects!$B$14/Projects!$D$14,"")</f>
        <v/>
      </c>
      <c r="CZ17" s="194" t="str">
        <f aca="false">IF(AND(Projects!$C$14&lt;=CZ$4,CZ$4&lt;=Projects!$C$14+Projects!$D$14-1),Projects!$B$14/Projects!$D$14,"")</f>
        <v/>
      </c>
      <c r="DA17" s="194" t="str">
        <f aca="false">IF(AND(Projects!$C$14&lt;=DA$4,DA$4&lt;=Projects!$C$14+Projects!$D$14-1),Projects!$B$14/Projects!$D$14,"")</f>
        <v/>
      </c>
      <c r="DB17" s="194" t="str">
        <f aca="false">IF(AND(Projects!$C$14&lt;=DB$4,DB$4&lt;=Projects!$C$14+Projects!$D$14-1),Projects!$B$14/Projects!$D$14,"")</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Projects!$B$17/Projects!$D$17</f>
        <v>806106.052631579</v>
      </c>
      <c r="G18" s="194" t="str">
        <f aca="false">IF(AND(Projects!$C$17&lt;=G$4,G$4&lt;=Projects!$C$17+Projects!$D$17-1),Projects!$B$17/Projects!$D$17,"")</f>
        <v/>
      </c>
      <c r="H18" s="194" t="str">
        <f aca="false">IF(AND(Projects!$C$17&lt;=H$4,H$4&lt;=Projects!$C$17+Projects!$D$17-1),Projects!$B$17/Projects!$D$17,"")</f>
        <v/>
      </c>
      <c r="I18" s="194" t="str">
        <f aca="false">IF(AND(Projects!$C$17&lt;=I$4,I$4&lt;=Projects!$C$17+Projects!$D$17-1),Projects!$B$17/Projects!$D$17,"")</f>
        <v/>
      </c>
      <c r="J18" s="194" t="str">
        <f aca="false">IF(AND(Projects!$C$17&lt;=J$4,J$4&lt;=Projects!$C$17+Projects!$D$17-1),Projects!$B$17/Projects!$D$17,"")</f>
        <v/>
      </c>
      <c r="K18" s="194" t="str">
        <f aca="false">IF(AND(Projects!$C$17&lt;=K$4,K$4&lt;=Projects!$C$17+Projects!$D$17-1),Projects!$B$17/Projects!$D$17,"")</f>
        <v/>
      </c>
      <c r="L18" s="194" t="str">
        <f aca="false">IF(AND(Projects!$C$17&lt;=L$4,L$4&lt;=Projects!$C$17+Projects!$D$17-1),Projects!$B$17/Projects!$D$17,"")</f>
        <v/>
      </c>
      <c r="M18" s="194" t="str">
        <f aca="false">IF(AND(Projects!$C$17&lt;=M$4,M$4&lt;=Projects!$C$17+Projects!$D$17-1),Projects!$B$17/Projects!$D$17,"")</f>
        <v/>
      </c>
      <c r="N18" s="194" t="str">
        <f aca="false">IF(AND(Projects!$C$17&lt;=N$4,N$4&lt;=Projects!$C$17+Projects!$D$17-1),Projects!$B$17/Projects!$D$17,"")</f>
        <v/>
      </c>
      <c r="O18" s="194" t="str">
        <f aca="false">IF(AND(Projects!$C$17&lt;=O$4,O$4&lt;=Projects!$C$17+Projects!$D$17-1),Projects!$B$17/Projects!$D$17,"")</f>
        <v/>
      </c>
      <c r="P18" s="194" t="str">
        <f aca="false">IF(AND(Projects!$C$17&lt;=P$4,P$4&lt;=Projects!$C$17+Projects!$D$17-1),Projects!$B$17/Projects!$D$17,"")</f>
        <v/>
      </c>
      <c r="Q18" s="194" t="str">
        <f aca="false">IF(AND(Projects!$C$17&lt;=Q$4,Q$4&lt;=Projects!$C$17+Projects!$D$17-1),Projects!$B$17/Projects!$D$17,"")</f>
        <v/>
      </c>
      <c r="R18" s="194" t="str">
        <f aca="false">IF(AND(Projects!$C$17&lt;=R$4,R$4&lt;=Projects!$C$17+Projects!$D$17-1),Projects!$B$17/Projects!$D$17,"")</f>
        <v/>
      </c>
      <c r="S18" s="194" t="str">
        <f aca="false">IF(AND(Projects!$C$17&lt;=S$4,S$4&lt;=Projects!$C$17+Projects!$D$17-1),Projects!$B$17/Projects!$D$17,"")</f>
        <v/>
      </c>
      <c r="T18" s="194" t="n">
        <f aca="false">IF(AND(Projects!$C$17&lt;=T$4,T$4&lt;=Projects!$C$17+Projects!$D$17-1),Projects!$B$17/Projects!$D$17,"")</f>
        <v>806106.052631579</v>
      </c>
      <c r="U18" s="194" t="n">
        <f aca="false">IF(AND(Projects!$C$17&lt;=U$4,U$4&lt;=Projects!$C$17+Projects!$D$17-1),Projects!$B$17/Projects!$D$17,"")</f>
        <v>806106.052631579</v>
      </c>
      <c r="V18" s="194" t="n">
        <f aca="false">IF(AND(Projects!$C$17&lt;=V$4,V$4&lt;=Projects!$C$17+Projects!$D$17-1),Projects!$B$17/Projects!$D$17,"")</f>
        <v>806106.052631579</v>
      </c>
      <c r="W18" s="194" t="n">
        <f aca="false">IF(AND(Projects!$C$17&lt;=W$4,W$4&lt;=Projects!$C$17+Projects!$D$17-1),Projects!$B$17/Projects!$D$17,"")</f>
        <v>806106.052631579</v>
      </c>
      <c r="X18" s="194" t="n">
        <f aca="false">IF(AND(Projects!$C$17&lt;=X$4,X$4&lt;=Projects!$C$17+Projects!$D$17-1),Projects!$B$17/Projects!$D$17,"")</f>
        <v>806106.052631579</v>
      </c>
      <c r="Y18" s="194" t="n">
        <f aca="false">IF(AND(Projects!$C$17&lt;=Y$4,Y$4&lt;=Projects!$C$17+Projects!$D$17-1),Projects!$B$17/Projects!$D$17,"")</f>
        <v>806106.052631579</v>
      </c>
      <c r="Z18" s="194" t="n">
        <f aca="false">IF(AND(Projects!$C$17&lt;=Z$4,Z$4&lt;=Projects!$C$17+Projects!$D$17-1),Projects!$B$17/Projects!$D$17,"")</f>
        <v>806106.052631579</v>
      </c>
      <c r="AA18" s="194" t="n">
        <f aca="false">IF(AND(Projects!$C$17&lt;=AA$4,AA$4&lt;=Projects!$C$17+Projects!$D$17-1),Projects!$B$17/Projects!$D$17,"")</f>
        <v>806106.052631579</v>
      </c>
      <c r="AB18" s="194" t="n">
        <f aca="false">IF(AND(Projects!$C$17&lt;=AB$4,AB$4&lt;=Projects!$C$17+Projects!$D$17-1),Projects!$B$17/Projects!$D$17,"")</f>
        <v>806106.052631579</v>
      </c>
      <c r="AC18" s="194" t="n">
        <f aca="false">IF(AND(Projects!$C$17&lt;=AC$4,AC$4&lt;=Projects!$C$17+Projects!$D$17-1),Projects!$B$17/Projects!$D$17,"")</f>
        <v>806106.052631579</v>
      </c>
      <c r="AD18" s="194" t="n">
        <f aca="false">IF(AND(Projects!$C$17&lt;=AD$4,AD$4&lt;=Projects!$C$17+Projects!$D$17-1),Projects!$B$17/Projects!$D$17,"")</f>
        <v>806106.052631579</v>
      </c>
      <c r="AE18" s="194" t="n">
        <f aca="false">IF(AND(Projects!$C$17&lt;=AE$4,AE$4&lt;=Projects!$C$17+Projects!$D$17-1),Projects!$B$17/Projects!$D$17,"")</f>
        <v>806106.052631579</v>
      </c>
      <c r="AF18" s="194" t="n">
        <f aca="false">IF(AND(Projects!$C$17&lt;=AF$4,AF$4&lt;=Projects!$C$17+Projects!$D$17-1),Projects!$B$17/Projects!$D$17,"")</f>
        <v>806106.052631579</v>
      </c>
      <c r="AG18" s="194" t="n">
        <f aca="false">IF(AND(Projects!$C$17&lt;=AG$4,AG$4&lt;=Projects!$C$17+Projects!$D$17-1),Projects!$B$17/Projects!$D$17,"")</f>
        <v>806106.052631579</v>
      </c>
      <c r="AH18" s="194" t="n">
        <f aca="false">IF(AND(Projects!$C$17&lt;=AH$4,AH$4&lt;=Projects!$C$17+Projects!$D$17-1),Projects!$B$17/Projects!$D$17,"")</f>
        <v>806106.052631579</v>
      </c>
      <c r="AI18" s="194" t="n">
        <f aca="false">IF(AND(Projects!$C$17&lt;=AI$4,AI$4&lt;=Projects!$C$17+Projects!$D$17-1),Projects!$B$17/Projects!$D$17,"")</f>
        <v>806106.052631579</v>
      </c>
      <c r="AJ18" s="194" t="n">
        <f aca="false">IF(AND(Projects!$C$17&lt;=AJ$4,AJ$4&lt;=Projects!$C$17+Projects!$D$17-1),Projects!$B$17/Projects!$D$17,"")</f>
        <v>806106.052631579</v>
      </c>
      <c r="AK18" s="194" t="n">
        <f aca="false">IF(AND(Projects!$C$17&lt;=AK$4,AK$4&lt;=Projects!$C$17+Projects!$D$17-1),Projects!$B$17/Projects!$D$17,"")</f>
        <v>806106.052631579</v>
      </c>
      <c r="AL18" s="194" t="n">
        <f aca="false">IF(AND(Projects!$C$17&lt;=AL$4,AL$4&lt;=Projects!$C$17+Projects!$D$17-1),Projects!$B$17/Projects!$D$17,"")</f>
        <v>806106.052631579</v>
      </c>
      <c r="AM18" s="194" t="str">
        <f aca="false">IF(AND(Projects!$C$17&lt;=AM$4,AM$4&lt;=Projects!$C$17+Projects!$D$17-1),Projects!$B$17/Projects!$D$17,"")</f>
        <v/>
      </c>
      <c r="AN18" s="194" t="str">
        <f aca="false">IF(AND(Projects!$C$17&lt;=AN$4,AN$4&lt;=Projects!$C$17+Projects!$D$17-1),Projects!$B$17/Projects!$D$17,"")</f>
        <v/>
      </c>
      <c r="AO18" s="194" t="str">
        <f aca="false">IF(AND(Projects!$C$17&lt;=AO$4,AO$4&lt;=Projects!$C$17+Projects!$D$17-1),Projects!$B$17/Projects!$D$17,"")</f>
        <v/>
      </c>
      <c r="AP18" s="194" t="str">
        <f aca="false">IF(AND(Projects!$C$17&lt;=AP$4,AP$4&lt;=Projects!$C$17+Projects!$D$17-1),Projects!$B$17/Projects!$D$17,"")</f>
        <v/>
      </c>
      <c r="AQ18" s="194" t="str">
        <f aca="false">IF(AND(Projects!$C$17&lt;=AQ$4,AQ$4&lt;=Projects!$C$17+Projects!$D$17-1),Projects!$B$17/Projects!$D$17,"")</f>
        <v/>
      </c>
      <c r="AR18" s="194" t="str">
        <f aca="false">IF(AND(Projects!$C$17&lt;=AR$4,AR$4&lt;=Projects!$C$17+Projects!$D$17-1),Projects!$B$17/Projects!$D$17,"")</f>
        <v/>
      </c>
      <c r="AS18" s="194" t="str">
        <f aca="false">IF(AND(Projects!$C$17&lt;=AS$4,AS$4&lt;=Projects!$C$17+Projects!$D$17-1),Projects!$B$17/Projects!$D$17,"")</f>
        <v/>
      </c>
      <c r="AT18" s="194" t="str">
        <f aca="false">IF(AND(Projects!$C$17&lt;=AT$4,AT$4&lt;=Projects!$C$17+Projects!$D$17-1),Projects!$B$17/Projects!$D$17,"")</f>
        <v/>
      </c>
      <c r="AU18" s="194" t="str">
        <f aca="false">IF(AND(Projects!$C$17&lt;=AU$4,AU$4&lt;=Projects!$C$17+Projects!$D$17-1),Projects!$B$17/Projects!$D$17,"")</f>
        <v/>
      </c>
      <c r="AV18" s="194" t="str">
        <f aca="false">IF(AND(Projects!$C$17&lt;=AV$4,AV$4&lt;=Projects!$C$17+Projects!$D$17-1),Projects!$B$17/Projects!$D$17,"")</f>
        <v/>
      </c>
      <c r="AW18" s="194" t="str">
        <f aca="false">IF(AND(Projects!$C$17&lt;=AW$4,AW$4&lt;=Projects!$C$17+Projects!$D$17-1),Projects!$B$17/Projects!$D$17,"")</f>
        <v/>
      </c>
      <c r="AX18" s="194" t="str">
        <f aca="false">IF(AND(Projects!$C$17&lt;=AX$4,AX$4&lt;=Projects!$C$17+Projects!$D$17-1),Projects!$B$17/Projects!$D$17,"")</f>
        <v/>
      </c>
      <c r="AY18" s="194" t="str">
        <f aca="false">IF(AND(Projects!$C$17&lt;=AY$4,AY$4&lt;=Projects!$C$17+Projects!$D$17-1),Projects!$B$17/Projects!$D$17,"")</f>
        <v/>
      </c>
      <c r="AZ18" s="194" t="str">
        <f aca="false">IF(AND(Projects!$C$17&lt;=AZ$4,AZ$4&lt;=Projects!$C$17+Projects!$D$17-1),Projects!$B$17/Projects!$D$17,"")</f>
        <v/>
      </c>
      <c r="BA18" s="194" t="str">
        <f aca="false">IF(AND(Projects!$C$17&lt;=BA$4,BA$4&lt;=Projects!$C$17+Projects!$D$17-1),Projects!$B$17/Projects!$D$17,"")</f>
        <v/>
      </c>
      <c r="BB18" s="194" t="str">
        <f aca="false">IF(AND(Projects!$C$17&lt;=BB$4,BB$4&lt;=Projects!$C$17+Projects!$D$17-1),Projects!$B$17/Projects!$D$17,"")</f>
        <v/>
      </c>
      <c r="BC18" s="194" t="str">
        <f aca="false">IF(AND(Projects!$C$17&lt;=BC$4,BC$4&lt;=Projects!$C$17+Projects!$D$17-1),Projects!$B$17/Projects!$D$17,"")</f>
        <v/>
      </c>
      <c r="BD18" s="194" t="str">
        <f aca="false">IF(AND(Projects!$C$17&lt;=BD$4,BD$4&lt;=Projects!$C$17+Projects!$D$17-1),Projects!$B$17/Projects!$D$17,"")</f>
        <v/>
      </c>
      <c r="BE18" s="194" t="str">
        <f aca="false">IF(AND(Projects!$C$17&lt;=BE$4,BE$4&lt;=Projects!$C$17+Projects!$D$17-1),Projects!$B$17/Projects!$D$17,"")</f>
        <v/>
      </c>
      <c r="BF18" s="194" t="str">
        <f aca="false">IF(AND(Projects!$C$17&lt;=BF$4,BF$4&lt;=Projects!$C$17+Projects!$D$17-1),Projects!$B$17/Projects!$D$17,"")</f>
        <v/>
      </c>
      <c r="BG18" s="194" t="str">
        <f aca="false">IF(AND(Projects!$C$17&lt;=BG$4,BG$4&lt;=Projects!$C$17+Projects!$D$17-1),Projects!$B$17/Projects!$D$17,"")</f>
        <v/>
      </c>
      <c r="BH18" s="194" t="str">
        <f aca="false">IF(AND(Projects!$C$17&lt;=BH$4,BH$4&lt;=Projects!$C$17+Projects!$D$17-1),Projects!$B$17/Projects!$D$17,"")</f>
        <v/>
      </c>
      <c r="BI18" s="194" t="str">
        <f aca="false">IF(AND(Projects!$C$17&lt;=BI$4,BI$4&lt;=Projects!$C$17+Projects!$D$17-1),Projects!$B$17/Projects!$D$17,"")</f>
        <v/>
      </c>
      <c r="BJ18" s="194" t="str">
        <f aca="false">IF(AND(Projects!$C$17&lt;=BJ$4,BJ$4&lt;=Projects!$C$17+Projects!$D$17-1),Projects!$B$17/Projects!$D$17,"")</f>
        <v/>
      </c>
      <c r="BK18" s="194" t="str">
        <f aca="false">IF(AND(Projects!$C$17&lt;=BK$4,BK$4&lt;=Projects!$C$17+Projects!$D$17-1),Projects!$B$17/Projects!$D$17,"")</f>
        <v/>
      </c>
      <c r="BL18" s="194" t="str">
        <f aca="false">IF(AND(Projects!$C$17&lt;=BL$4,BL$4&lt;=Projects!$C$17+Projects!$D$17-1),Projects!$B$17/Projects!$D$17,"")</f>
        <v/>
      </c>
      <c r="BM18" s="194" t="str">
        <f aca="false">IF(AND(Projects!$C$17&lt;=BM$4,BM$4&lt;=Projects!$C$17+Projects!$D$17-1),Projects!$B$17/Projects!$D$17,"")</f>
        <v/>
      </c>
      <c r="BN18" s="194" t="str">
        <f aca="false">IF(AND(Projects!$C$17&lt;=BN$4,BN$4&lt;=Projects!$C$17+Projects!$D$17-1),Projects!$B$17/Projects!$D$17,"")</f>
        <v/>
      </c>
      <c r="BO18" s="194" t="str">
        <f aca="false">IF(AND(Projects!$C$17&lt;=BO$4,BO$4&lt;=Projects!$C$17+Projects!$D$17-1),Projects!$B$17/Projects!$D$17,"")</f>
        <v/>
      </c>
      <c r="BP18" s="194" t="str">
        <f aca="false">IF(AND(Projects!$C$17&lt;=BP$4,BP$4&lt;=Projects!$C$17+Projects!$D$17-1),Projects!$B$17/Projects!$D$17,"")</f>
        <v/>
      </c>
      <c r="BQ18" s="194" t="str">
        <f aca="false">IF(AND(Projects!$C$17&lt;=BQ$4,BQ$4&lt;=Projects!$C$17+Projects!$D$17-1),Projects!$B$17/Projects!$D$17,"")</f>
        <v/>
      </c>
      <c r="BR18" s="194" t="str">
        <f aca="false">IF(AND(Projects!$C$17&lt;=BR$4,BR$4&lt;=Projects!$C$17+Projects!$D$17-1),Projects!$B$17/Projects!$D$17,"")</f>
        <v/>
      </c>
      <c r="BS18" s="194" t="str">
        <f aca="false">IF(AND(Projects!$C$17&lt;=BS$4,BS$4&lt;=Projects!$C$17+Projects!$D$17-1),Projects!$B$17/Projects!$D$17,"")</f>
        <v/>
      </c>
      <c r="BT18" s="194" t="str">
        <f aca="false">IF(AND(Projects!$C$17&lt;=BT$4,BT$4&lt;=Projects!$C$17+Projects!$D$17-1),Projects!$B$17/Projects!$D$17,"")</f>
        <v/>
      </c>
      <c r="BU18" s="194" t="str">
        <f aca="false">IF(AND(Projects!$C$17&lt;=BU$4,BU$4&lt;=Projects!$C$17+Projects!$D$17-1),Projects!$B$17/Projects!$D$17,"")</f>
        <v/>
      </c>
      <c r="BV18" s="194" t="str">
        <f aca="false">IF(AND(Projects!$C$17&lt;=BV$4,BV$4&lt;=Projects!$C$17+Projects!$D$17-1),Projects!$B$17/Projects!$D$17,"")</f>
        <v/>
      </c>
      <c r="BW18" s="194" t="str">
        <f aca="false">IF(AND(Projects!$C$17&lt;=BW$4,BW$4&lt;=Projects!$C$17+Projects!$D$17-1),Projects!$B$17/Projects!$D$17,"")</f>
        <v/>
      </c>
      <c r="BX18" s="194" t="str">
        <f aca="false">IF(AND(Projects!$C$17&lt;=BX$4,BX$4&lt;=Projects!$C$17+Projects!$D$17-1),Projects!$B$17/Projects!$D$17,"")</f>
        <v/>
      </c>
      <c r="BY18" s="194" t="str">
        <f aca="false">IF(AND(Projects!$C$17&lt;=BY$4,BY$4&lt;=Projects!$C$17+Projects!$D$17-1),Projects!$B$17/Projects!$D$17,"")</f>
        <v/>
      </c>
      <c r="BZ18" s="194" t="str">
        <f aca="false">IF(AND(Projects!$C$17&lt;=BZ$4,BZ$4&lt;=Projects!$C$17+Projects!$D$17-1),Projects!$B$17/Projects!$D$17,"")</f>
        <v/>
      </c>
      <c r="CA18" s="194" t="str">
        <f aca="false">IF(AND(Projects!$C$17&lt;=CA$4,CA$4&lt;=Projects!$C$17+Projects!$D$17-1),Projects!$B$17/Projects!$D$17,"")</f>
        <v/>
      </c>
      <c r="CB18" s="194" t="str">
        <f aca="false">IF(AND(Projects!$C$17&lt;=CB$4,CB$4&lt;=Projects!$C$17+Projects!$D$17-1),Projects!$B$17/Projects!$D$17,"")</f>
        <v/>
      </c>
      <c r="CC18" s="194" t="str">
        <f aca="false">IF(AND(Projects!$C$17&lt;=CC$4,CC$4&lt;=Projects!$C$17+Projects!$D$17-1),Projects!$B$17/Projects!$D$17,"")</f>
        <v/>
      </c>
      <c r="CD18" s="194" t="str">
        <f aca="false">IF(AND(Projects!$C$17&lt;=CD$4,CD$4&lt;=Projects!$C$17+Projects!$D$17-1),Projects!$B$17/Projects!$D$17,"")</f>
        <v/>
      </c>
      <c r="CE18" s="194" t="str">
        <f aca="false">IF(AND(Projects!$C$17&lt;=CE$4,CE$4&lt;=Projects!$C$17+Projects!$D$17-1),Projects!$B$17/Projects!$D$17,"")</f>
        <v/>
      </c>
      <c r="CF18" s="194" t="str">
        <f aca="false">IF(AND(Projects!$C$17&lt;=CF$4,CF$4&lt;=Projects!$C$17+Projects!$D$17-1),Projects!$B$17/Projects!$D$17,"")</f>
        <v/>
      </c>
      <c r="CG18" s="194" t="str">
        <f aca="false">IF(AND(Projects!$C$17&lt;=CG$4,CG$4&lt;=Projects!$C$17+Projects!$D$17-1),Projects!$B$17/Projects!$D$17,"")</f>
        <v/>
      </c>
      <c r="CH18" s="194" t="str">
        <f aca="false">IF(AND(Projects!$C$17&lt;=CH$4,CH$4&lt;=Projects!$C$17+Projects!$D$17-1),Projects!$B$17/Projects!$D$17,"")</f>
        <v/>
      </c>
      <c r="CI18" s="194" t="str">
        <f aca="false">IF(AND(Projects!$C$17&lt;=CI$4,CI$4&lt;=Projects!$C$17+Projects!$D$17-1),Projects!$B$17/Projects!$D$17,"")</f>
        <v/>
      </c>
      <c r="CJ18" s="194" t="str">
        <f aca="false">IF(AND(Projects!$C$17&lt;=CJ$4,CJ$4&lt;=Projects!$C$17+Projects!$D$17-1),Projects!$B$17/Projects!$D$17,"")</f>
        <v/>
      </c>
      <c r="CK18" s="194" t="str">
        <f aca="false">IF(AND(Projects!$C$17&lt;=CK$4,CK$4&lt;=Projects!$C$17+Projects!$D$17-1),Projects!$B$17/Projects!$D$17,"")</f>
        <v/>
      </c>
      <c r="CL18" s="194" t="str">
        <f aca="false">IF(AND(Projects!$C$17&lt;=CL$4,CL$4&lt;=Projects!$C$17+Projects!$D$17-1),Projects!$B$17/Projects!$D$17,"")</f>
        <v/>
      </c>
      <c r="CM18" s="194" t="str">
        <f aca="false">IF(AND(Projects!$C$17&lt;=CM$4,CM$4&lt;=Projects!$C$17+Projects!$D$17-1),Projects!$B$17/Projects!$D$17,"")</f>
        <v/>
      </c>
      <c r="CN18" s="194" t="str">
        <f aca="false">IF(AND(Projects!$C$17&lt;=CN$4,CN$4&lt;=Projects!$C$17+Projects!$D$17-1),Projects!$B$17/Projects!$D$17,"")</f>
        <v/>
      </c>
      <c r="CO18" s="194" t="str">
        <f aca="false">IF(AND(Projects!$C$17&lt;=CO$4,CO$4&lt;=Projects!$C$17+Projects!$D$17-1),Projects!$B$17/Projects!$D$17,"")</f>
        <v/>
      </c>
      <c r="CP18" s="194" t="str">
        <f aca="false">IF(AND(Projects!$C$17&lt;=CP$4,CP$4&lt;=Projects!$C$17+Projects!$D$17-1),Projects!$B$17/Projects!$D$17,"")</f>
        <v/>
      </c>
      <c r="CQ18" s="194" t="str">
        <f aca="false">IF(AND(Projects!$C$17&lt;=CQ$4,CQ$4&lt;=Projects!$C$17+Projects!$D$17-1),Projects!$B$17/Projects!$D$17,"")</f>
        <v/>
      </c>
      <c r="CR18" s="194" t="str">
        <f aca="false">IF(AND(Projects!$C$17&lt;=CR$4,CR$4&lt;=Projects!$C$17+Projects!$D$17-1),Projects!$B$17/Projects!$D$17,"")</f>
        <v/>
      </c>
      <c r="CS18" s="194" t="str">
        <f aca="false">IF(AND(Projects!$C$17&lt;=CS$4,CS$4&lt;=Projects!$C$17+Projects!$D$17-1),Projects!$B$17/Projects!$D$17,"")</f>
        <v/>
      </c>
      <c r="CT18" s="194" t="str">
        <f aca="false">IF(AND(Projects!$C$17&lt;=CT$4,CT$4&lt;=Projects!$C$17+Projects!$D$17-1),Projects!$B$17/Projects!$D$17,"")</f>
        <v/>
      </c>
      <c r="CU18" s="194" t="str">
        <f aca="false">IF(AND(Projects!$C$17&lt;=CU$4,CU$4&lt;=Projects!$C$17+Projects!$D$17-1),Projects!$B$17/Projects!$D$17,"")</f>
        <v/>
      </c>
      <c r="CV18" s="194" t="str">
        <f aca="false">IF(AND(Projects!$C$17&lt;=CV$4,CV$4&lt;=Projects!$C$17+Projects!$D$17-1),Projects!$B$17/Projects!$D$17,"")</f>
        <v/>
      </c>
      <c r="CW18" s="194" t="str">
        <f aca="false">IF(AND(Projects!$C$17&lt;=CW$4,CW$4&lt;=Projects!$C$17+Projects!$D$17-1),Projects!$B$17/Projects!$D$17,"")</f>
        <v/>
      </c>
      <c r="CX18" s="194" t="str">
        <f aca="false">IF(AND(Projects!$C$17&lt;=CX$4,CX$4&lt;=Projects!$C$17+Projects!$D$17-1),Projects!$B$17/Projects!$D$17,"")</f>
        <v/>
      </c>
      <c r="CY18" s="194" t="str">
        <f aca="false">IF(AND(Projects!$C$17&lt;=CY$4,CY$4&lt;=Projects!$C$17+Projects!$D$17-1),Projects!$B$17/Projects!$D$17,"")</f>
        <v/>
      </c>
      <c r="CZ18" s="194" t="str">
        <f aca="false">IF(AND(Projects!$C$17&lt;=CZ$4,CZ$4&lt;=Projects!$C$17+Projects!$D$17-1),Projects!$B$17/Projects!$D$17,"")</f>
        <v/>
      </c>
      <c r="DA18" s="194" t="str">
        <f aca="false">IF(AND(Projects!$C$17&lt;=DA$4,DA$4&lt;=Projects!$C$17+Projects!$D$17-1),Projects!$B$17/Projects!$D$17,"")</f>
        <v/>
      </c>
      <c r="DB18" s="194" t="str">
        <f aca="false">IF(AND(Projects!$C$17&lt;=DB$4,DB$4&lt;=Projects!$C$17+Projects!$D$17-1),Projects!$B$17/Projects!$D$17,"")</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Projects!$B$18/Projects!$D$18</f>
        <v>595651.842105263</v>
      </c>
      <c r="G19" s="194" t="str">
        <f aca="false">IF(AND(Projects!$C$18&lt;=G$4,G$4&lt;=Projects!$C$18+Projects!$D$18-1),Projects!$B$18/Projects!$D$18,"")</f>
        <v/>
      </c>
      <c r="H19" s="194" t="str">
        <f aca="false">IF(AND(Projects!$C$18&lt;=H$4,H$4&lt;=Projects!$C$18+Projects!$D$18-1),Projects!$B$18/Projects!$D$18,"")</f>
        <v/>
      </c>
      <c r="I19" s="194" t="str">
        <f aca="false">IF(AND(Projects!$C$18&lt;=I$4,I$4&lt;=Projects!$C$18+Projects!$D$18-1),Projects!$B$18/Projects!$D$18,"")</f>
        <v/>
      </c>
      <c r="J19" s="194" t="str">
        <f aca="false">IF(AND(Projects!$C$18&lt;=J$4,J$4&lt;=Projects!$C$18+Projects!$D$18-1),Projects!$B$18/Projects!$D$18,"")</f>
        <v/>
      </c>
      <c r="K19" s="194" t="str">
        <f aca="false">IF(AND(Projects!$C$18&lt;=K$4,K$4&lt;=Projects!$C$18+Projects!$D$18-1),Projects!$B$18/Projects!$D$18,"")</f>
        <v/>
      </c>
      <c r="L19" s="194" t="str">
        <f aca="false">IF(AND(Projects!$C$18&lt;=L$4,L$4&lt;=Projects!$C$18+Projects!$D$18-1),Projects!$B$18/Projects!$D$18,"")</f>
        <v/>
      </c>
      <c r="M19" s="194" t="str">
        <f aca="false">IF(AND(Projects!$C$18&lt;=M$4,M$4&lt;=Projects!$C$18+Projects!$D$18-1),Projects!$B$18/Projects!$D$18,"")</f>
        <v/>
      </c>
      <c r="N19" s="194" t="str">
        <f aca="false">IF(AND(Projects!$C$18&lt;=N$4,N$4&lt;=Projects!$C$18+Projects!$D$18-1),Projects!$B$18/Projects!$D$18,"")</f>
        <v/>
      </c>
      <c r="O19" s="194" t="str">
        <f aca="false">IF(AND(Projects!$C$18&lt;=O$4,O$4&lt;=Projects!$C$18+Projects!$D$18-1),Projects!$B$18/Projects!$D$18,"")</f>
        <v/>
      </c>
      <c r="P19" s="194" t="str">
        <f aca="false">IF(AND(Projects!$C$18&lt;=P$4,P$4&lt;=Projects!$C$18+Projects!$D$18-1),Projects!$B$18/Projects!$D$18,"")</f>
        <v/>
      </c>
      <c r="Q19" s="194" t="str">
        <f aca="false">IF(AND(Projects!$C$18&lt;=Q$4,Q$4&lt;=Projects!$C$18+Projects!$D$18-1),Projects!$B$18/Projects!$D$18,"")</f>
        <v/>
      </c>
      <c r="R19" s="194" t="str">
        <f aca="false">IF(AND(Projects!$C$18&lt;=R$4,R$4&lt;=Projects!$C$18+Projects!$D$18-1),Projects!$B$18/Projects!$D$18,"")</f>
        <v/>
      </c>
      <c r="S19" s="194" t="str">
        <f aca="false">IF(AND(Projects!$C$18&lt;=S$4,S$4&lt;=Projects!$C$18+Projects!$D$18-1),Projects!$B$18/Projects!$D$18,"")</f>
        <v/>
      </c>
      <c r="T19" s="194" t="str">
        <f aca="false">IF(AND(Projects!$C$18&lt;=T$4,T$4&lt;=Projects!$C$18+Projects!$D$18-1),Projects!$B$18/Projects!$D$18,"")</f>
        <v/>
      </c>
      <c r="U19" s="194" t="n">
        <f aca="false">IF(AND(Projects!$C$18&lt;=U$4,U$4&lt;=Projects!$C$18+Projects!$D$18-1),Projects!$B$18/Projects!$D$18,"")</f>
        <v>595651.842105263</v>
      </c>
      <c r="V19" s="194" t="n">
        <f aca="false">IF(AND(Projects!$C$18&lt;=V$4,V$4&lt;=Projects!$C$18+Projects!$D$18-1),Projects!$B$18/Projects!$D$18,"")</f>
        <v>595651.842105263</v>
      </c>
      <c r="W19" s="194" t="n">
        <f aca="false">IF(AND(Projects!$C$18&lt;=W$4,W$4&lt;=Projects!$C$18+Projects!$D$18-1),Projects!$B$18/Projects!$D$18,"")</f>
        <v>595651.842105263</v>
      </c>
      <c r="X19" s="194" t="n">
        <f aca="false">IF(AND(Projects!$C$18&lt;=X$4,X$4&lt;=Projects!$C$18+Projects!$D$18-1),Projects!$B$18/Projects!$D$18,"")</f>
        <v>595651.842105263</v>
      </c>
      <c r="Y19" s="194" t="n">
        <f aca="false">IF(AND(Projects!$C$18&lt;=Y$4,Y$4&lt;=Projects!$C$18+Projects!$D$18-1),Projects!$B$18/Projects!$D$18,"")</f>
        <v>595651.842105263</v>
      </c>
      <c r="Z19" s="194" t="n">
        <f aca="false">IF(AND(Projects!$C$18&lt;=Z$4,Z$4&lt;=Projects!$C$18+Projects!$D$18-1),Projects!$B$18/Projects!$D$18,"")</f>
        <v>595651.842105263</v>
      </c>
      <c r="AA19" s="194" t="n">
        <f aca="false">IF(AND(Projects!$C$18&lt;=AA$4,AA$4&lt;=Projects!$C$18+Projects!$D$18-1),Projects!$B$18/Projects!$D$18,"")</f>
        <v>595651.842105263</v>
      </c>
      <c r="AB19" s="194" t="n">
        <f aca="false">IF(AND(Projects!$C$18&lt;=AB$4,AB$4&lt;=Projects!$C$18+Projects!$D$18-1),Projects!$B$18/Projects!$D$18,"")</f>
        <v>595651.842105263</v>
      </c>
      <c r="AC19" s="194" t="n">
        <f aca="false">IF(AND(Projects!$C$18&lt;=AC$4,AC$4&lt;=Projects!$C$18+Projects!$D$18-1),Projects!$B$18/Projects!$D$18,"")</f>
        <v>595651.842105263</v>
      </c>
      <c r="AD19" s="194" t="n">
        <f aca="false">IF(AND(Projects!$C$18&lt;=AD$4,AD$4&lt;=Projects!$C$18+Projects!$D$18-1),Projects!$B$18/Projects!$D$18,"")</f>
        <v>595651.842105263</v>
      </c>
      <c r="AE19" s="194" t="n">
        <f aca="false">IF(AND(Projects!$C$18&lt;=AE$4,AE$4&lt;=Projects!$C$18+Projects!$D$18-1),Projects!$B$18/Projects!$D$18,"")</f>
        <v>595651.842105263</v>
      </c>
      <c r="AF19" s="194" t="n">
        <f aca="false">IF(AND(Projects!$C$18&lt;=AF$4,AF$4&lt;=Projects!$C$18+Projects!$D$18-1),Projects!$B$18/Projects!$D$18,"")</f>
        <v>595651.842105263</v>
      </c>
      <c r="AG19" s="194" t="n">
        <f aca="false">IF(AND(Projects!$C$18&lt;=AG$4,AG$4&lt;=Projects!$C$18+Projects!$D$18-1),Projects!$B$18/Projects!$D$18,"")</f>
        <v>595651.842105263</v>
      </c>
      <c r="AH19" s="194" t="n">
        <f aca="false">IF(AND(Projects!$C$18&lt;=AH$4,AH$4&lt;=Projects!$C$18+Projects!$D$18-1),Projects!$B$18/Projects!$D$18,"")</f>
        <v>595651.842105263</v>
      </c>
      <c r="AI19" s="194" t="n">
        <f aca="false">IF(AND(Projects!$C$18&lt;=AI$4,AI$4&lt;=Projects!$C$18+Projects!$D$18-1),Projects!$B$18/Projects!$D$18,"")</f>
        <v>595651.842105263</v>
      </c>
      <c r="AJ19" s="194" t="n">
        <f aca="false">IF(AND(Projects!$C$18&lt;=AJ$4,AJ$4&lt;=Projects!$C$18+Projects!$D$18-1),Projects!$B$18/Projects!$D$18,"")</f>
        <v>595651.842105263</v>
      </c>
      <c r="AK19" s="194" t="n">
        <f aca="false">IF(AND(Projects!$C$18&lt;=AK$4,AK$4&lt;=Projects!$C$18+Projects!$D$18-1),Projects!$B$18/Projects!$D$18,"")</f>
        <v>595651.842105263</v>
      </c>
      <c r="AL19" s="194" t="n">
        <f aca="false">IF(AND(Projects!$C$18&lt;=AL$4,AL$4&lt;=Projects!$C$18+Projects!$D$18-1),Projects!$B$18/Projects!$D$18,"")</f>
        <v>595651.842105263</v>
      </c>
      <c r="AM19" s="194" t="n">
        <f aca="false">IF(AND(Projects!$C$18&lt;=AM$4,AM$4&lt;=Projects!$C$18+Projects!$D$18-1),Projects!$B$18/Projects!$D$18,"")</f>
        <v>595651.842105263</v>
      </c>
      <c r="AN19" s="194" t="str">
        <f aca="false">IF(AND(Projects!$C$18&lt;=AN$4,AN$4&lt;=Projects!$C$18+Projects!$D$18-1),Projects!$B$18/Projects!$D$18,"")</f>
        <v/>
      </c>
      <c r="AO19" s="194" t="str">
        <f aca="false">IF(AND(Projects!$C$18&lt;=AO$4,AO$4&lt;=Projects!$C$18+Projects!$D$18-1),Projects!$B$18/Projects!$D$18,"")</f>
        <v/>
      </c>
      <c r="AP19" s="194" t="str">
        <f aca="false">IF(AND(Projects!$C$18&lt;=AP$4,AP$4&lt;=Projects!$C$18+Projects!$D$18-1),Projects!$B$18/Projects!$D$18,"")</f>
        <v/>
      </c>
      <c r="AQ19" s="194" t="str">
        <f aca="false">IF(AND(Projects!$C$18&lt;=AQ$4,AQ$4&lt;=Projects!$C$18+Projects!$D$18-1),Projects!$B$18/Projects!$D$18,"")</f>
        <v/>
      </c>
      <c r="AR19" s="194" t="str">
        <f aca="false">IF(AND(Projects!$C$18&lt;=AR$4,AR$4&lt;=Projects!$C$18+Projects!$D$18-1),Projects!$B$18/Projects!$D$18,"")</f>
        <v/>
      </c>
      <c r="AS19" s="194" t="str">
        <f aca="false">IF(AND(Projects!$C$18&lt;=AS$4,AS$4&lt;=Projects!$C$18+Projects!$D$18-1),Projects!$B$18/Projects!$D$18,"")</f>
        <v/>
      </c>
      <c r="AT19" s="194" t="str">
        <f aca="false">IF(AND(Projects!$C$18&lt;=AT$4,AT$4&lt;=Projects!$C$18+Projects!$D$18-1),Projects!$B$18/Projects!$D$18,"")</f>
        <v/>
      </c>
      <c r="AU19" s="194" t="str">
        <f aca="false">IF(AND(Projects!$C$18&lt;=AU$4,AU$4&lt;=Projects!$C$18+Projects!$D$18-1),Projects!$B$18/Projects!$D$18,"")</f>
        <v/>
      </c>
      <c r="AV19" s="194" t="str">
        <f aca="false">IF(AND(Projects!$C$18&lt;=AV$4,AV$4&lt;=Projects!$C$18+Projects!$D$18-1),Projects!$B$18/Projects!$D$18,"")</f>
        <v/>
      </c>
      <c r="AW19" s="194" t="str">
        <f aca="false">IF(AND(Projects!$C$18&lt;=AW$4,AW$4&lt;=Projects!$C$18+Projects!$D$18-1),Projects!$B$18/Projects!$D$18,"")</f>
        <v/>
      </c>
      <c r="AX19" s="194" t="str">
        <f aca="false">IF(AND(Projects!$C$18&lt;=AX$4,AX$4&lt;=Projects!$C$18+Projects!$D$18-1),Projects!$B$18/Projects!$D$18,"")</f>
        <v/>
      </c>
      <c r="AY19" s="194" t="str">
        <f aca="false">IF(AND(Projects!$C$18&lt;=AY$4,AY$4&lt;=Projects!$C$18+Projects!$D$18-1),Projects!$B$18/Projects!$D$18,"")</f>
        <v/>
      </c>
      <c r="AZ19" s="194" t="str">
        <f aca="false">IF(AND(Projects!$C$18&lt;=AZ$4,AZ$4&lt;=Projects!$C$18+Projects!$D$18-1),Projects!$B$18/Projects!$D$18,"")</f>
        <v/>
      </c>
      <c r="BA19" s="194" t="str">
        <f aca="false">IF(AND(Projects!$C$18&lt;=BA$4,BA$4&lt;=Projects!$C$18+Projects!$D$18-1),Projects!$B$18/Projects!$D$18,"")</f>
        <v/>
      </c>
      <c r="BB19" s="194" t="str">
        <f aca="false">IF(AND(Projects!$C$18&lt;=BB$4,BB$4&lt;=Projects!$C$18+Projects!$D$18-1),Projects!$B$18/Projects!$D$18,"")</f>
        <v/>
      </c>
      <c r="BC19" s="194" t="str">
        <f aca="false">IF(AND(Projects!$C$18&lt;=BC$4,BC$4&lt;=Projects!$C$18+Projects!$D$18-1),Projects!$B$18/Projects!$D$18,"")</f>
        <v/>
      </c>
      <c r="BD19" s="194" t="str">
        <f aca="false">IF(AND(Projects!$C$18&lt;=BD$4,BD$4&lt;=Projects!$C$18+Projects!$D$18-1),Projects!$B$18/Projects!$D$18,"")</f>
        <v/>
      </c>
      <c r="BE19" s="194" t="str">
        <f aca="false">IF(AND(Projects!$C$18&lt;=BE$4,BE$4&lt;=Projects!$C$18+Projects!$D$18-1),Projects!$B$18/Projects!$D$18,"")</f>
        <v/>
      </c>
      <c r="BF19" s="194" t="str">
        <f aca="false">IF(AND(Projects!$C$18&lt;=BF$4,BF$4&lt;=Projects!$C$18+Projects!$D$18-1),Projects!$B$18/Projects!$D$18,"")</f>
        <v/>
      </c>
      <c r="BG19" s="194" t="str">
        <f aca="false">IF(AND(Projects!$C$18&lt;=BG$4,BG$4&lt;=Projects!$C$18+Projects!$D$18-1),Projects!$B$18/Projects!$D$18,"")</f>
        <v/>
      </c>
      <c r="BH19" s="194" t="str">
        <f aca="false">IF(AND(Projects!$C$18&lt;=BH$4,BH$4&lt;=Projects!$C$18+Projects!$D$18-1),Projects!$B$18/Projects!$D$18,"")</f>
        <v/>
      </c>
      <c r="BI19" s="194" t="str">
        <f aca="false">IF(AND(Projects!$C$18&lt;=BI$4,BI$4&lt;=Projects!$C$18+Projects!$D$18-1),Projects!$B$18/Projects!$D$18,"")</f>
        <v/>
      </c>
      <c r="BJ19" s="194" t="str">
        <f aca="false">IF(AND(Projects!$C$18&lt;=BJ$4,BJ$4&lt;=Projects!$C$18+Projects!$D$18-1),Projects!$B$18/Projects!$D$18,"")</f>
        <v/>
      </c>
      <c r="BK19" s="194" t="str">
        <f aca="false">IF(AND(Projects!$C$18&lt;=BK$4,BK$4&lt;=Projects!$C$18+Projects!$D$18-1),Projects!$B$18/Projects!$D$18,"")</f>
        <v/>
      </c>
      <c r="BL19" s="194" t="str">
        <f aca="false">IF(AND(Projects!$C$18&lt;=BL$4,BL$4&lt;=Projects!$C$18+Projects!$D$18-1),Projects!$B$18/Projects!$D$18,"")</f>
        <v/>
      </c>
      <c r="BM19" s="194" t="str">
        <f aca="false">IF(AND(Projects!$C$18&lt;=BM$4,BM$4&lt;=Projects!$C$18+Projects!$D$18-1),Projects!$B$18/Projects!$D$18,"")</f>
        <v/>
      </c>
      <c r="BN19" s="194" t="str">
        <f aca="false">IF(AND(Projects!$C$18&lt;=BN$4,BN$4&lt;=Projects!$C$18+Projects!$D$18-1),Projects!$B$18/Projects!$D$18,"")</f>
        <v/>
      </c>
      <c r="BO19" s="194" t="str">
        <f aca="false">IF(AND(Projects!$C$18&lt;=BO$4,BO$4&lt;=Projects!$C$18+Projects!$D$18-1),Projects!$B$18/Projects!$D$18,"")</f>
        <v/>
      </c>
      <c r="BP19" s="194" t="str">
        <f aca="false">IF(AND(Projects!$C$18&lt;=BP$4,BP$4&lt;=Projects!$C$18+Projects!$D$18-1),Projects!$B$18/Projects!$D$18,"")</f>
        <v/>
      </c>
      <c r="BQ19" s="194" t="str">
        <f aca="false">IF(AND(Projects!$C$18&lt;=BQ$4,BQ$4&lt;=Projects!$C$18+Projects!$D$18-1),Projects!$B$18/Projects!$D$18,"")</f>
        <v/>
      </c>
      <c r="BR19" s="194" t="str">
        <f aca="false">IF(AND(Projects!$C$18&lt;=BR$4,BR$4&lt;=Projects!$C$18+Projects!$D$18-1),Projects!$B$18/Projects!$D$18,"")</f>
        <v/>
      </c>
      <c r="BS19" s="194" t="str">
        <f aca="false">IF(AND(Projects!$C$18&lt;=BS$4,BS$4&lt;=Projects!$C$18+Projects!$D$18-1),Projects!$B$18/Projects!$D$18,"")</f>
        <v/>
      </c>
      <c r="BT19" s="194" t="str">
        <f aca="false">IF(AND(Projects!$C$18&lt;=BT$4,BT$4&lt;=Projects!$C$18+Projects!$D$18-1),Projects!$B$18/Projects!$D$18,"")</f>
        <v/>
      </c>
      <c r="BU19" s="194" t="str">
        <f aca="false">IF(AND(Projects!$C$18&lt;=BU$4,BU$4&lt;=Projects!$C$18+Projects!$D$18-1),Projects!$B$18/Projects!$D$18,"")</f>
        <v/>
      </c>
      <c r="BV19" s="194" t="str">
        <f aca="false">IF(AND(Projects!$C$18&lt;=BV$4,BV$4&lt;=Projects!$C$18+Projects!$D$18-1),Projects!$B$18/Projects!$D$18,"")</f>
        <v/>
      </c>
      <c r="BW19" s="194" t="str">
        <f aca="false">IF(AND(Projects!$C$18&lt;=BW$4,BW$4&lt;=Projects!$C$18+Projects!$D$18-1),Projects!$B$18/Projects!$D$18,"")</f>
        <v/>
      </c>
      <c r="BX19" s="194" t="str">
        <f aca="false">IF(AND(Projects!$C$18&lt;=BX$4,BX$4&lt;=Projects!$C$18+Projects!$D$18-1),Projects!$B$18/Projects!$D$18,"")</f>
        <v/>
      </c>
      <c r="BY19" s="194" t="str">
        <f aca="false">IF(AND(Projects!$C$18&lt;=BY$4,BY$4&lt;=Projects!$C$18+Projects!$D$18-1),Projects!$B$18/Projects!$D$18,"")</f>
        <v/>
      </c>
      <c r="BZ19" s="194" t="str">
        <f aca="false">IF(AND(Projects!$C$18&lt;=BZ$4,BZ$4&lt;=Projects!$C$18+Projects!$D$18-1),Projects!$B$18/Projects!$D$18,"")</f>
        <v/>
      </c>
      <c r="CA19" s="194" t="str">
        <f aca="false">IF(AND(Projects!$C$18&lt;=CA$4,CA$4&lt;=Projects!$C$18+Projects!$D$18-1),Projects!$B$18/Projects!$D$18,"")</f>
        <v/>
      </c>
      <c r="CB19" s="194" t="str">
        <f aca="false">IF(AND(Projects!$C$18&lt;=CB$4,CB$4&lt;=Projects!$C$18+Projects!$D$18-1),Projects!$B$18/Projects!$D$18,"")</f>
        <v/>
      </c>
      <c r="CC19" s="194" t="str">
        <f aca="false">IF(AND(Projects!$C$18&lt;=CC$4,CC$4&lt;=Projects!$C$18+Projects!$D$18-1),Projects!$B$18/Projects!$D$18,"")</f>
        <v/>
      </c>
      <c r="CD19" s="194" t="str">
        <f aca="false">IF(AND(Projects!$C$18&lt;=CD$4,CD$4&lt;=Projects!$C$18+Projects!$D$18-1),Projects!$B$18/Projects!$D$18,"")</f>
        <v/>
      </c>
      <c r="CE19" s="194" t="str">
        <f aca="false">IF(AND(Projects!$C$18&lt;=CE$4,CE$4&lt;=Projects!$C$18+Projects!$D$18-1),Projects!$B$18/Projects!$D$18,"")</f>
        <v/>
      </c>
      <c r="CF19" s="194" t="str">
        <f aca="false">IF(AND(Projects!$C$18&lt;=CF$4,CF$4&lt;=Projects!$C$18+Projects!$D$18-1),Projects!$B$18/Projects!$D$18,"")</f>
        <v/>
      </c>
      <c r="CG19" s="194" t="str">
        <f aca="false">IF(AND(Projects!$C$18&lt;=CG$4,CG$4&lt;=Projects!$C$18+Projects!$D$18-1),Projects!$B$18/Projects!$D$18,"")</f>
        <v/>
      </c>
      <c r="CH19" s="194" t="str">
        <f aca="false">IF(AND(Projects!$C$18&lt;=CH$4,CH$4&lt;=Projects!$C$18+Projects!$D$18-1),Projects!$B$18/Projects!$D$18,"")</f>
        <v/>
      </c>
      <c r="CI19" s="194" t="str">
        <f aca="false">IF(AND(Projects!$C$18&lt;=CI$4,CI$4&lt;=Projects!$C$18+Projects!$D$18-1),Projects!$B$18/Projects!$D$18,"")</f>
        <v/>
      </c>
      <c r="CJ19" s="194" t="str">
        <f aca="false">IF(AND(Projects!$C$18&lt;=CJ$4,CJ$4&lt;=Projects!$C$18+Projects!$D$18-1),Projects!$B$18/Projects!$D$18,"")</f>
        <v/>
      </c>
      <c r="CK19" s="194" t="str">
        <f aca="false">IF(AND(Projects!$C$18&lt;=CK$4,CK$4&lt;=Projects!$C$18+Projects!$D$18-1),Projects!$B$18/Projects!$D$18,"")</f>
        <v/>
      </c>
      <c r="CL19" s="194" t="str">
        <f aca="false">IF(AND(Projects!$C$18&lt;=CL$4,CL$4&lt;=Projects!$C$18+Projects!$D$18-1),Projects!$B$18/Projects!$D$18,"")</f>
        <v/>
      </c>
      <c r="CM19" s="194" t="str">
        <f aca="false">IF(AND(Projects!$C$18&lt;=CM$4,CM$4&lt;=Projects!$C$18+Projects!$D$18-1),Projects!$B$18/Projects!$D$18,"")</f>
        <v/>
      </c>
      <c r="CN19" s="194" t="str">
        <f aca="false">IF(AND(Projects!$C$18&lt;=CN$4,CN$4&lt;=Projects!$C$18+Projects!$D$18-1),Projects!$B$18/Projects!$D$18,"")</f>
        <v/>
      </c>
      <c r="CO19" s="194" t="str">
        <f aca="false">IF(AND(Projects!$C$18&lt;=CO$4,CO$4&lt;=Projects!$C$18+Projects!$D$18-1),Projects!$B$18/Projects!$D$18,"")</f>
        <v/>
      </c>
      <c r="CP19" s="194" t="str">
        <f aca="false">IF(AND(Projects!$C$18&lt;=CP$4,CP$4&lt;=Projects!$C$18+Projects!$D$18-1),Projects!$B$18/Projects!$D$18,"")</f>
        <v/>
      </c>
      <c r="CQ19" s="194" t="str">
        <f aca="false">IF(AND(Projects!$C$18&lt;=CQ$4,CQ$4&lt;=Projects!$C$18+Projects!$D$18-1),Projects!$B$18/Projects!$D$18,"")</f>
        <v/>
      </c>
      <c r="CR19" s="194" t="str">
        <f aca="false">IF(AND(Projects!$C$18&lt;=CR$4,CR$4&lt;=Projects!$C$18+Projects!$D$18-1),Projects!$B$18/Projects!$D$18,"")</f>
        <v/>
      </c>
      <c r="CS19" s="194" t="str">
        <f aca="false">IF(AND(Projects!$C$18&lt;=CS$4,CS$4&lt;=Projects!$C$18+Projects!$D$18-1),Projects!$B$18/Projects!$D$18,"")</f>
        <v/>
      </c>
      <c r="CT19" s="194" t="str">
        <f aca="false">IF(AND(Projects!$C$18&lt;=CT$4,CT$4&lt;=Projects!$C$18+Projects!$D$18-1),Projects!$B$18/Projects!$D$18,"")</f>
        <v/>
      </c>
      <c r="CU19" s="194" t="str">
        <f aca="false">IF(AND(Projects!$C$18&lt;=CU$4,CU$4&lt;=Projects!$C$18+Projects!$D$18-1),Projects!$B$18/Projects!$D$18,"")</f>
        <v/>
      </c>
      <c r="CV19" s="194" t="str">
        <f aca="false">IF(AND(Projects!$C$18&lt;=CV$4,CV$4&lt;=Projects!$C$18+Projects!$D$18-1),Projects!$B$18/Projects!$D$18,"")</f>
        <v/>
      </c>
      <c r="CW19" s="194" t="str">
        <f aca="false">IF(AND(Projects!$C$18&lt;=CW$4,CW$4&lt;=Projects!$C$18+Projects!$D$18-1),Projects!$B$18/Projects!$D$18,"")</f>
        <v/>
      </c>
      <c r="CX19" s="194" t="str">
        <f aca="false">IF(AND(Projects!$C$18&lt;=CX$4,CX$4&lt;=Projects!$C$18+Projects!$D$18-1),Projects!$B$18/Projects!$D$18,"")</f>
        <v/>
      </c>
      <c r="CY19" s="194" t="str">
        <f aca="false">IF(AND(Projects!$C$18&lt;=CY$4,CY$4&lt;=Projects!$C$18+Projects!$D$18-1),Projects!$B$18/Projects!$D$18,"")</f>
        <v/>
      </c>
      <c r="CZ19" s="194" t="str">
        <f aca="false">IF(AND(Projects!$C$18&lt;=CZ$4,CZ$4&lt;=Projects!$C$18+Projects!$D$18-1),Projects!$B$18/Projects!$D$18,"")</f>
        <v/>
      </c>
      <c r="DA19" s="194" t="str">
        <f aca="false">IF(AND(Projects!$C$18&lt;=DA$4,DA$4&lt;=Projects!$C$18+Projects!$D$18-1),Projects!$B$18/Projects!$D$18,"")</f>
        <v/>
      </c>
      <c r="DB19" s="194" t="str">
        <f aca="false">IF(AND(Projects!$C$18&lt;=DB$4,DB$4&lt;=Projects!$C$18+Projects!$D$18-1),Projects!$B$18/Projects!$D$18,"")</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Projects!$B$19/Projects!$D$19</f>
        <v>970672.052631579</v>
      </c>
      <c r="G20" s="194" t="str">
        <f aca="false">IF(AND(Projects!$C$19&lt;=G$4,G$4&lt;=Projects!$C$19+Projects!$D$19-1),Projects!$B$19/Projects!$D$19,"")</f>
        <v/>
      </c>
      <c r="H20" s="194" t="str">
        <f aca="false">IF(AND(Projects!$C$19&lt;=H$4,H$4&lt;=Projects!$C$19+Projects!$D$19-1),Projects!$B$19/Projects!$D$19,"")</f>
        <v/>
      </c>
      <c r="I20" s="194" t="str">
        <f aca="false">IF(AND(Projects!$C$19&lt;=I$4,I$4&lt;=Projects!$C$19+Projects!$D$19-1),Projects!$B$19/Projects!$D$19,"")</f>
        <v/>
      </c>
      <c r="J20" s="194" t="str">
        <f aca="false">IF(AND(Projects!$C$19&lt;=J$4,J$4&lt;=Projects!$C$19+Projects!$D$19-1),Projects!$B$19/Projects!$D$19,"")</f>
        <v/>
      </c>
      <c r="K20" s="194" t="str">
        <f aca="false">IF(AND(Projects!$C$19&lt;=K$4,K$4&lt;=Projects!$C$19+Projects!$D$19-1),Projects!$B$19/Projects!$D$19,"")</f>
        <v/>
      </c>
      <c r="L20" s="194" t="str">
        <f aca="false">IF(AND(Projects!$C$19&lt;=L$4,L$4&lt;=Projects!$C$19+Projects!$D$19-1),Projects!$B$19/Projects!$D$19,"")</f>
        <v/>
      </c>
      <c r="M20" s="194" t="str">
        <f aca="false">IF(AND(Projects!$C$19&lt;=M$4,M$4&lt;=Projects!$C$19+Projects!$D$19-1),Projects!$B$19/Projects!$D$19,"")</f>
        <v/>
      </c>
      <c r="N20" s="194" t="str">
        <f aca="false">IF(AND(Projects!$C$19&lt;=N$4,N$4&lt;=Projects!$C$19+Projects!$D$19-1),Projects!$B$19/Projects!$D$19,"")</f>
        <v/>
      </c>
      <c r="O20" s="194" t="str">
        <f aca="false">IF(AND(Projects!$C$19&lt;=O$4,O$4&lt;=Projects!$C$19+Projects!$D$19-1),Projects!$B$19/Projects!$D$19,"")</f>
        <v/>
      </c>
      <c r="P20" s="194" t="str">
        <f aca="false">IF(AND(Projects!$C$19&lt;=P$4,P$4&lt;=Projects!$C$19+Projects!$D$19-1),Projects!$B$19/Projects!$D$19,"")</f>
        <v/>
      </c>
      <c r="Q20" s="194" t="str">
        <f aca="false">IF(AND(Projects!$C$19&lt;=Q$4,Q$4&lt;=Projects!$C$19+Projects!$D$19-1),Projects!$B$19/Projects!$D$19,"")</f>
        <v/>
      </c>
      <c r="R20" s="194" t="str">
        <f aca="false">IF(AND(Projects!$C$19&lt;=R$4,R$4&lt;=Projects!$C$19+Projects!$D$19-1),Projects!$B$19/Projects!$D$19,"")</f>
        <v/>
      </c>
      <c r="S20" s="194" t="str">
        <f aca="false">IF(AND(Projects!$C$19&lt;=S$4,S$4&lt;=Projects!$C$19+Projects!$D$19-1),Projects!$B$19/Projects!$D$19,"")</f>
        <v/>
      </c>
      <c r="T20" s="194" t="str">
        <f aca="false">IF(AND(Projects!$C$19&lt;=T$4,T$4&lt;=Projects!$C$19+Projects!$D$19-1),Projects!$B$19/Projects!$D$19,"")</f>
        <v/>
      </c>
      <c r="U20" s="194" t="str">
        <f aca="false">IF(AND(Projects!$C$19&lt;=U$4,U$4&lt;=Projects!$C$19+Projects!$D$19-1),Projects!$B$19/Projects!$D$19,"")</f>
        <v/>
      </c>
      <c r="V20" s="194" t="n">
        <f aca="false">IF(AND(Projects!$C$19&lt;=V$4,V$4&lt;=Projects!$C$19+Projects!$D$19-1),Projects!$B$19/Projects!$D$19,"")</f>
        <v>970672.052631579</v>
      </c>
      <c r="W20" s="194" t="n">
        <f aca="false">IF(AND(Projects!$C$19&lt;=W$4,W$4&lt;=Projects!$C$19+Projects!$D$19-1),Projects!$B$19/Projects!$D$19,"")</f>
        <v>970672.052631579</v>
      </c>
      <c r="X20" s="194" t="n">
        <f aca="false">IF(AND(Projects!$C$19&lt;=X$4,X$4&lt;=Projects!$C$19+Projects!$D$19-1),Projects!$B$19/Projects!$D$19,"")</f>
        <v>970672.052631579</v>
      </c>
      <c r="Y20" s="194" t="n">
        <f aca="false">IF(AND(Projects!$C$19&lt;=Y$4,Y$4&lt;=Projects!$C$19+Projects!$D$19-1),Projects!$B$19/Projects!$D$19,"")</f>
        <v>970672.052631579</v>
      </c>
      <c r="Z20" s="194" t="n">
        <f aca="false">IF(AND(Projects!$C$19&lt;=Z$4,Z$4&lt;=Projects!$C$19+Projects!$D$19-1),Projects!$B$19/Projects!$D$19,"")</f>
        <v>970672.052631579</v>
      </c>
      <c r="AA20" s="194" t="n">
        <f aca="false">IF(AND(Projects!$C$19&lt;=AA$4,AA$4&lt;=Projects!$C$19+Projects!$D$19-1),Projects!$B$19/Projects!$D$19,"")</f>
        <v>970672.052631579</v>
      </c>
      <c r="AB20" s="194" t="n">
        <f aca="false">IF(AND(Projects!$C$19&lt;=AB$4,AB$4&lt;=Projects!$C$19+Projects!$D$19-1),Projects!$B$19/Projects!$D$19,"")</f>
        <v>970672.052631579</v>
      </c>
      <c r="AC20" s="194" t="n">
        <f aca="false">IF(AND(Projects!$C$19&lt;=AC$4,AC$4&lt;=Projects!$C$19+Projects!$D$19-1),Projects!$B$19/Projects!$D$19,"")</f>
        <v>970672.052631579</v>
      </c>
      <c r="AD20" s="194" t="n">
        <f aca="false">IF(AND(Projects!$C$19&lt;=AD$4,AD$4&lt;=Projects!$C$19+Projects!$D$19-1),Projects!$B$19/Projects!$D$19,"")</f>
        <v>970672.052631579</v>
      </c>
      <c r="AE20" s="194" t="n">
        <f aca="false">IF(AND(Projects!$C$19&lt;=AE$4,AE$4&lt;=Projects!$C$19+Projects!$D$19-1),Projects!$B$19/Projects!$D$19,"")</f>
        <v>970672.052631579</v>
      </c>
      <c r="AF20" s="194" t="n">
        <f aca="false">IF(AND(Projects!$C$19&lt;=AF$4,AF$4&lt;=Projects!$C$19+Projects!$D$19-1),Projects!$B$19/Projects!$D$19,"")</f>
        <v>970672.052631579</v>
      </c>
      <c r="AG20" s="194" t="n">
        <f aca="false">IF(AND(Projects!$C$19&lt;=AG$4,AG$4&lt;=Projects!$C$19+Projects!$D$19-1),Projects!$B$19/Projects!$D$19,"")</f>
        <v>970672.052631579</v>
      </c>
      <c r="AH20" s="194" t="n">
        <f aca="false">IF(AND(Projects!$C$19&lt;=AH$4,AH$4&lt;=Projects!$C$19+Projects!$D$19-1),Projects!$B$19/Projects!$D$19,"")</f>
        <v>970672.052631579</v>
      </c>
      <c r="AI20" s="194" t="n">
        <f aca="false">IF(AND(Projects!$C$19&lt;=AI$4,AI$4&lt;=Projects!$C$19+Projects!$D$19-1),Projects!$B$19/Projects!$D$19,"")</f>
        <v>970672.052631579</v>
      </c>
      <c r="AJ20" s="194" t="n">
        <f aca="false">IF(AND(Projects!$C$19&lt;=AJ$4,AJ$4&lt;=Projects!$C$19+Projects!$D$19-1),Projects!$B$19/Projects!$D$19,"")</f>
        <v>970672.052631579</v>
      </c>
      <c r="AK20" s="194" t="n">
        <f aca="false">IF(AND(Projects!$C$19&lt;=AK$4,AK$4&lt;=Projects!$C$19+Projects!$D$19-1),Projects!$B$19/Projects!$D$19,"")</f>
        <v>970672.052631579</v>
      </c>
      <c r="AL20" s="194" t="n">
        <f aca="false">IF(AND(Projects!$C$19&lt;=AL$4,AL$4&lt;=Projects!$C$19+Projects!$D$19-1),Projects!$B$19/Projects!$D$19,"")</f>
        <v>970672.052631579</v>
      </c>
      <c r="AM20" s="194" t="n">
        <f aca="false">IF(AND(Projects!$C$19&lt;=AM$4,AM$4&lt;=Projects!$C$19+Projects!$D$19-1),Projects!$B$19/Projects!$D$19,"")</f>
        <v>970672.052631579</v>
      </c>
      <c r="AN20" s="194" t="n">
        <f aca="false">IF(AND(Projects!$C$19&lt;=AN$4,AN$4&lt;=Projects!$C$19+Projects!$D$19-1),Projects!$B$19/Projects!$D$19,"")</f>
        <v>970672.052631579</v>
      </c>
      <c r="AO20" s="194" t="str">
        <f aca="false">IF(AND(Projects!$C$19&lt;=AO$4,AO$4&lt;=Projects!$C$19+Projects!$D$19-1),Projects!$B$19/Projects!$D$19,"")</f>
        <v/>
      </c>
      <c r="AP20" s="194" t="str">
        <f aca="false">IF(AND(Projects!$C$19&lt;=AP$4,AP$4&lt;=Projects!$C$19+Projects!$D$19-1),Projects!$B$19/Projects!$D$19,"")</f>
        <v/>
      </c>
      <c r="AQ20" s="194" t="str">
        <f aca="false">IF(AND(Projects!$C$19&lt;=AQ$4,AQ$4&lt;=Projects!$C$19+Projects!$D$19-1),Projects!$B$19/Projects!$D$19,"")</f>
        <v/>
      </c>
      <c r="AR20" s="194" t="str">
        <f aca="false">IF(AND(Projects!$C$19&lt;=AR$4,AR$4&lt;=Projects!$C$19+Projects!$D$19-1),Projects!$B$19/Projects!$D$19,"")</f>
        <v/>
      </c>
      <c r="AS20" s="194" t="str">
        <f aca="false">IF(AND(Projects!$C$19&lt;=AS$4,AS$4&lt;=Projects!$C$19+Projects!$D$19-1),Projects!$B$19/Projects!$D$19,"")</f>
        <v/>
      </c>
      <c r="AT20" s="194" t="str">
        <f aca="false">IF(AND(Projects!$C$19&lt;=AT$4,AT$4&lt;=Projects!$C$19+Projects!$D$19-1),Projects!$B$19/Projects!$D$19,"")</f>
        <v/>
      </c>
      <c r="AU20" s="194" t="str">
        <f aca="false">IF(AND(Projects!$C$19&lt;=AU$4,AU$4&lt;=Projects!$C$19+Projects!$D$19-1),Projects!$B$19/Projects!$D$19,"")</f>
        <v/>
      </c>
      <c r="AV20" s="194" t="str">
        <f aca="false">IF(AND(Projects!$C$19&lt;=AV$4,AV$4&lt;=Projects!$C$19+Projects!$D$19-1),Projects!$B$19/Projects!$D$19,"")</f>
        <v/>
      </c>
      <c r="AW20" s="194" t="str">
        <f aca="false">IF(AND(Projects!$C$19&lt;=AW$4,AW$4&lt;=Projects!$C$19+Projects!$D$19-1),Projects!$B$19/Projects!$D$19,"")</f>
        <v/>
      </c>
      <c r="AX20" s="194" t="str">
        <f aca="false">IF(AND(Projects!$C$19&lt;=AX$4,AX$4&lt;=Projects!$C$19+Projects!$D$19-1),Projects!$B$19/Projects!$D$19,"")</f>
        <v/>
      </c>
      <c r="AY20" s="194" t="str">
        <f aca="false">IF(AND(Projects!$C$19&lt;=AY$4,AY$4&lt;=Projects!$C$19+Projects!$D$19-1),Projects!$B$19/Projects!$D$19,"")</f>
        <v/>
      </c>
      <c r="AZ20" s="194" t="str">
        <f aca="false">IF(AND(Projects!$C$19&lt;=AZ$4,AZ$4&lt;=Projects!$C$19+Projects!$D$19-1),Projects!$B$19/Projects!$D$19,"")</f>
        <v/>
      </c>
      <c r="BA20" s="194" t="str">
        <f aca="false">IF(AND(Projects!$C$19&lt;=BA$4,BA$4&lt;=Projects!$C$19+Projects!$D$19-1),Projects!$B$19/Projects!$D$19,"")</f>
        <v/>
      </c>
      <c r="BB20" s="194" t="str">
        <f aca="false">IF(AND(Projects!$C$19&lt;=BB$4,BB$4&lt;=Projects!$C$19+Projects!$D$19-1),Projects!$B$19/Projects!$D$19,"")</f>
        <v/>
      </c>
      <c r="BC20" s="194" t="str">
        <f aca="false">IF(AND(Projects!$C$19&lt;=BC$4,BC$4&lt;=Projects!$C$19+Projects!$D$19-1),Projects!$B$19/Projects!$D$19,"")</f>
        <v/>
      </c>
      <c r="BD20" s="194" t="str">
        <f aca="false">IF(AND(Projects!$C$19&lt;=BD$4,BD$4&lt;=Projects!$C$19+Projects!$D$19-1),Projects!$B$19/Projects!$D$19,"")</f>
        <v/>
      </c>
      <c r="BE20" s="194" t="str">
        <f aca="false">IF(AND(Projects!$C$19&lt;=BE$4,BE$4&lt;=Projects!$C$19+Projects!$D$19-1),Projects!$B$19/Projects!$D$19,"")</f>
        <v/>
      </c>
      <c r="BF20" s="194" t="str">
        <f aca="false">IF(AND(Projects!$C$19&lt;=BF$4,BF$4&lt;=Projects!$C$19+Projects!$D$19-1),Projects!$B$19/Projects!$D$19,"")</f>
        <v/>
      </c>
      <c r="BG20" s="194" t="str">
        <f aca="false">IF(AND(Projects!$C$19&lt;=BG$4,BG$4&lt;=Projects!$C$19+Projects!$D$19-1),Projects!$B$19/Projects!$D$19,"")</f>
        <v/>
      </c>
      <c r="BH20" s="194" t="str">
        <f aca="false">IF(AND(Projects!$C$19&lt;=BH$4,BH$4&lt;=Projects!$C$19+Projects!$D$19-1),Projects!$B$19/Projects!$D$19,"")</f>
        <v/>
      </c>
      <c r="BI20" s="194" t="str">
        <f aca="false">IF(AND(Projects!$C$19&lt;=BI$4,BI$4&lt;=Projects!$C$19+Projects!$D$19-1),Projects!$B$19/Projects!$D$19,"")</f>
        <v/>
      </c>
      <c r="BJ20" s="194" t="str">
        <f aca="false">IF(AND(Projects!$C$19&lt;=BJ$4,BJ$4&lt;=Projects!$C$19+Projects!$D$19-1),Projects!$B$19/Projects!$D$19,"")</f>
        <v/>
      </c>
      <c r="BK20" s="194" t="str">
        <f aca="false">IF(AND(Projects!$C$19&lt;=BK$4,BK$4&lt;=Projects!$C$19+Projects!$D$19-1),Projects!$B$19/Projects!$D$19,"")</f>
        <v/>
      </c>
      <c r="BL20" s="194" t="str">
        <f aca="false">IF(AND(Projects!$C$19&lt;=BL$4,BL$4&lt;=Projects!$C$19+Projects!$D$19-1),Projects!$B$19/Projects!$D$19,"")</f>
        <v/>
      </c>
      <c r="BM20" s="194" t="str">
        <f aca="false">IF(AND(Projects!$C$19&lt;=BM$4,BM$4&lt;=Projects!$C$19+Projects!$D$19-1),Projects!$B$19/Projects!$D$19,"")</f>
        <v/>
      </c>
      <c r="BN20" s="194" t="str">
        <f aca="false">IF(AND(Projects!$C$19&lt;=BN$4,BN$4&lt;=Projects!$C$19+Projects!$D$19-1),Projects!$B$19/Projects!$D$19,"")</f>
        <v/>
      </c>
      <c r="BO20" s="194" t="str">
        <f aca="false">IF(AND(Projects!$C$19&lt;=BO$4,BO$4&lt;=Projects!$C$19+Projects!$D$19-1),Projects!$B$19/Projects!$D$19,"")</f>
        <v/>
      </c>
      <c r="BP20" s="194" t="str">
        <f aca="false">IF(AND(Projects!$C$19&lt;=BP$4,BP$4&lt;=Projects!$C$19+Projects!$D$19-1),Projects!$B$19/Projects!$D$19,"")</f>
        <v/>
      </c>
      <c r="BQ20" s="194" t="str">
        <f aca="false">IF(AND(Projects!$C$19&lt;=BQ$4,BQ$4&lt;=Projects!$C$19+Projects!$D$19-1),Projects!$B$19/Projects!$D$19,"")</f>
        <v/>
      </c>
      <c r="BR20" s="194" t="str">
        <f aca="false">IF(AND(Projects!$C$19&lt;=BR$4,BR$4&lt;=Projects!$C$19+Projects!$D$19-1),Projects!$B$19/Projects!$D$19,"")</f>
        <v/>
      </c>
      <c r="BS20" s="194" t="str">
        <f aca="false">IF(AND(Projects!$C$19&lt;=BS$4,BS$4&lt;=Projects!$C$19+Projects!$D$19-1),Projects!$B$19/Projects!$D$19,"")</f>
        <v/>
      </c>
      <c r="BT20" s="194" t="str">
        <f aca="false">IF(AND(Projects!$C$19&lt;=BT$4,BT$4&lt;=Projects!$C$19+Projects!$D$19-1),Projects!$B$19/Projects!$D$19,"")</f>
        <v/>
      </c>
      <c r="BU20" s="194" t="str">
        <f aca="false">IF(AND(Projects!$C$19&lt;=BU$4,BU$4&lt;=Projects!$C$19+Projects!$D$19-1),Projects!$B$19/Projects!$D$19,"")</f>
        <v/>
      </c>
      <c r="BV20" s="194" t="str">
        <f aca="false">IF(AND(Projects!$C$19&lt;=BV$4,BV$4&lt;=Projects!$C$19+Projects!$D$19-1),Projects!$B$19/Projects!$D$19,"")</f>
        <v/>
      </c>
      <c r="BW20" s="194" t="str">
        <f aca="false">IF(AND(Projects!$C$19&lt;=BW$4,BW$4&lt;=Projects!$C$19+Projects!$D$19-1),Projects!$B$19/Projects!$D$19,"")</f>
        <v/>
      </c>
      <c r="BX20" s="194" t="str">
        <f aca="false">IF(AND(Projects!$C$19&lt;=BX$4,BX$4&lt;=Projects!$C$19+Projects!$D$19-1),Projects!$B$19/Projects!$D$19,"")</f>
        <v/>
      </c>
      <c r="BY20" s="194" t="str">
        <f aca="false">IF(AND(Projects!$C$19&lt;=BY$4,BY$4&lt;=Projects!$C$19+Projects!$D$19-1),Projects!$B$19/Projects!$D$19,"")</f>
        <v/>
      </c>
      <c r="BZ20" s="194" t="str">
        <f aca="false">IF(AND(Projects!$C$19&lt;=BZ$4,BZ$4&lt;=Projects!$C$19+Projects!$D$19-1),Projects!$B$19/Projects!$D$19,"")</f>
        <v/>
      </c>
      <c r="CA20" s="194" t="str">
        <f aca="false">IF(AND(Projects!$C$19&lt;=CA$4,CA$4&lt;=Projects!$C$19+Projects!$D$19-1),Projects!$B$19/Projects!$D$19,"")</f>
        <v/>
      </c>
      <c r="CB20" s="194" t="str">
        <f aca="false">IF(AND(Projects!$C$19&lt;=CB$4,CB$4&lt;=Projects!$C$19+Projects!$D$19-1),Projects!$B$19/Projects!$D$19,"")</f>
        <v/>
      </c>
      <c r="CC20" s="194" t="str">
        <f aca="false">IF(AND(Projects!$C$19&lt;=CC$4,CC$4&lt;=Projects!$C$19+Projects!$D$19-1),Projects!$B$19/Projects!$D$19,"")</f>
        <v/>
      </c>
      <c r="CD20" s="194" t="str">
        <f aca="false">IF(AND(Projects!$C$19&lt;=CD$4,CD$4&lt;=Projects!$C$19+Projects!$D$19-1),Projects!$B$19/Projects!$D$19,"")</f>
        <v/>
      </c>
      <c r="CE20" s="194" t="str">
        <f aca="false">IF(AND(Projects!$C$19&lt;=CE$4,CE$4&lt;=Projects!$C$19+Projects!$D$19-1),Projects!$B$19/Projects!$D$19,"")</f>
        <v/>
      </c>
      <c r="CF20" s="194" t="str">
        <f aca="false">IF(AND(Projects!$C$19&lt;=CF$4,CF$4&lt;=Projects!$C$19+Projects!$D$19-1),Projects!$B$19/Projects!$D$19,"")</f>
        <v/>
      </c>
      <c r="CG20" s="194" t="str">
        <f aca="false">IF(AND(Projects!$C$19&lt;=CG$4,CG$4&lt;=Projects!$C$19+Projects!$D$19-1),Projects!$B$19/Projects!$D$19,"")</f>
        <v/>
      </c>
      <c r="CH20" s="194" t="str">
        <f aca="false">IF(AND(Projects!$C$19&lt;=CH$4,CH$4&lt;=Projects!$C$19+Projects!$D$19-1),Projects!$B$19/Projects!$D$19,"")</f>
        <v/>
      </c>
      <c r="CI20" s="194" t="str">
        <f aca="false">IF(AND(Projects!$C$19&lt;=CI$4,CI$4&lt;=Projects!$C$19+Projects!$D$19-1),Projects!$B$19/Projects!$D$19,"")</f>
        <v/>
      </c>
      <c r="CJ20" s="194" t="str">
        <f aca="false">IF(AND(Projects!$C$19&lt;=CJ$4,CJ$4&lt;=Projects!$C$19+Projects!$D$19-1),Projects!$B$19/Projects!$D$19,"")</f>
        <v/>
      </c>
      <c r="CK20" s="194" t="str">
        <f aca="false">IF(AND(Projects!$C$19&lt;=CK$4,CK$4&lt;=Projects!$C$19+Projects!$D$19-1),Projects!$B$19/Projects!$D$19,"")</f>
        <v/>
      </c>
      <c r="CL20" s="194" t="str">
        <f aca="false">IF(AND(Projects!$C$19&lt;=CL$4,CL$4&lt;=Projects!$C$19+Projects!$D$19-1),Projects!$B$19/Projects!$D$19,"")</f>
        <v/>
      </c>
      <c r="CM20" s="194" t="str">
        <f aca="false">IF(AND(Projects!$C$19&lt;=CM$4,CM$4&lt;=Projects!$C$19+Projects!$D$19-1),Projects!$B$19/Projects!$D$19,"")</f>
        <v/>
      </c>
      <c r="CN20" s="194" t="str">
        <f aca="false">IF(AND(Projects!$C$19&lt;=CN$4,CN$4&lt;=Projects!$C$19+Projects!$D$19-1),Projects!$B$19/Projects!$D$19,"")</f>
        <v/>
      </c>
      <c r="CO20" s="194" t="str">
        <f aca="false">IF(AND(Projects!$C$19&lt;=CO$4,CO$4&lt;=Projects!$C$19+Projects!$D$19-1),Projects!$B$19/Projects!$D$19,"")</f>
        <v/>
      </c>
      <c r="CP20" s="194" t="str">
        <f aca="false">IF(AND(Projects!$C$19&lt;=CP$4,CP$4&lt;=Projects!$C$19+Projects!$D$19-1),Projects!$B$19/Projects!$D$19,"")</f>
        <v/>
      </c>
      <c r="CQ20" s="194" t="str">
        <f aca="false">IF(AND(Projects!$C$19&lt;=CQ$4,CQ$4&lt;=Projects!$C$19+Projects!$D$19-1),Projects!$B$19/Projects!$D$19,"")</f>
        <v/>
      </c>
      <c r="CR20" s="194" t="str">
        <f aca="false">IF(AND(Projects!$C$19&lt;=CR$4,CR$4&lt;=Projects!$C$19+Projects!$D$19-1),Projects!$B$19/Projects!$D$19,"")</f>
        <v/>
      </c>
      <c r="CS20" s="194" t="str">
        <f aca="false">IF(AND(Projects!$C$19&lt;=CS$4,CS$4&lt;=Projects!$C$19+Projects!$D$19-1),Projects!$B$19/Projects!$D$19,"")</f>
        <v/>
      </c>
      <c r="CT20" s="194" t="str">
        <f aca="false">IF(AND(Projects!$C$19&lt;=CT$4,CT$4&lt;=Projects!$C$19+Projects!$D$19-1),Projects!$B$19/Projects!$D$19,"")</f>
        <v/>
      </c>
      <c r="CU20" s="194" t="str">
        <f aca="false">IF(AND(Projects!$C$19&lt;=CU$4,CU$4&lt;=Projects!$C$19+Projects!$D$19-1),Projects!$B$19/Projects!$D$19,"")</f>
        <v/>
      </c>
      <c r="CV20" s="194" t="str">
        <f aca="false">IF(AND(Projects!$C$19&lt;=CV$4,CV$4&lt;=Projects!$C$19+Projects!$D$19-1),Projects!$B$19/Projects!$D$19,"")</f>
        <v/>
      </c>
      <c r="CW20" s="194" t="str">
        <f aca="false">IF(AND(Projects!$C$19&lt;=CW$4,CW$4&lt;=Projects!$C$19+Projects!$D$19-1),Projects!$B$19/Projects!$D$19,"")</f>
        <v/>
      </c>
      <c r="CX20" s="194" t="str">
        <f aca="false">IF(AND(Projects!$C$19&lt;=CX$4,CX$4&lt;=Projects!$C$19+Projects!$D$19-1),Projects!$B$19/Projects!$D$19,"")</f>
        <v/>
      </c>
      <c r="CY20" s="194" t="str">
        <f aca="false">IF(AND(Projects!$C$19&lt;=CY$4,CY$4&lt;=Projects!$C$19+Projects!$D$19-1),Projects!$B$19/Projects!$D$19,"")</f>
        <v/>
      </c>
      <c r="CZ20" s="194" t="str">
        <f aca="false">IF(AND(Projects!$C$19&lt;=CZ$4,CZ$4&lt;=Projects!$C$19+Projects!$D$19-1),Projects!$B$19/Projects!$D$19,"")</f>
        <v/>
      </c>
      <c r="DA20" s="194" t="str">
        <f aca="false">IF(AND(Projects!$C$19&lt;=DA$4,DA$4&lt;=Projects!$C$19+Projects!$D$19-1),Projects!$B$19/Projects!$D$19,"")</f>
        <v/>
      </c>
      <c r="DB20" s="194" t="str">
        <f aca="false">IF(AND(Projects!$C$19&lt;=DB$4,DB$4&lt;=Projects!$C$19+Projects!$D$19-1),Projects!$B$19/Projects!$D$19,"")</f>
        <v/>
      </c>
    </row>
    <row r="21" customFormat="false" ht="15" hidden="false" customHeight="true" outlineLevel="0" collapsed="false">
      <c r="A21" s="94" t="s">
        <v>582</v>
      </c>
      <c r="G21" s="195" t="n">
        <f aca="false">SUM(G7:G20)+SUM(G24:G27)</f>
        <v>3714342.8378483</v>
      </c>
      <c r="H21" s="195" t="n">
        <f aca="false">SUM(H7:H20)+SUM(H24:H27)</f>
        <v>3714342.8378483</v>
      </c>
      <c r="I21" s="195" t="n">
        <f aca="false">SUM(I7:I20)+SUM(I24:I27)</f>
        <v>3714342.8378483</v>
      </c>
      <c r="J21" s="195" t="n">
        <f aca="false">SUM(J7:J20)+SUM(J24:J27)</f>
        <v>3714342.8378483</v>
      </c>
      <c r="K21" s="195" t="n">
        <f aca="false">SUM(K7:K20)+SUM(K24:K27)</f>
        <v>5806258.75988777</v>
      </c>
      <c r="L21" s="195" t="n">
        <f aca="false">SUM(L7:L20)+SUM(L24:L27)</f>
        <v>6490141.70988777</v>
      </c>
      <c r="M21" s="195" t="n">
        <f aca="false">SUM(M7:M20)+SUM(M24:M27)</f>
        <v>6490141.70988777</v>
      </c>
      <c r="N21" s="195" t="n">
        <f aca="false">SUM(N7:N20)+SUM(N24:N27)</f>
        <v>6490141.70988777</v>
      </c>
      <c r="O21" s="195" t="n">
        <f aca="false">SUM(O7:O20)+SUM(O24:O27)</f>
        <v>6485357.5432211</v>
      </c>
      <c r="P21" s="195" t="n">
        <f aca="false">SUM(P7:P20)+SUM(P24:P27)</f>
        <v>7681921.31953689</v>
      </c>
      <c r="Q21" s="195" t="n">
        <f aca="false">SUM(Q7:Q20)+SUM(Q24:Q27)</f>
        <v>8185979.68795795</v>
      </c>
      <c r="R21" s="195" t="n">
        <f aca="false">SUM(R7:R20)+SUM(R24:R27)</f>
        <v>8185979.68795795</v>
      </c>
      <c r="S21" s="195" t="n">
        <f aca="false">SUM(S7:S20)+SUM(S24:S27)</f>
        <v>9694872.02129128</v>
      </c>
      <c r="T21" s="195" t="n">
        <f aca="false">SUM(T7:T20)+SUM(T24:T27)</f>
        <v>10500978.0739229</v>
      </c>
      <c r="U21" s="195" t="n">
        <f aca="false">SUM(U7:U20)+SUM(U24:U27)</f>
        <v>11096629.9160281</v>
      </c>
      <c r="V21" s="195" t="n">
        <f aca="false">SUM(V7:V20)+SUM(V24:V27)</f>
        <v>11825752.301993</v>
      </c>
      <c r="W21" s="195" t="n">
        <f aca="false">SUM(W7:W20)+SUM(W24:W27)</f>
        <v>11825752.301993</v>
      </c>
      <c r="X21" s="195" t="n">
        <f aca="false">SUM(X7:X20)+SUM(X24:X27)</f>
        <v>11123994.6549342</v>
      </c>
      <c r="Y21" s="195" t="n">
        <f aca="false">SUM(Y7:Y20)+SUM(Y24:Y27)</f>
        <v>10003080.8216009</v>
      </c>
      <c r="Z21" s="195" t="n">
        <f aca="false">SUM(Z7:Z20)+SUM(Z24:Z27)</f>
        <v>10286482.2799781</v>
      </c>
      <c r="AA21" s="195" t="n">
        <f aca="false">SUM(AA7:AA20)+SUM(AA24:AA27)</f>
        <v>10286482.2799781</v>
      </c>
      <c r="AB21" s="195" t="n">
        <f aca="false">SUM(AB7:AB20)+SUM(AB24:AB27)</f>
        <v>10286482.2799781</v>
      </c>
      <c r="AC21" s="195" t="n">
        <f aca="false">SUM(AC7:AC20)+SUM(AC24:AC27)</f>
        <v>10286482.2799781</v>
      </c>
      <c r="AD21" s="195" t="n">
        <f aca="false">SUM(AD7:AD20)+SUM(AD24:AD27)</f>
        <v>9531902.7641886</v>
      </c>
      <c r="AE21" s="195" t="n">
        <f aca="false">SUM(AE7:AE20)+SUM(AE24:AE27)</f>
        <v>8848019.8141886</v>
      </c>
      <c r="AF21" s="195" t="n">
        <f aca="false">SUM(AF7:AF20)+SUM(AF24:AF27)</f>
        <v>8848019.8141886</v>
      </c>
      <c r="AG21" s="195" t="n">
        <f aca="false">SUM(AG7:AG20)+SUM(AG24:AG27)</f>
        <v>10226507.5475219</v>
      </c>
      <c r="AH21" s="195" t="n">
        <f aca="false">SUM(AH7:AH20)+SUM(AH24:AH27)</f>
        <v>10226507.5475219</v>
      </c>
      <c r="AI21" s="195" t="n">
        <f aca="false">SUM(AI7:AI20)+SUM(AI24:AI27)</f>
        <v>9029943.77120614</v>
      </c>
      <c r="AJ21" s="195" t="n">
        <f aca="false">SUM(AJ7:AJ20)+SUM(AJ24:AJ27)</f>
        <v>8525885.40278509</v>
      </c>
      <c r="AK21" s="195" t="n">
        <f aca="false">SUM(AK7:AK20)+SUM(AK24:AK27)</f>
        <v>8525885.40278509</v>
      </c>
      <c r="AL21" s="195" t="n">
        <f aca="false">SUM(AL7:AL20)+SUM(AL24:AL27)</f>
        <v>8525885.40278509</v>
      </c>
      <c r="AM21" s="195" t="n">
        <f aca="false">SUM(AM7:AM20)+SUM(AM24:AM27)</f>
        <v>6833804.14182018</v>
      </c>
      <c r="AN21" s="195" t="n">
        <f aca="false">SUM(AN7:AN20)+SUM(AN24:AN27)</f>
        <v>6238152.29971491</v>
      </c>
      <c r="AO21" s="195" t="n">
        <f aca="false">SUM(AO7:AO20)+SUM(AO24:AO27)</f>
        <v>5267480.24708333</v>
      </c>
      <c r="AP21" s="195" t="n">
        <f aca="false">SUM(AP7:AP20)+SUM(AP24:AP27)</f>
        <v>5267480.24708333</v>
      </c>
      <c r="AQ21" s="195" t="n">
        <f aca="false">SUM(AQ7:AQ20)+SUM(AQ24:AQ27)</f>
        <v>3930143.84083333</v>
      </c>
      <c r="AR21" s="195" t="n">
        <f aca="false">SUM(AR7:AR20)+SUM(AR24:AR27)</f>
        <v>3930143.84083333</v>
      </c>
      <c r="AS21" s="195" t="n">
        <f aca="false">SUM(AS7:AS20)+SUM(AS24:AS27)</f>
        <v>3930143.84083333</v>
      </c>
      <c r="AT21" s="195" t="n">
        <f aca="false">SUM(AT7:AT20)+SUM(AT24:AT27)</f>
        <v>3930143.84083333</v>
      </c>
      <c r="AU21" s="195" t="n">
        <f aca="false">SUM(AU7:AU20)+SUM(AU24:AU27)</f>
        <v>3930143.84083333</v>
      </c>
      <c r="AV21" s="195" t="n">
        <f aca="false">SUM(AV7:AV20)+SUM(AV24:AV27)</f>
        <v>3930143.84083333</v>
      </c>
      <c r="AW21" s="195" t="n">
        <f aca="false">SUM(AW7:AW20)+SUM(AW24:AW27)</f>
        <v>2421251.5075</v>
      </c>
      <c r="AX21" s="195" t="n">
        <f aca="false">SUM(AX7:AX20)+SUM(AX24:AX27)</f>
        <v>1378487.73333333</v>
      </c>
      <c r="AY21" s="195" t="n">
        <f aca="false">SUM(AY7:AY20)+SUM(AY24:AY27)</f>
        <v>1378487.73333333</v>
      </c>
      <c r="AZ21" s="195" t="n">
        <f aca="false">SUM(AZ7:AZ20)+SUM(AZ24:AZ27)</f>
        <v>1378487.73333333</v>
      </c>
      <c r="BA21" s="195" t="n">
        <f aca="false">SUM(BA7:BA20)+SUM(BA24:BA27)</f>
        <v>1378487.73333333</v>
      </c>
      <c r="BB21" s="195" t="n">
        <f aca="false">SUM(BB7:BB20)+SUM(BB24:BB27)</f>
        <v>1378487.73333333</v>
      </c>
      <c r="BC21" s="195" t="n">
        <f aca="false">SUM(BC7:BC20)+SUM(BC24:BC27)</f>
        <v>1378487.73333333</v>
      </c>
      <c r="BD21" s="195" t="n">
        <f aca="false">SUM(BD7:BD20)+SUM(BD24:BD27)</f>
        <v>1378487.73333333</v>
      </c>
      <c r="BE21" s="195" t="n">
        <f aca="false">SUM(BE7:BE20)+SUM(BE24:BE27)</f>
        <v>1378487.73333333</v>
      </c>
      <c r="BF21" s="195" t="n">
        <f aca="false">SUM(BF7:BF20)+SUM(BF24:BF27)</f>
        <v>1378487.73333333</v>
      </c>
      <c r="BG21" s="195" t="n">
        <f aca="false">SUM(BG7:BG20)+SUM(BG24:BG27)</f>
        <v>1378487.73333333</v>
      </c>
      <c r="BH21" s="195" t="n">
        <f aca="false">SUM(BH7:BH20)+SUM(BH24:BH27)</f>
        <v>1378487.73333333</v>
      </c>
      <c r="BI21" s="195" t="n">
        <f aca="false">SUM(BI7:BI20)+SUM(BI24:BI27)</f>
        <v>1378487.73333333</v>
      </c>
      <c r="BJ21" s="195" t="n">
        <f aca="false">SUM(BJ7:BJ20)+SUM(BJ24:BJ27)</f>
        <v>1378487.73333333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5</v>
      </c>
      <c r="K22" s="196" t="n">
        <f aca="false">COUNT(K7:K20)+COUNT(K24:K27)</f>
        <v>7</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Projects!$B$11/Projects!$D$11</f>
        <v>504058.368421053</v>
      </c>
      <c r="G24" s="194" t="str">
        <f aca="false">IF(AND(Projects!$C$11&lt;=G$4,G$4&lt;=Projects!$C$11+Projects!$D$11-1),Projects!$B$11/Projects!$D$11,"")</f>
        <v/>
      </c>
      <c r="H24" s="194" t="str">
        <f aca="false">IF(AND(Projects!$C$11&lt;=H$4,H$4&lt;=Projects!$C$11+Projects!$D$11-1),Projects!$B$11/Projects!$D$11,"")</f>
        <v/>
      </c>
      <c r="I24" s="194" t="str">
        <f aca="false">IF(AND(Projects!$C$11&lt;=I$4,I$4&lt;=Projects!$C$11+Projects!$D$11-1),Projects!$B$11/Projects!$D$11,"")</f>
        <v/>
      </c>
      <c r="J24" s="194" t="str">
        <f aca="false">IF(AND(Projects!$C$11&lt;=J$4,J$4&lt;=Projects!$C$11+Projects!$D$11-1),Projects!$B$11/Projects!$D$11,"")</f>
        <v/>
      </c>
      <c r="K24" s="194" t="str">
        <f aca="false">IF(AND(Projects!$C$11&lt;=K$4,K$4&lt;=Projects!$C$11+Projects!$D$11-1),Projects!$B$11/Projects!$D$11,"")</f>
        <v/>
      </c>
      <c r="L24" s="194" t="str">
        <f aca="false">IF(AND(Projects!$C$11&lt;=L$4,L$4&lt;=Projects!$C$11+Projects!$D$11-1),Projects!$B$11/Projects!$D$11,"")</f>
        <v/>
      </c>
      <c r="M24" s="194" t="str">
        <f aca="false">IF(AND(Projects!$C$11&lt;=M$4,M$4&lt;=Projects!$C$11+Projects!$D$11-1),Projects!$B$11/Projects!$D$11,"")</f>
        <v/>
      </c>
      <c r="N24" s="194" t="str">
        <f aca="false">IF(AND(Projects!$C$11&lt;=N$4,N$4&lt;=Projects!$C$11+Projects!$D$11-1),Projects!$B$11/Projects!$D$11,"")</f>
        <v/>
      </c>
      <c r="O24" s="194" t="str">
        <f aca="false">IF(AND(Projects!$C$11&lt;=O$4,O$4&lt;=Projects!$C$11+Projects!$D$11-1),Projects!$B$11/Projects!$D$11,"")</f>
        <v/>
      </c>
      <c r="P24" s="194" t="str">
        <f aca="false">IF(AND(Projects!$C$11&lt;=P$4,P$4&lt;=Projects!$C$11+Projects!$D$11-1),Projects!$B$11/Projects!$D$11,"")</f>
        <v/>
      </c>
      <c r="Q24" s="194" t="n">
        <f aca="false">IF(AND(Projects!$C$11&lt;=Q$4,Q$4&lt;=Projects!$C$11+Projects!$D$11-1),Projects!$B$11/Projects!$D$11,"")</f>
        <v>504058.368421053</v>
      </c>
      <c r="R24" s="194" t="n">
        <f aca="false">IF(AND(Projects!$C$11&lt;=R$4,R$4&lt;=Projects!$C$11+Projects!$D$11-1),Projects!$B$11/Projects!$D$11,"")</f>
        <v>504058.368421053</v>
      </c>
      <c r="S24" s="194" t="n">
        <f aca="false">IF(AND(Projects!$C$11&lt;=S$4,S$4&lt;=Projects!$C$11+Projects!$D$11-1),Projects!$B$11/Projects!$D$11,"")</f>
        <v>504058.368421053</v>
      </c>
      <c r="T24" s="194" t="n">
        <f aca="false">IF(AND(Projects!$C$11&lt;=T$4,T$4&lt;=Projects!$C$11+Projects!$D$11-1),Projects!$B$11/Projects!$D$11,"")</f>
        <v>504058.368421053</v>
      </c>
      <c r="U24" s="194" t="n">
        <f aca="false">IF(AND(Projects!$C$11&lt;=U$4,U$4&lt;=Projects!$C$11+Projects!$D$11-1),Projects!$B$11/Projects!$D$11,"")</f>
        <v>504058.368421053</v>
      </c>
      <c r="V24" s="194" t="n">
        <f aca="false">IF(AND(Projects!$C$11&lt;=V$4,V$4&lt;=Projects!$C$11+Projects!$D$11-1),Projects!$B$11/Projects!$D$11,"")</f>
        <v>504058.368421053</v>
      </c>
      <c r="W24" s="194" t="n">
        <f aca="false">IF(AND(Projects!$C$11&lt;=W$4,W$4&lt;=Projects!$C$11+Projects!$D$11-1),Projects!$B$11/Projects!$D$11,"")</f>
        <v>504058.368421053</v>
      </c>
      <c r="X24" s="194" t="n">
        <f aca="false">IF(AND(Projects!$C$11&lt;=X$4,X$4&lt;=Projects!$C$11+Projects!$D$11-1),Projects!$B$11/Projects!$D$11,"")</f>
        <v>504058.368421053</v>
      </c>
      <c r="Y24" s="194" t="n">
        <f aca="false">IF(AND(Projects!$C$11&lt;=Y$4,Y$4&lt;=Projects!$C$11+Projects!$D$11-1),Projects!$B$11/Projects!$D$11,"")</f>
        <v>504058.368421053</v>
      </c>
      <c r="Z24" s="194" t="n">
        <f aca="false">IF(AND(Projects!$C$11&lt;=Z$4,Z$4&lt;=Projects!$C$11+Projects!$D$11-1),Projects!$B$11/Projects!$D$11,"")</f>
        <v>504058.368421053</v>
      </c>
      <c r="AA24" s="194" t="n">
        <f aca="false">IF(AND(Projects!$C$11&lt;=AA$4,AA$4&lt;=Projects!$C$11+Projects!$D$11-1),Projects!$B$11/Projects!$D$11,"")</f>
        <v>504058.368421053</v>
      </c>
      <c r="AB24" s="194" t="n">
        <f aca="false">IF(AND(Projects!$C$11&lt;=AB$4,AB$4&lt;=Projects!$C$11+Projects!$D$11-1),Projects!$B$11/Projects!$D$11,"")</f>
        <v>504058.368421053</v>
      </c>
      <c r="AC24" s="194" t="n">
        <f aca="false">IF(AND(Projects!$C$11&lt;=AC$4,AC$4&lt;=Projects!$C$11+Projects!$D$11-1),Projects!$B$11/Projects!$D$11,"")</f>
        <v>504058.368421053</v>
      </c>
      <c r="AD24" s="194" t="n">
        <f aca="false">IF(AND(Projects!$C$11&lt;=AD$4,AD$4&lt;=Projects!$C$11+Projects!$D$11-1),Projects!$B$11/Projects!$D$11,"")</f>
        <v>504058.368421053</v>
      </c>
      <c r="AE24" s="194" t="n">
        <f aca="false">IF(AND(Projects!$C$11&lt;=AE$4,AE$4&lt;=Projects!$C$11+Projects!$D$11-1),Projects!$B$11/Projects!$D$11,"")</f>
        <v>504058.368421053</v>
      </c>
      <c r="AF24" s="194" t="n">
        <f aca="false">IF(AND(Projects!$C$11&lt;=AF$4,AF$4&lt;=Projects!$C$11+Projects!$D$11-1),Projects!$B$11/Projects!$D$11,"")</f>
        <v>504058.368421053</v>
      </c>
      <c r="AG24" s="194" t="n">
        <f aca="false">IF(AND(Projects!$C$11&lt;=AG$4,AG$4&lt;=Projects!$C$11+Projects!$D$11-1),Projects!$B$11/Projects!$D$11,"")</f>
        <v>504058.368421053</v>
      </c>
      <c r="AH24" s="194" t="n">
        <f aca="false">IF(AND(Projects!$C$11&lt;=AH$4,AH$4&lt;=Projects!$C$11+Projects!$D$11-1),Projects!$B$11/Projects!$D$11,"")</f>
        <v>504058.368421053</v>
      </c>
      <c r="AI24" s="194" t="n">
        <f aca="false">IF(AND(Projects!$C$11&lt;=AI$4,AI$4&lt;=Projects!$C$11+Projects!$D$11-1),Projects!$B$11/Projects!$D$11,"")</f>
        <v>504058.368421053</v>
      </c>
      <c r="AJ24" s="194" t="str">
        <f aca="false">IF(AND(Projects!$C$11&lt;=AJ$4,AJ$4&lt;=Projects!$C$11+Projects!$D$11-1),Projects!$B$11/Projects!$D$11,"")</f>
        <v/>
      </c>
      <c r="AK24" s="194" t="str">
        <f aca="false">IF(AND(Projects!$C$11&lt;=AK$4,AK$4&lt;=Projects!$C$11+Projects!$D$11-1),Projects!$B$11/Projects!$D$11,"")</f>
        <v/>
      </c>
      <c r="AL24" s="194" t="str">
        <f aca="false">IF(AND(Projects!$C$11&lt;=AL$4,AL$4&lt;=Projects!$C$11+Projects!$D$11-1),Projects!$B$11/Projects!$D$11,"")</f>
        <v/>
      </c>
      <c r="AM24" s="194" t="str">
        <f aca="false">IF(AND(Projects!$C$11&lt;=AM$4,AM$4&lt;=Projects!$C$11+Projects!$D$11-1),Projects!$B$11/Projects!$D$11,"")</f>
        <v/>
      </c>
      <c r="AN24" s="194" t="str">
        <f aca="false">IF(AND(Projects!$C$11&lt;=AN$4,AN$4&lt;=Projects!$C$11+Projects!$D$11-1),Projects!$B$11/Projects!$D$11,"")</f>
        <v/>
      </c>
      <c r="AO24" s="194" t="str">
        <f aca="false">IF(AND(Projects!$C$11&lt;=AO$4,AO$4&lt;=Projects!$C$11+Projects!$D$11-1),Projects!$B$11/Projects!$D$11,"")</f>
        <v/>
      </c>
      <c r="AP24" s="194" t="str">
        <f aca="false">IF(AND(Projects!$C$11&lt;=AP$4,AP$4&lt;=Projects!$C$11+Projects!$D$11-1),Projects!$B$11/Projects!$D$11,"")</f>
        <v/>
      </c>
      <c r="AQ24" s="194" t="str">
        <f aca="false">IF(AND(Projects!$C$11&lt;=AQ$4,AQ$4&lt;=Projects!$C$11+Projects!$D$11-1),Projects!$B$11/Projects!$D$11,"")</f>
        <v/>
      </c>
      <c r="AR24" s="194" t="str">
        <f aca="false">IF(AND(Projects!$C$11&lt;=AR$4,AR$4&lt;=Projects!$C$11+Projects!$D$11-1),Projects!$B$11/Projects!$D$11,"")</f>
        <v/>
      </c>
      <c r="AS24" s="194" t="str">
        <f aca="false">IF(AND(Projects!$C$11&lt;=AS$4,AS$4&lt;=Projects!$C$11+Projects!$D$11-1),Projects!$B$11/Projects!$D$11,"")</f>
        <v/>
      </c>
      <c r="AT24" s="194" t="str">
        <f aca="false">IF(AND(Projects!$C$11&lt;=AT$4,AT$4&lt;=Projects!$C$11+Projects!$D$11-1),Projects!$B$11/Projects!$D$11,"")</f>
        <v/>
      </c>
      <c r="AU24" s="194" t="str">
        <f aca="false">IF(AND(Projects!$C$11&lt;=AU$4,AU$4&lt;=Projects!$C$11+Projects!$D$11-1),Projects!$B$11/Projects!$D$11,"")</f>
        <v/>
      </c>
      <c r="AV24" s="194" t="str">
        <f aca="false">IF(AND(Projects!$C$11&lt;=AV$4,AV$4&lt;=Projects!$C$11+Projects!$D$11-1),Projects!$B$11/Projects!$D$11,"")</f>
        <v/>
      </c>
      <c r="AW24" s="194" t="str">
        <f aca="false">IF(AND(Projects!$C$11&lt;=AW$4,AW$4&lt;=Projects!$C$11+Projects!$D$11-1),Projects!$B$11/Projects!$D$11,"")</f>
        <v/>
      </c>
      <c r="AX24" s="194" t="str">
        <f aca="false">IF(AND(Projects!$C$11&lt;=AX$4,AX$4&lt;=Projects!$C$11+Projects!$D$11-1),Projects!$B$11/Projects!$D$11,"")</f>
        <v/>
      </c>
      <c r="AY24" s="194" t="str">
        <f aca="false">IF(AND(Projects!$C$11&lt;=AY$4,AY$4&lt;=Projects!$C$11+Projects!$D$11-1),Projects!$B$11/Projects!$D$11,"")</f>
        <v/>
      </c>
      <c r="AZ24" s="194" t="str">
        <f aca="false">IF(AND(Projects!$C$11&lt;=AZ$4,AZ$4&lt;=Projects!$C$11+Projects!$D$11-1),Projects!$B$11/Projects!$D$11,"")</f>
        <v/>
      </c>
      <c r="BA24" s="194" t="str">
        <f aca="false">IF(AND(Projects!$C$11&lt;=BA$4,BA$4&lt;=Projects!$C$11+Projects!$D$11-1),Projects!$B$11/Projects!$D$11,"")</f>
        <v/>
      </c>
      <c r="BB24" s="194" t="str">
        <f aca="false">IF(AND(Projects!$C$11&lt;=BB$4,BB$4&lt;=Projects!$C$11+Projects!$D$11-1),Projects!$B$11/Projects!$D$11,"")</f>
        <v/>
      </c>
      <c r="BC24" s="194" t="str">
        <f aca="false">IF(AND(Projects!$C$11&lt;=BC$4,BC$4&lt;=Projects!$C$11+Projects!$D$11-1),Projects!$B$11/Projects!$D$11,"")</f>
        <v/>
      </c>
      <c r="BD24" s="194" t="str">
        <f aca="false">IF(AND(Projects!$C$11&lt;=BD$4,BD$4&lt;=Projects!$C$11+Projects!$D$11-1),Projects!$B$11/Projects!$D$11,"")</f>
        <v/>
      </c>
      <c r="BE24" s="194" t="str">
        <f aca="false">IF(AND(Projects!$C$11&lt;=BE$4,BE$4&lt;=Projects!$C$11+Projects!$D$11-1),Projects!$B$11/Projects!$D$11,"")</f>
        <v/>
      </c>
      <c r="BF24" s="194" t="str">
        <f aca="false">IF(AND(Projects!$C$11&lt;=BF$4,BF$4&lt;=Projects!$C$11+Projects!$D$11-1),Projects!$B$11/Projects!$D$11,"")</f>
        <v/>
      </c>
      <c r="BG24" s="194" t="str">
        <f aca="false">IF(AND(Projects!$C$11&lt;=BG$4,BG$4&lt;=Projects!$C$11+Projects!$D$11-1),Projects!$B$11/Projects!$D$11,"")</f>
        <v/>
      </c>
      <c r="BH24" s="194" t="str">
        <f aca="false">IF(AND(Projects!$C$11&lt;=BH$4,BH$4&lt;=Projects!$C$11+Projects!$D$11-1),Projects!$B$11/Projects!$D$11,"")</f>
        <v/>
      </c>
      <c r="BI24" s="194" t="str">
        <f aca="false">IF(AND(Projects!$C$11&lt;=BI$4,BI$4&lt;=Projects!$C$11+Projects!$D$11-1),Projects!$B$11/Projects!$D$11,"")</f>
        <v/>
      </c>
      <c r="BJ24" s="194" t="str">
        <f aca="false">IF(AND(Projects!$C$11&lt;=BJ$4,BJ$4&lt;=Projects!$C$11+Projects!$D$11-1),Projects!$B$11/Projects!$D$11,"")</f>
        <v/>
      </c>
      <c r="BK24" s="194" t="str">
        <f aca="false">IF(AND(Projects!$C$11&lt;=BK$4,BK$4&lt;=Projects!$C$11+Projects!$D$11-1),Projects!$B$11/Projects!$D$11,"")</f>
        <v/>
      </c>
      <c r="BL24" s="194" t="str">
        <f aca="false">IF(AND(Projects!$C$11&lt;=BL$4,BL$4&lt;=Projects!$C$11+Projects!$D$11-1),Projects!$B$11/Projects!$D$11,"")</f>
        <v/>
      </c>
      <c r="BM24" s="194" t="str">
        <f aca="false">IF(AND(Projects!$C$11&lt;=BM$4,BM$4&lt;=Projects!$C$11+Projects!$D$11-1),Projects!$B$11/Projects!$D$11,"")</f>
        <v/>
      </c>
      <c r="BN24" s="194" t="str">
        <f aca="false">IF(AND(Projects!$C$11&lt;=BN$4,BN$4&lt;=Projects!$C$11+Projects!$D$11-1),Projects!$B$11/Projects!$D$11,"")</f>
        <v/>
      </c>
      <c r="BO24" s="194" t="str">
        <f aca="false">IF(AND(Projects!$C$11&lt;=BO$4,BO$4&lt;=Projects!$C$11+Projects!$D$11-1),Projects!$B$11/Projects!$D$11,"")</f>
        <v/>
      </c>
      <c r="BP24" s="194" t="str">
        <f aca="false">IF(AND(Projects!$C$11&lt;=BP$4,BP$4&lt;=Projects!$C$11+Projects!$D$11-1),Projects!$B$11/Projects!$D$11,"")</f>
        <v/>
      </c>
      <c r="BQ24" s="194" t="str">
        <f aca="false">IF(AND(Projects!$C$11&lt;=BQ$4,BQ$4&lt;=Projects!$C$11+Projects!$D$11-1),Projects!$B$11/Projects!$D$11,"")</f>
        <v/>
      </c>
      <c r="BR24" s="194" t="str">
        <f aca="false">IF(AND(Projects!$C$11&lt;=BR$4,BR$4&lt;=Projects!$C$11+Projects!$D$11-1),Projects!$B$11/Projects!$D$11,"")</f>
        <v/>
      </c>
      <c r="BS24" s="194" t="str">
        <f aca="false">IF(AND(Projects!$C$11&lt;=BS$4,BS$4&lt;=Projects!$C$11+Projects!$D$11-1),Projects!$B$11/Projects!$D$11,"")</f>
        <v/>
      </c>
      <c r="BT24" s="194" t="str">
        <f aca="false">IF(AND(Projects!$C$11&lt;=BT$4,BT$4&lt;=Projects!$C$11+Projects!$D$11-1),Projects!$B$11/Projects!$D$11,"")</f>
        <v/>
      </c>
      <c r="BU24" s="194" t="str">
        <f aca="false">IF(AND(Projects!$C$11&lt;=BU$4,BU$4&lt;=Projects!$C$11+Projects!$D$11-1),Projects!$B$11/Projects!$D$11,"")</f>
        <v/>
      </c>
      <c r="BV24" s="194" t="str">
        <f aca="false">IF(AND(Projects!$C$11&lt;=BV$4,BV$4&lt;=Projects!$C$11+Projects!$D$11-1),Projects!$B$11/Projects!$D$11,"")</f>
        <v/>
      </c>
      <c r="BW24" s="194" t="str">
        <f aca="false">IF(AND(Projects!$C$11&lt;=BW$4,BW$4&lt;=Projects!$C$11+Projects!$D$11-1),Projects!$B$11/Projects!$D$11,"")</f>
        <v/>
      </c>
      <c r="BX24" s="194" t="str">
        <f aca="false">IF(AND(Projects!$C$11&lt;=BX$4,BX$4&lt;=Projects!$C$11+Projects!$D$11-1),Projects!$B$11/Projects!$D$11,"")</f>
        <v/>
      </c>
      <c r="BY24" s="194" t="str">
        <f aca="false">IF(AND(Projects!$C$11&lt;=BY$4,BY$4&lt;=Projects!$C$11+Projects!$D$11-1),Projects!$B$11/Projects!$D$11,"")</f>
        <v/>
      </c>
      <c r="BZ24" s="194" t="str">
        <f aca="false">IF(AND(Projects!$C$11&lt;=BZ$4,BZ$4&lt;=Projects!$C$11+Projects!$D$11-1),Projects!$B$11/Projects!$D$11,"")</f>
        <v/>
      </c>
      <c r="CA24" s="194" t="str">
        <f aca="false">IF(AND(Projects!$C$11&lt;=CA$4,CA$4&lt;=Projects!$C$11+Projects!$D$11-1),Projects!$B$11/Projects!$D$11,"")</f>
        <v/>
      </c>
      <c r="CB24" s="194" t="str">
        <f aca="false">IF(AND(Projects!$C$11&lt;=CB$4,CB$4&lt;=Projects!$C$11+Projects!$D$11-1),Projects!$B$11/Projects!$D$11,"")</f>
        <v/>
      </c>
      <c r="CC24" s="194" t="str">
        <f aca="false">IF(AND(Projects!$C$11&lt;=CC$4,CC$4&lt;=Projects!$C$11+Projects!$D$11-1),Projects!$B$11/Projects!$D$11,"")</f>
        <v/>
      </c>
      <c r="CD24" s="194" t="str">
        <f aca="false">IF(AND(Projects!$C$11&lt;=CD$4,CD$4&lt;=Projects!$C$11+Projects!$D$11-1),Projects!$B$11/Projects!$D$11,"")</f>
        <v/>
      </c>
      <c r="CE24" s="194" t="str">
        <f aca="false">IF(AND(Projects!$C$11&lt;=CE$4,CE$4&lt;=Projects!$C$11+Projects!$D$11-1),Projects!$B$11/Projects!$D$11,"")</f>
        <v/>
      </c>
      <c r="CF24" s="194" t="str">
        <f aca="false">IF(AND(Projects!$C$11&lt;=CF$4,CF$4&lt;=Projects!$C$11+Projects!$D$11-1),Projects!$B$11/Projects!$D$11,"")</f>
        <v/>
      </c>
      <c r="CG24" s="194" t="str">
        <f aca="false">IF(AND(Projects!$C$11&lt;=CG$4,CG$4&lt;=Projects!$C$11+Projects!$D$11-1),Projects!$B$11/Projects!$D$11,"")</f>
        <v/>
      </c>
      <c r="CH24" s="194" t="str">
        <f aca="false">IF(AND(Projects!$C$11&lt;=CH$4,CH$4&lt;=Projects!$C$11+Projects!$D$11-1),Projects!$B$11/Projects!$D$11,"")</f>
        <v/>
      </c>
      <c r="CI24" s="194" t="str">
        <f aca="false">IF(AND(Projects!$C$11&lt;=CI$4,CI$4&lt;=Projects!$C$11+Projects!$D$11-1),Projects!$B$11/Projects!$D$11,"")</f>
        <v/>
      </c>
      <c r="CJ24" s="194" t="str">
        <f aca="false">IF(AND(Projects!$C$11&lt;=CJ$4,CJ$4&lt;=Projects!$C$11+Projects!$D$11-1),Projects!$B$11/Projects!$D$11,"")</f>
        <v/>
      </c>
      <c r="CK24" s="194" t="str">
        <f aca="false">IF(AND(Projects!$C$11&lt;=CK$4,CK$4&lt;=Projects!$C$11+Projects!$D$11-1),Projects!$B$11/Projects!$D$11,"")</f>
        <v/>
      </c>
      <c r="CL24" s="194" t="str">
        <f aca="false">IF(AND(Projects!$C$11&lt;=CL$4,CL$4&lt;=Projects!$C$11+Projects!$D$11-1),Projects!$B$11/Projects!$D$11,"")</f>
        <v/>
      </c>
      <c r="CM24" s="194" t="str">
        <f aca="false">IF(AND(Projects!$C$11&lt;=CM$4,CM$4&lt;=Projects!$C$11+Projects!$D$11-1),Projects!$B$11/Projects!$D$11,"")</f>
        <v/>
      </c>
      <c r="CN24" s="194" t="str">
        <f aca="false">IF(AND(Projects!$C$11&lt;=CN$4,CN$4&lt;=Projects!$C$11+Projects!$D$11-1),Projects!$B$11/Projects!$D$11,"")</f>
        <v/>
      </c>
      <c r="CO24" s="194" t="str">
        <f aca="false">IF(AND(Projects!$C$11&lt;=CO$4,CO$4&lt;=Projects!$C$11+Projects!$D$11-1),Projects!$B$11/Projects!$D$11,"")</f>
        <v/>
      </c>
      <c r="CP24" s="194" t="str">
        <f aca="false">IF(AND(Projects!$C$11&lt;=CP$4,CP$4&lt;=Projects!$C$11+Projects!$D$11-1),Projects!$B$11/Projects!$D$11,"")</f>
        <v/>
      </c>
      <c r="CQ24" s="194" t="str">
        <f aca="false">IF(AND(Projects!$C$11&lt;=CQ$4,CQ$4&lt;=Projects!$C$11+Projects!$D$11-1),Projects!$B$11/Projects!$D$11,"")</f>
        <v/>
      </c>
      <c r="CR24" s="194" t="str">
        <f aca="false">IF(AND(Projects!$C$11&lt;=CR$4,CR$4&lt;=Projects!$C$11+Projects!$D$11-1),Projects!$B$11/Projects!$D$11,"")</f>
        <v/>
      </c>
      <c r="CS24" s="194" t="str">
        <f aca="false">IF(AND(Projects!$C$11&lt;=CS$4,CS$4&lt;=Projects!$C$11+Projects!$D$11-1),Projects!$B$11/Projects!$D$11,"")</f>
        <v/>
      </c>
      <c r="CT24" s="194" t="str">
        <f aca="false">IF(AND(Projects!$C$11&lt;=CT$4,CT$4&lt;=Projects!$C$11+Projects!$D$11-1),Projects!$B$11/Projects!$D$11,"")</f>
        <v/>
      </c>
      <c r="CU24" s="194" t="str">
        <f aca="false">IF(AND(Projects!$C$11&lt;=CU$4,CU$4&lt;=Projects!$C$11+Projects!$D$11-1),Projects!$B$11/Projects!$D$11,"")</f>
        <v/>
      </c>
      <c r="CV24" s="194" t="str">
        <f aca="false">IF(AND(Projects!$C$11&lt;=CV$4,CV$4&lt;=Projects!$C$11+Projects!$D$11-1),Projects!$B$11/Projects!$D$11,"")</f>
        <v/>
      </c>
      <c r="CW24" s="194" t="str">
        <f aca="false">IF(AND(Projects!$C$11&lt;=CW$4,CW$4&lt;=Projects!$C$11+Projects!$D$11-1),Projects!$B$11/Projects!$D$11,"")</f>
        <v/>
      </c>
      <c r="CX24" s="194" t="str">
        <f aca="false">IF(AND(Projects!$C$11&lt;=CX$4,CX$4&lt;=Projects!$C$11+Projects!$D$11-1),Projects!$B$11/Projects!$D$11,"")</f>
        <v/>
      </c>
      <c r="CY24" s="194" t="str">
        <f aca="false">IF(AND(Projects!$C$11&lt;=CY$4,CY$4&lt;=Projects!$C$11+Projects!$D$11-1),Projects!$B$11/Projects!$D$11,"")</f>
        <v/>
      </c>
      <c r="CZ24" s="194" t="str">
        <f aca="false">IF(AND(Projects!$C$11&lt;=CZ$4,CZ$4&lt;=Projects!$C$11+Projects!$D$11-1),Projects!$B$11/Projects!$D$11,"")</f>
        <v/>
      </c>
      <c r="DA24" s="194" t="str">
        <f aca="false">IF(AND(Projects!$C$11&lt;=DA$4,DA$4&lt;=Projects!$C$11+Projects!$D$11-1),Projects!$B$11/Projects!$D$11,"")</f>
        <v/>
      </c>
      <c r="DB24" s="194" t="str">
        <f aca="false">IF(AND(Projects!$C$11&lt;=DB$4,DB$4&lt;=Projects!$C$11+Projects!$D$11-1),Projects!$B$11/Projects!$D$11,"")</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Projects!$B$12/Projects!$D$12</f>
        <v>397115.947368421</v>
      </c>
      <c r="G25" s="194" t="str">
        <f aca="false">IF(AND(Projects!$C$12&lt;=G$4,G$4&lt;=Projects!$C$12+Projects!$D$12-1),Projects!$B$12/Projects!$D$12,"")</f>
        <v/>
      </c>
      <c r="H25" s="194" t="str">
        <f aca="false">IF(AND(Projects!$C$12&lt;=H$4,H$4&lt;=Projects!$C$12+Projects!$D$12-1),Projects!$B$12/Projects!$D$12,"")</f>
        <v/>
      </c>
      <c r="I25" s="194" t="str">
        <f aca="false">IF(AND(Projects!$C$12&lt;=I$4,I$4&lt;=Projects!$C$12+Projects!$D$12-1),Projects!$B$12/Projects!$D$12,"")</f>
        <v/>
      </c>
      <c r="J25" s="194" t="str">
        <f aca="false">IF(AND(Projects!$C$12&lt;=J$4,J$4&lt;=Projects!$C$12+Projects!$D$12-1),Projects!$B$12/Projects!$D$12,"")</f>
        <v/>
      </c>
      <c r="K25" s="194" t="str">
        <f aca="false">IF(AND(Projects!$C$12&lt;=K$4,K$4&lt;=Projects!$C$12+Projects!$D$12-1),Projects!$B$12/Projects!$D$12,"")</f>
        <v/>
      </c>
      <c r="L25" s="194" t="str">
        <f aca="false">IF(AND(Projects!$C$12&lt;=L$4,L$4&lt;=Projects!$C$12+Projects!$D$12-1),Projects!$B$12/Projects!$D$12,"")</f>
        <v/>
      </c>
      <c r="M25" s="194" t="str">
        <f aca="false">IF(AND(Projects!$C$12&lt;=M$4,M$4&lt;=Projects!$C$12+Projects!$D$12-1),Projects!$B$12/Projects!$D$12,"")</f>
        <v/>
      </c>
      <c r="N25" s="194" t="str">
        <f aca="false">IF(AND(Projects!$C$12&lt;=N$4,N$4&lt;=Projects!$C$12+Projects!$D$12-1),Projects!$B$12/Projects!$D$12,"")</f>
        <v/>
      </c>
      <c r="O25" s="194" t="str">
        <f aca="false">IF(AND(Projects!$C$12&lt;=O$4,O$4&lt;=Projects!$C$12+Projects!$D$12-1),Projects!$B$12/Projects!$D$12,"")</f>
        <v/>
      </c>
      <c r="P25" s="194" t="n">
        <f aca="false">IF(AND(Projects!$C$12&lt;=P$4,P$4&lt;=Projects!$C$12+Projects!$D$12-1),Projects!$B$12/Projects!$D$12,"")</f>
        <v>397115.947368421</v>
      </c>
      <c r="Q25" s="194" t="n">
        <f aca="false">IF(AND(Projects!$C$12&lt;=Q$4,Q$4&lt;=Projects!$C$12+Projects!$D$12-1),Projects!$B$12/Projects!$D$12,"")</f>
        <v>397115.947368421</v>
      </c>
      <c r="R25" s="194" t="n">
        <f aca="false">IF(AND(Projects!$C$12&lt;=R$4,R$4&lt;=Projects!$C$12+Projects!$D$12-1),Projects!$B$12/Projects!$D$12,"")</f>
        <v>397115.947368421</v>
      </c>
      <c r="S25" s="194" t="n">
        <f aca="false">IF(AND(Projects!$C$12&lt;=S$4,S$4&lt;=Projects!$C$12+Projects!$D$12-1),Projects!$B$12/Projects!$D$12,"")</f>
        <v>397115.947368421</v>
      </c>
      <c r="T25" s="194" t="n">
        <f aca="false">IF(AND(Projects!$C$12&lt;=T$4,T$4&lt;=Projects!$C$12+Projects!$D$12-1),Projects!$B$12/Projects!$D$12,"")</f>
        <v>397115.947368421</v>
      </c>
      <c r="U25" s="194" t="n">
        <f aca="false">IF(AND(Projects!$C$12&lt;=U$4,U$4&lt;=Projects!$C$12+Projects!$D$12-1),Projects!$B$12/Projects!$D$12,"")</f>
        <v>397115.947368421</v>
      </c>
      <c r="V25" s="194" t="n">
        <f aca="false">IF(AND(Projects!$C$12&lt;=V$4,V$4&lt;=Projects!$C$12+Projects!$D$12-1),Projects!$B$12/Projects!$D$12,"")</f>
        <v>397115.947368421</v>
      </c>
      <c r="W25" s="194" t="n">
        <f aca="false">IF(AND(Projects!$C$12&lt;=W$4,W$4&lt;=Projects!$C$12+Projects!$D$12-1),Projects!$B$12/Projects!$D$12,"")</f>
        <v>397115.947368421</v>
      </c>
      <c r="X25" s="194" t="n">
        <f aca="false">IF(AND(Projects!$C$12&lt;=X$4,X$4&lt;=Projects!$C$12+Projects!$D$12-1),Projects!$B$12/Projects!$D$12,"")</f>
        <v>397115.947368421</v>
      </c>
      <c r="Y25" s="194" t="n">
        <f aca="false">IF(AND(Projects!$C$12&lt;=Y$4,Y$4&lt;=Projects!$C$12+Projects!$D$12-1),Projects!$B$12/Projects!$D$12,"")</f>
        <v>397115.947368421</v>
      </c>
      <c r="Z25" s="194" t="n">
        <f aca="false">IF(AND(Projects!$C$12&lt;=Z$4,Z$4&lt;=Projects!$C$12+Projects!$D$12-1),Projects!$B$12/Projects!$D$12,"")</f>
        <v>397115.947368421</v>
      </c>
      <c r="AA25" s="194" t="n">
        <f aca="false">IF(AND(Projects!$C$12&lt;=AA$4,AA$4&lt;=Projects!$C$12+Projects!$D$12-1),Projects!$B$12/Projects!$D$12,"")</f>
        <v>397115.947368421</v>
      </c>
      <c r="AB25" s="194" t="n">
        <f aca="false">IF(AND(Projects!$C$12&lt;=AB$4,AB$4&lt;=Projects!$C$12+Projects!$D$12-1),Projects!$B$12/Projects!$D$12,"")</f>
        <v>397115.947368421</v>
      </c>
      <c r="AC25" s="194" t="n">
        <f aca="false">IF(AND(Projects!$C$12&lt;=AC$4,AC$4&lt;=Projects!$C$12+Projects!$D$12-1),Projects!$B$12/Projects!$D$12,"")</f>
        <v>397115.947368421</v>
      </c>
      <c r="AD25" s="194" t="n">
        <f aca="false">IF(AND(Projects!$C$12&lt;=AD$4,AD$4&lt;=Projects!$C$12+Projects!$D$12-1),Projects!$B$12/Projects!$D$12,"")</f>
        <v>397115.947368421</v>
      </c>
      <c r="AE25" s="194" t="n">
        <f aca="false">IF(AND(Projects!$C$12&lt;=AE$4,AE$4&lt;=Projects!$C$12+Projects!$D$12-1),Projects!$B$12/Projects!$D$12,"")</f>
        <v>397115.947368421</v>
      </c>
      <c r="AF25" s="194" t="n">
        <f aca="false">IF(AND(Projects!$C$12&lt;=AF$4,AF$4&lt;=Projects!$C$12+Projects!$D$12-1),Projects!$B$12/Projects!$D$12,"")</f>
        <v>397115.947368421</v>
      </c>
      <c r="AG25" s="194" t="n">
        <f aca="false">IF(AND(Projects!$C$12&lt;=AG$4,AG$4&lt;=Projects!$C$12+Projects!$D$12-1),Projects!$B$12/Projects!$D$12,"")</f>
        <v>397115.947368421</v>
      </c>
      <c r="AH25" s="194" t="n">
        <f aca="false">IF(AND(Projects!$C$12&lt;=AH$4,AH$4&lt;=Projects!$C$12+Projects!$D$12-1),Projects!$B$12/Projects!$D$12,"")</f>
        <v>397115.947368421</v>
      </c>
      <c r="AI25" s="194" t="str">
        <f aca="false">IF(AND(Projects!$C$12&lt;=AI$4,AI$4&lt;=Projects!$C$12+Projects!$D$12-1),Projects!$B$12/Projects!$D$12,"")</f>
        <v/>
      </c>
      <c r="AJ25" s="194" t="str">
        <f aca="false">IF(AND(Projects!$C$12&lt;=AJ$4,AJ$4&lt;=Projects!$C$12+Projects!$D$12-1),Projects!$B$12/Projects!$D$12,"")</f>
        <v/>
      </c>
      <c r="AK25" s="194" t="str">
        <f aca="false">IF(AND(Projects!$C$12&lt;=AK$4,AK$4&lt;=Projects!$C$12+Projects!$D$12-1),Projects!$B$12/Projects!$D$12,"")</f>
        <v/>
      </c>
      <c r="AL25" s="194" t="str">
        <f aca="false">IF(AND(Projects!$C$12&lt;=AL$4,AL$4&lt;=Projects!$C$12+Projects!$D$12-1),Projects!$B$12/Projects!$D$12,"")</f>
        <v/>
      </c>
      <c r="AM25" s="194" t="str">
        <f aca="false">IF(AND(Projects!$C$12&lt;=AM$4,AM$4&lt;=Projects!$C$12+Projects!$D$12-1),Projects!$B$12/Projects!$D$12,"")</f>
        <v/>
      </c>
      <c r="AN25" s="194" t="str">
        <f aca="false">IF(AND(Projects!$C$12&lt;=AN$4,AN$4&lt;=Projects!$C$12+Projects!$D$12-1),Projects!$B$12/Projects!$D$12,"")</f>
        <v/>
      </c>
      <c r="AO25" s="194" t="str">
        <f aca="false">IF(AND(Projects!$C$12&lt;=AO$4,AO$4&lt;=Projects!$C$12+Projects!$D$12-1),Projects!$B$12/Projects!$D$12,"")</f>
        <v/>
      </c>
      <c r="AP25" s="194" t="str">
        <f aca="false">IF(AND(Projects!$C$12&lt;=AP$4,AP$4&lt;=Projects!$C$12+Projects!$D$12-1),Projects!$B$12/Projects!$D$12,"")</f>
        <v/>
      </c>
      <c r="AQ25" s="194" t="str">
        <f aca="false">IF(AND(Projects!$C$12&lt;=AQ$4,AQ$4&lt;=Projects!$C$12+Projects!$D$12-1),Projects!$B$12/Projects!$D$12,"")</f>
        <v/>
      </c>
      <c r="AR25" s="194" t="str">
        <f aca="false">IF(AND(Projects!$C$12&lt;=AR$4,AR$4&lt;=Projects!$C$12+Projects!$D$12-1),Projects!$B$12/Projects!$D$12,"")</f>
        <v/>
      </c>
      <c r="AS25" s="194" t="str">
        <f aca="false">IF(AND(Projects!$C$12&lt;=AS$4,AS$4&lt;=Projects!$C$12+Projects!$D$12-1),Projects!$B$12/Projects!$D$12,"")</f>
        <v/>
      </c>
      <c r="AT25" s="194" t="str">
        <f aca="false">IF(AND(Projects!$C$12&lt;=AT$4,AT$4&lt;=Projects!$C$12+Projects!$D$12-1),Projects!$B$12/Projects!$D$12,"")</f>
        <v/>
      </c>
      <c r="AU25" s="194" t="str">
        <f aca="false">IF(AND(Projects!$C$12&lt;=AU$4,AU$4&lt;=Projects!$C$12+Projects!$D$12-1),Projects!$B$12/Projects!$D$12,"")</f>
        <v/>
      </c>
      <c r="AV25" s="194" t="str">
        <f aca="false">IF(AND(Projects!$C$12&lt;=AV$4,AV$4&lt;=Projects!$C$12+Projects!$D$12-1),Projects!$B$12/Projects!$D$12,"")</f>
        <v/>
      </c>
      <c r="AW25" s="194" t="str">
        <f aca="false">IF(AND(Projects!$C$12&lt;=AW$4,AW$4&lt;=Projects!$C$12+Projects!$D$12-1),Projects!$B$12/Projects!$D$12,"")</f>
        <v/>
      </c>
      <c r="AX25" s="194" t="str">
        <f aca="false">IF(AND(Projects!$C$12&lt;=AX$4,AX$4&lt;=Projects!$C$12+Projects!$D$12-1),Projects!$B$12/Projects!$D$12,"")</f>
        <v/>
      </c>
      <c r="AY25" s="194" t="str">
        <f aca="false">IF(AND(Projects!$C$12&lt;=AY$4,AY$4&lt;=Projects!$C$12+Projects!$D$12-1),Projects!$B$12/Projects!$D$12,"")</f>
        <v/>
      </c>
      <c r="AZ25" s="194" t="str">
        <f aca="false">IF(AND(Projects!$C$12&lt;=AZ$4,AZ$4&lt;=Projects!$C$12+Projects!$D$12-1),Projects!$B$12/Projects!$D$12,"")</f>
        <v/>
      </c>
      <c r="BA25" s="194" t="str">
        <f aca="false">IF(AND(Projects!$C$12&lt;=BA$4,BA$4&lt;=Projects!$C$12+Projects!$D$12-1),Projects!$B$12/Projects!$D$12,"")</f>
        <v/>
      </c>
      <c r="BB25" s="194" t="str">
        <f aca="false">IF(AND(Projects!$C$12&lt;=BB$4,BB$4&lt;=Projects!$C$12+Projects!$D$12-1),Projects!$B$12/Projects!$D$12,"")</f>
        <v/>
      </c>
      <c r="BC25" s="194" t="str">
        <f aca="false">IF(AND(Projects!$C$12&lt;=BC$4,BC$4&lt;=Projects!$C$12+Projects!$D$12-1),Projects!$B$12/Projects!$D$12,"")</f>
        <v/>
      </c>
      <c r="BD25" s="194" t="str">
        <f aca="false">IF(AND(Projects!$C$12&lt;=BD$4,BD$4&lt;=Projects!$C$12+Projects!$D$12-1),Projects!$B$12/Projects!$D$12,"")</f>
        <v/>
      </c>
      <c r="BE25" s="194" t="str">
        <f aca="false">IF(AND(Projects!$C$12&lt;=BE$4,BE$4&lt;=Projects!$C$12+Projects!$D$12-1),Projects!$B$12/Projects!$D$12,"")</f>
        <v/>
      </c>
      <c r="BF25" s="194" t="str">
        <f aca="false">IF(AND(Projects!$C$12&lt;=BF$4,BF$4&lt;=Projects!$C$12+Projects!$D$12-1),Projects!$B$12/Projects!$D$12,"")</f>
        <v/>
      </c>
      <c r="BG25" s="194" t="str">
        <f aca="false">IF(AND(Projects!$C$12&lt;=BG$4,BG$4&lt;=Projects!$C$12+Projects!$D$12-1),Projects!$B$12/Projects!$D$12,"")</f>
        <v/>
      </c>
      <c r="BH25" s="194" t="str">
        <f aca="false">IF(AND(Projects!$C$12&lt;=BH$4,BH$4&lt;=Projects!$C$12+Projects!$D$12-1),Projects!$B$12/Projects!$D$12,"")</f>
        <v/>
      </c>
      <c r="BI25" s="194" t="str">
        <f aca="false">IF(AND(Projects!$C$12&lt;=BI$4,BI$4&lt;=Projects!$C$12+Projects!$D$12-1),Projects!$B$12/Projects!$D$12,"")</f>
        <v/>
      </c>
      <c r="BJ25" s="194" t="str">
        <f aca="false">IF(AND(Projects!$C$12&lt;=BJ$4,BJ$4&lt;=Projects!$C$12+Projects!$D$12-1),Projects!$B$12/Projects!$D$12,"")</f>
        <v/>
      </c>
      <c r="BK25" s="194" t="str">
        <f aca="false">IF(AND(Projects!$C$12&lt;=BK$4,BK$4&lt;=Projects!$C$12+Projects!$D$12-1),Projects!$B$12/Projects!$D$12,"")</f>
        <v/>
      </c>
      <c r="BL25" s="194" t="str">
        <f aca="false">IF(AND(Projects!$C$12&lt;=BL$4,BL$4&lt;=Projects!$C$12+Projects!$D$12-1),Projects!$B$12/Projects!$D$12,"")</f>
        <v/>
      </c>
      <c r="BM25" s="194" t="str">
        <f aca="false">IF(AND(Projects!$C$12&lt;=BM$4,BM$4&lt;=Projects!$C$12+Projects!$D$12-1),Projects!$B$12/Projects!$D$12,"")</f>
        <v/>
      </c>
      <c r="BN25" s="194" t="str">
        <f aca="false">IF(AND(Projects!$C$12&lt;=BN$4,BN$4&lt;=Projects!$C$12+Projects!$D$12-1),Projects!$B$12/Projects!$D$12,"")</f>
        <v/>
      </c>
      <c r="BO25" s="194" t="str">
        <f aca="false">IF(AND(Projects!$C$12&lt;=BO$4,BO$4&lt;=Projects!$C$12+Projects!$D$12-1),Projects!$B$12/Projects!$D$12,"")</f>
        <v/>
      </c>
      <c r="BP25" s="194" t="str">
        <f aca="false">IF(AND(Projects!$C$12&lt;=BP$4,BP$4&lt;=Projects!$C$12+Projects!$D$12-1),Projects!$B$12/Projects!$D$12,"")</f>
        <v/>
      </c>
      <c r="BQ25" s="194" t="str">
        <f aca="false">IF(AND(Projects!$C$12&lt;=BQ$4,BQ$4&lt;=Projects!$C$12+Projects!$D$12-1),Projects!$B$12/Projects!$D$12,"")</f>
        <v/>
      </c>
      <c r="BR25" s="194" t="str">
        <f aca="false">IF(AND(Projects!$C$12&lt;=BR$4,BR$4&lt;=Projects!$C$12+Projects!$D$12-1),Projects!$B$12/Projects!$D$12,"")</f>
        <v/>
      </c>
      <c r="BS25" s="194" t="str">
        <f aca="false">IF(AND(Projects!$C$12&lt;=BS$4,BS$4&lt;=Projects!$C$12+Projects!$D$12-1),Projects!$B$12/Projects!$D$12,"")</f>
        <v/>
      </c>
      <c r="BT25" s="194" t="str">
        <f aca="false">IF(AND(Projects!$C$12&lt;=BT$4,BT$4&lt;=Projects!$C$12+Projects!$D$12-1),Projects!$B$12/Projects!$D$12,"")</f>
        <v/>
      </c>
      <c r="BU25" s="194" t="str">
        <f aca="false">IF(AND(Projects!$C$12&lt;=BU$4,BU$4&lt;=Projects!$C$12+Projects!$D$12-1),Projects!$B$12/Projects!$D$12,"")</f>
        <v/>
      </c>
      <c r="BV25" s="194" t="str">
        <f aca="false">IF(AND(Projects!$C$12&lt;=BV$4,BV$4&lt;=Projects!$C$12+Projects!$D$12-1),Projects!$B$12/Projects!$D$12,"")</f>
        <v/>
      </c>
      <c r="BW25" s="194" t="str">
        <f aca="false">IF(AND(Projects!$C$12&lt;=BW$4,BW$4&lt;=Projects!$C$12+Projects!$D$12-1),Projects!$B$12/Projects!$D$12,"")</f>
        <v/>
      </c>
      <c r="BX25" s="194" t="str">
        <f aca="false">IF(AND(Projects!$C$12&lt;=BX$4,BX$4&lt;=Projects!$C$12+Projects!$D$12-1),Projects!$B$12/Projects!$D$12,"")</f>
        <v/>
      </c>
      <c r="BY25" s="194" t="str">
        <f aca="false">IF(AND(Projects!$C$12&lt;=BY$4,BY$4&lt;=Projects!$C$12+Projects!$D$12-1),Projects!$B$12/Projects!$D$12,"")</f>
        <v/>
      </c>
      <c r="BZ25" s="194" t="str">
        <f aca="false">IF(AND(Projects!$C$12&lt;=BZ$4,BZ$4&lt;=Projects!$C$12+Projects!$D$12-1),Projects!$B$12/Projects!$D$12,"")</f>
        <v/>
      </c>
      <c r="CA25" s="194" t="str">
        <f aca="false">IF(AND(Projects!$C$12&lt;=CA$4,CA$4&lt;=Projects!$C$12+Projects!$D$12-1),Projects!$B$12/Projects!$D$12,"")</f>
        <v/>
      </c>
      <c r="CB25" s="194" t="str">
        <f aca="false">IF(AND(Projects!$C$12&lt;=CB$4,CB$4&lt;=Projects!$C$12+Projects!$D$12-1),Projects!$B$12/Projects!$D$12,"")</f>
        <v/>
      </c>
      <c r="CC25" s="194" t="str">
        <f aca="false">IF(AND(Projects!$C$12&lt;=CC$4,CC$4&lt;=Projects!$C$12+Projects!$D$12-1),Projects!$B$12/Projects!$D$12,"")</f>
        <v/>
      </c>
      <c r="CD25" s="194" t="str">
        <f aca="false">IF(AND(Projects!$C$12&lt;=CD$4,CD$4&lt;=Projects!$C$12+Projects!$D$12-1),Projects!$B$12/Projects!$D$12,"")</f>
        <v/>
      </c>
      <c r="CE25" s="194" t="str">
        <f aca="false">IF(AND(Projects!$C$12&lt;=CE$4,CE$4&lt;=Projects!$C$12+Projects!$D$12-1),Projects!$B$12/Projects!$D$12,"")</f>
        <v/>
      </c>
      <c r="CF25" s="194" t="str">
        <f aca="false">IF(AND(Projects!$C$12&lt;=CF$4,CF$4&lt;=Projects!$C$12+Projects!$D$12-1),Projects!$B$12/Projects!$D$12,"")</f>
        <v/>
      </c>
      <c r="CG25" s="194" t="str">
        <f aca="false">IF(AND(Projects!$C$12&lt;=CG$4,CG$4&lt;=Projects!$C$12+Projects!$D$12-1),Projects!$B$12/Projects!$D$12,"")</f>
        <v/>
      </c>
      <c r="CH25" s="194" t="str">
        <f aca="false">IF(AND(Projects!$C$12&lt;=CH$4,CH$4&lt;=Projects!$C$12+Projects!$D$12-1),Projects!$B$12/Projects!$D$12,"")</f>
        <v/>
      </c>
      <c r="CI25" s="194" t="str">
        <f aca="false">IF(AND(Projects!$C$12&lt;=CI$4,CI$4&lt;=Projects!$C$12+Projects!$D$12-1),Projects!$B$12/Projects!$D$12,"")</f>
        <v/>
      </c>
      <c r="CJ25" s="194" t="str">
        <f aca="false">IF(AND(Projects!$C$12&lt;=CJ$4,CJ$4&lt;=Projects!$C$12+Projects!$D$12-1),Projects!$B$12/Projects!$D$12,"")</f>
        <v/>
      </c>
      <c r="CK25" s="194" t="str">
        <f aca="false">IF(AND(Projects!$C$12&lt;=CK$4,CK$4&lt;=Projects!$C$12+Projects!$D$12-1),Projects!$B$12/Projects!$D$12,"")</f>
        <v/>
      </c>
      <c r="CL25" s="194" t="str">
        <f aca="false">IF(AND(Projects!$C$12&lt;=CL$4,CL$4&lt;=Projects!$C$12+Projects!$D$12-1),Projects!$B$12/Projects!$D$12,"")</f>
        <v/>
      </c>
      <c r="CM25" s="194" t="str">
        <f aca="false">IF(AND(Projects!$C$12&lt;=CM$4,CM$4&lt;=Projects!$C$12+Projects!$D$12-1),Projects!$B$12/Projects!$D$12,"")</f>
        <v/>
      </c>
      <c r="CN25" s="194" t="str">
        <f aca="false">IF(AND(Projects!$C$12&lt;=CN$4,CN$4&lt;=Projects!$C$12+Projects!$D$12-1),Projects!$B$12/Projects!$D$12,"")</f>
        <v/>
      </c>
      <c r="CO25" s="194" t="str">
        <f aca="false">IF(AND(Projects!$C$12&lt;=CO$4,CO$4&lt;=Projects!$C$12+Projects!$D$12-1),Projects!$B$12/Projects!$D$12,"")</f>
        <v/>
      </c>
      <c r="CP25" s="194" t="str">
        <f aca="false">IF(AND(Projects!$C$12&lt;=CP$4,CP$4&lt;=Projects!$C$12+Projects!$D$12-1),Projects!$B$12/Projects!$D$12,"")</f>
        <v/>
      </c>
      <c r="CQ25" s="194" t="str">
        <f aca="false">IF(AND(Projects!$C$12&lt;=CQ$4,CQ$4&lt;=Projects!$C$12+Projects!$D$12-1),Projects!$B$12/Projects!$D$12,"")</f>
        <v/>
      </c>
      <c r="CR25" s="194" t="str">
        <f aca="false">IF(AND(Projects!$C$12&lt;=CR$4,CR$4&lt;=Projects!$C$12+Projects!$D$12-1),Projects!$B$12/Projects!$D$12,"")</f>
        <v/>
      </c>
      <c r="CS25" s="194" t="str">
        <f aca="false">IF(AND(Projects!$C$12&lt;=CS$4,CS$4&lt;=Projects!$C$12+Projects!$D$12-1),Projects!$B$12/Projects!$D$12,"")</f>
        <v/>
      </c>
      <c r="CT25" s="194" t="str">
        <f aca="false">IF(AND(Projects!$C$12&lt;=CT$4,CT$4&lt;=Projects!$C$12+Projects!$D$12-1),Projects!$B$12/Projects!$D$12,"")</f>
        <v/>
      </c>
      <c r="CU25" s="194" t="str">
        <f aca="false">IF(AND(Projects!$C$12&lt;=CU$4,CU$4&lt;=Projects!$C$12+Projects!$D$12-1),Projects!$B$12/Projects!$D$12,"")</f>
        <v/>
      </c>
      <c r="CV25" s="194" t="str">
        <f aca="false">IF(AND(Projects!$C$12&lt;=CV$4,CV$4&lt;=Projects!$C$12+Projects!$D$12-1),Projects!$B$12/Projects!$D$12,"")</f>
        <v/>
      </c>
      <c r="CW25" s="194" t="str">
        <f aca="false">IF(AND(Projects!$C$12&lt;=CW$4,CW$4&lt;=Projects!$C$12+Projects!$D$12-1),Projects!$B$12/Projects!$D$12,"")</f>
        <v/>
      </c>
      <c r="CX25" s="194" t="str">
        <f aca="false">IF(AND(Projects!$C$12&lt;=CX$4,CX$4&lt;=Projects!$C$12+Projects!$D$12-1),Projects!$B$12/Projects!$D$12,"")</f>
        <v/>
      </c>
      <c r="CY25" s="194" t="str">
        <f aca="false">IF(AND(Projects!$C$12&lt;=CY$4,CY$4&lt;=Projects!$C$12+Projects!$D$12-1),Projects!$B$12/Projects!$D$12,"")</f>
        <v/>
      </c>
      <c r="CZ25" s="194" t="str">
        <f aca="false">IF(AND(Projects!$C$12&lt;=CZ$4,CZ$4&lt;=Projects!$C$12+Projects!$D$12-1),Projects!$B$12/Projects!$D$12,"")</f>
        <v/>
      </c>
      <c r="DA25" s="194" t="str">
        <f aca="false">IF(AND(Projects!$C$12&lt;=DA$4,DA$4&lt;=Projects!$C$12+Projects!$D$12-1),Projects!$B$12/Projects!$D$12,"")</f>
        <v/>
      </c>
      <c r="DB25" s="194" t="str">
        <f aca="false">IF(AND(Projects!$C$12&lt;=DB$4,DB$4&lt;=Projects!$C$12+Projects!$D$12-1),Projects!$B$12/Projects!$D$12,"")</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Projects!$B$20/Projects!$D$20</f>
        <v>1042763.77416667</v>
      </c>
      <c r="G26" s="194" t="str">
        <f aca="false">IF(AND(Projects!$C$20&lt;=G$4,G$4&lt;=Projects!$C$20+Projects!$D$20-1),Projects!$B$20/Projects!$D$20,"")</f>
        <v/>
      </c>
      <c r="H26" s="194" t="str">
        <f aca="false">IF(AND(Projects!$C$20&lt;=H$4,H$4&lt;=Projects!$C$20+Projects!$D$20-1),Projects!$B$20/Projects!$D$20,"")</f>
        <v/>
      </c>
      <c r="I26" s="194" t="str">
        <f aca="false">IF(AND(Projects!$C$20&lt;=I$4,I$4&lt;=Projects!$C$20+Projects!$D$20-1),Projects!$B$20/Projects!$D$20,"")</f>
        <v/>
      </c>
      <c r="J26" s="194" t="str">
        <f aca="false">IF(AND(Projects!$C$20&lt;=J$4,J$4&lt;=Projects!$C$20+Projects!$D$20-1),Projects!$B$20/Projects!$D$20,"")</f>
        <v/>
      </c>
      <c r="K26" s="194" t="str">
        <f aca="false">IF(AND(Projects!$C$20&lt;=K$4,K$4&lt;=Projects!$C$20+Projects!$D$20-1),Projects!$B$20/Projects!$D$20,"")</f>
        <v/>
      </c>
      <c r="L26" s="194" t="str">
        <f aca="false">IF(AND(Projects!$C$20&lt;=L$4,L$4&lt;=Projects!$C$20+Projects!$D$20-1),Projects!$B$20/Projects!$D$20,"")</f>
        <v/>
      </c>
      <c r="M26" s="194" t="str">
        <f aca="false">IF(AND(Projects!$C$20&lt;=M$4,M$4&lt;=Projects!$C$20+Projects!$D$20-1),Projects!$B$20/Projects!$D$20,"")</f>
        <v/>
      </c>
      <c r="N26" s="194" t="str">
        <f aca="false">IF(AND(Projects!$C$20&lt;=N$4,N$4&lt;=Projects!$C$20+Projects!$D$20-1),Projects!$B$20/Projects!$D$20,"")</f>
        <v/>
      </c>
      <c r="O26" s="194" t="str">
        <f aca="false">IF(AND(Projects!$C$20&lt;=O$4,O$4&lt;=Projects!$C$20+Projects!$D$20-1),Projects!$B$20/Projects!$D$20,"")</f>
        <v/>
      </c>
      <c r="P26" s="194" t="str">
        <f aca="false">IF(AND(Projects!$C$20&lt;=P$4,P$4&lt;=Projects!$C$20+Projects!$D$20-1),Projects!$B$20/Projects!$D$20,"")</f>
        <v/>
      </c>
      <c r="Q26" s="194" t="str">
        <f aca="false">IF(AND(Projects!$C$20&lt;=Q$4,Q$4&lt;=Projects!$C$20+Projects!$D$20-1),Projects!$B$20/Projects!$D$20,"")</f>
        <v/>
      </c>
      <c r="R26" s="194" t="str">
        <f aca="false">IF(AND(Projects!$C$20&lt;=R$4,R$4&lt;=Projects!$C$20+Projects!$D$20-1),Projects!$B$20/Projects!$D$20,"")</f>
        <v/>
      </c>
      <c r="S26" s="194" t="str">
        <f aca="false">IF(AND(Projects!$C$20&lt;=S$4,S$4&lt;=Projects!$C$20+Projects!$D$20-1),Projects!$B$20/Projects!$D$20,"")</f>
        <v/>
      </c>
      <c r="T26" s="194" t="str">
        <f aca="false">IF(AND(Projects!$C$20&lt;=T$4,T$4&lt;=Projects!$C$20+Projects!$D$20-1),Projects!$B$20/Projects!$D$20,"")</f>
        <v/>
      </c>
      <c r="U26" s="194" t="str">
        <f aca="false">IF(AND(Projects!$C$20&lt;=U$4,U$4&lt;=Projects!$C$20+Projects!$D$20-1),Projects!$B$20/Projects!$D$20,"")</f>
        <v/>
      </c>
      <c r="V26" s="194" t="str">
        <f aca="false">IF(AND(Projects!$C$20&lt;=V$4,V$4&lt;=Projects!$C$20+Projects!$D$20-1),Projects!$B$20/Projects!$D$20,"")</f>
        <v/>
      </c>
      <c r="W26" s="194" t="str">
        <f aca="false">IF(AND(Projects!$C$20&lt;=W$4,W$4&lt;=Projects!$C$20+Projects!$D$20-1),Projects!$B$20/Projects!$D$20,"")</f>
        <v/>
      </c>
      <c r="X26" s="194" t="str">
        <f aca="false">IF(AND(Projects!$C$20&lt;=X$4,X$4&lt;=Projects!$C$20+Projects!$D$20-1),Projects!$B$20/Projects!$D$20,"")</f>
        <v/>
      </c>
      <c r="Y26" s="194" t="str">
        <f aca="false">IF(AND(Projects!$C$20&lt;=Y$4,Y$4&lt;=Projects!$C$20+Projects!$D$20-1),Projects!$B$20/Projects!$D$20,"")</f>
        <v/>
      </c>
      <c r="Z26" s="194" t="n">
        <f aca="false">IF(AND(Projects!$C$20&lt;=Z$4,Z$4&lt;=Projects!$C$20+Projects!$D$20-1),Projects!$B$20/Projects!$D$20,"")</f>
        <v>1042763.77416667</v>
      </c>
      <c r="AA26" s="194" t="n">
        <f aca="false">IF(AND(Projects!$C$20&lt;=AA$4,AA$4&lt;=Projects!$C$20+Projects!$D$20-1),Projects!$B$20/Projects!$D$20,"")</f>
        <v>1042763.77416667</v>
      </c>
      <c r="AB26" s="194" t="n">
        <f aca="false">IF(AND(Projects!$C$20&lt;=AB$4,AB$4&lt;=Projects!$C$20+Projects!$D$20-1),Projects!$B$20/Projects!$D$20,"")</f>
        <v>1042763.77416667</v>
      </c>
      <c r="AC26" s="194" t="n">
        <f aca="false">IF(AND(Projects!$C$20&lt;=AC$4,AC$4&lt;=Projects!$C$20+Projects!$D$20-1),Projects!$B$20/Projects!$D$20,"")</f>
        <v>1042763.77416667</v>
      </c>
      <c r="AD26" s="194" t="n">
        <f aca="false">IF(AND(Projects!$C$20&lt;=AD$4,AD$4&lt;=Projects!$C$20+Projects!$D$20-1),Projects!$B$20/Projects!$D$20,"")</f>
        <v>1042763.77416667</v>
      </c>
      <c r="AE26" s="194" t="n">
        <f aca="false">IF(AND(Projects!$C$20&lt;=AE$4,AE$4&lt;=Projects!$C$20+Projects!$D$20-1),Projects!$B$20/Projects!$D$20,"")</f>
        <v>1042763.77416667</v>
      </c>
      <c r="AF26" s="194" t="n">
        <f aca="false">IF(AND(Projects!$C$20&lt;=AF$4,AF$4&lt;=Projects!$C$20+Projects!$D$20-1),Projects!$B$20/Projects!$D$20,"")</f>
        <v>1042763.77416667</v>
      </c>
      <c r="AG26" s="194" t="n">
        <f aca="false">IF(AND(Projects!$C$20&lt;=AG$4,AG$4&lt;=Projects!$C$20+Projects!$D$20-1),Projects!$B$20/Projects!$D$20,"")</f>
        <v>1042763.77416667</v>
      </c>
      <c r="AH26" s="194" t="n">
        <f aca="false">IF(AND(Projects!$C$20&lt;=AH$4,AH$4&lt;=Projects!$C$20+Projects!$D$20-1),Projects!$B$20/Projects!$D$20,"")</f>
        <v>1042763.77416667</v>
      </c>
      <c r="AI26" s="194" t="n">
        <f aca="false">IF(AND(Projects!$C$20&lt;=AI$4,AI$4&lt;=Projects!$C$20+Projects!$D$20-1),Projects!$B$20/Projects!$D$20,"")</f>
        <v>1042763.77416667</v>
      </c>
      <c r="AJ26" s="194" t="n">
        <f aca="false">IF(AND(Projects!$C$20&lt;=AJ$4,AJ$4&lt;=Projects!$C$20+Projects!$D$20-1),Projects!$B$20/Projects!$D$20,"")</f>
        <v>1042763.77416667</v>
      </c>
      <c r="AK26" s="194" t="n">
        <f aca="false">IF(AND(Projects!$C$20&lt;=AK$4,AK$4&lt;=Projects!$C$20+Projects!$D$20-1),Projects!$B$20/Projects!$D$20,"")</f>
        <v>1042763.77416667</v>
      </c>
      <c r="AL26" s="194" t="n">
        <f aca="false">IF(AND(Projects!$C$20&lt;=AL$4,AL$4&lt;=Projects!$C$20+Projects!$D$20-1),Projects!$B$20/Projects!$D$20,"")</f>
        <v>1042763.77416667</v>
      </c>
      <c r="AM26" s="194" t="n">
        <f aca="false">IF(AND(Projects!$C$20&lt;=AM$4,AM$4&lt;=Projects!$C$20+Projects!$D$20-1),Projects!$B$20/Projects!$D$20,"")</f>
        <v>1042763.77416667</v>
      </c>
      <c r="AN26" s="194" t="n">
        <f aca="false">IF(AND(Projects!$C$20&lt;=AN$4,AN$4&lt;=Projects!$C$20+Projects!$D$20-1),Projects!$B$20/Projects!$D$20,"")</f>
        <v>1042763.77416667</v>
      </c>
      <c r="AO26" s="194" t="n">
        <f aca="false">IF(AND(Projects!$C$20&lt;=AO$4,AO$4&lt;=Projects!$C$20+Projects!$D$20-1),Projects!$B$20/Projects!$D$20,"")</f>
        <v>1042763.77416667</v>
      </c>
      <c r="AP26" s="194" t="n">
        <f aca="false">IF(AND(Projects!$C$20&lt;=AP$4,AP$4&lt;=Projects!$C$20+Projects!$D$20-1),Projects!$B$20/Projects!$D$20,"")</f>
        <v>1042763.77416667</v>
      </c>
      <c r="AQ26" s="194" t="n">
        <f aca="false">IF(AND(Projects!$C$20&lt;=AQ$4,AQ$4&lt;=Projects!$C$20+Projects!$D$20-1),Projects!$B$20/Projects!$D$20,"")</f>
        <v>1042763.77416667</v>
      </c>
      <c r="AR26" s="194" t="n">
        <f aca="false">IF(AND(Projects!$C$20&lt;=AR$4,AR$4&lt;=Projects!$C$20+Projects!$D$20-1),Projects!$B$20/Projects!$D$20,"")</f>
        <v>1042763.77416667</v>
      </c>
      <c r="AS26" s="194" t="n">
        <f aca="false">IF(AND(Projects!$C$20&lt;=AS$4,AS$4&lt;=Projects!$C$20+Projects!$D$20-1),Projects!$B$20/Projects!$D$20,"")</f>
        <v>1042763.77416667</v>
      </c>
      <c r="AT26" s="194" t="n">
        <f aca="false">IF(AND(Projects!$C$20&lt;=AT$4,AT$4&lt;=Projects!$C$20+Projects!$D$20-1),Projects!$B$20/Projects!$D$20,"")</f>
        <v>1042763.77416667</v>
      </c>
      <c r="AU26" s="194" t="n">
        <f aca="false">IF(AND(Projects!$C$20&lt;=AU$4,AU$4&lt;=Projects!$C$20+Projects!$D$20-1),Projects!$B$20/Projects!$D$20,"")</f>
        <v>1042763.77416667</v>
      </c>
      <c r="AV26" s="194" t="n">
        <f aca="false">IF(AND(Projects!$C$20&lt;=AV$4,AV$4&lt;=Projects!$C$20+Projects!$D$20-1),Projects!$B$20/Projects!$D$20,"")</f>
        <v>1042763.77416667</v>
      </c>
      <c r="AW26" s="194" t="n">
        <f aca="false">IF(AND(Projects!$C$20&lt;=AW$4,AW$4&lt;=Projects!$C$20+Projects!$D$20-1),Projects!$B$20/Projects!$D$20,"")</f>
        <v>1042763.77416667</v>
      </c>
      <c r="AX26" s="194" t="str">
        <f aca="false">IF(AND(Projects!$C$20&lt;=AX$4,AX$4&lt;=Projects!$C$20+Projects!$D$20-1),Projects!$B$20/Projects!$D$20,"")</f>
        <v/>
      </c>
      <c r="AY26" s="194" t="str">
        <f aca="false">IF(AND(Projects!$C$20&lt;=AY$4,AY$4&lt;=Projects!$C$20+Projects!$D$20-1),Projects!$B$20/Projects!$D$20,"")</f>
        <v/>
      </c>
      <c r="AZ26" s="194" t="str">
        <f aca="false">IF(AND(Projects!$C$20&lt;=AZ$4,AZ$4&lt;=Projects!$C$20+Projects!$D$20-1),Projects!$B$20/Projects!$D$20,"")</f>
        <v/>
      </c>
      <c r="BA26" s="194" t="str">
        <f aca="false">IF(AND(Projects!$C$20&lt;=BA$4,BA$4&lt;=Projects!$C$20+Projects!$D$20-1),Projects!$B$20/Projects!$D$20,"")</f>
        <v/>
      </c>
      <c r="BB26" s="194" t="str">
        <f aca="false">IF(AND(Projects!$C$20&lt;=BB$4,BB$4&lt;=Projects!$C$20+Projects!$D$20-1),Projects!$B$20/Projects!$D$20,"")</f>
        <v/>
      </c>
      <c r="BC26" s="194" t="str">
        <f aca="false">IF(AND(Projects!$C$20&lt;=BC$4,BC$4&lt;=Projects!$C$20+Projects!$D$20-1),Projects!$B$20/Projects!$D$20,"")</f>
        <v/>
      </c>
      <c r="BD26" s="194" t="str">
        <f aca="false">IF(AND(Projects!$C$20&lt;=BD$4,BD$4&lt;=Projects!$C$20+Projects!$D$20-1),Projects!$B$20/Projects!$D$20,"")</f>
        <v/>
      </c>
      <c r="BE26" s="194" t="str">
        <f aca="false">IF(AND(Projects!$C$20&lt;=BE$4,BE$4&lt;=Projects!$C$20+Projects!$D$20-1),Projects!$B$20/Projects!$D$20,"")</f>
        <v/>
      </c>
      <c r="BF26" s="194" t="str">
        <f aca="false">IF(AND(Projects!$C$20&lt;=BF$4,BF$4&lt;=Projects!$C$20+Projects!$D$20-1),Projects!$B$20/Projects!$D$20,"")</f>
        <v/>
      </c>
      <c r="BG26" s="194" t="str">
        <f aca="false">IF(AND(Projects!$C$20&lt;=BG$4,BG$4&lt;=Projects!$C$20+Projects!$D$20-1),Projects!$B$20/Projects!$D$20,"")</f>
        <v/>
      </c>
      <c r="BH26" s="194" t="str">
        <f aca="false">IF(AND(Projects!$C$20&lt;=BH$4,BH$4&lt;=Projects!$C$20+Projects!$D$20-1),Projects!$B$20/Projects!$D$20,"")</f>
        <v/>
      </c>
      <c r="BI26" s="194" t="str">
        <f aca="false">IF(AND(Projects!$C$20&lt;=BI$4,BI$4&lt;=Projects!$C$20+Projects!$D$20-1),Projects!$B$20/Projects!$D$20,"")</f>
        <v/>
      </c>
      <c r="BJ26" s="194" t="str">
        <f aca="false">IF(AND(Projects!$C$20&lt;=BJ$4,BJ$4&lt;=Projects!$C$20+Projects!$D$20-1),Projects!$B$20/Projects!$D$20,"")</f>
        <v/>
      </c>
      <c r="BK26" s="194" t="str">
        <f aca="false">IF(AND(Projects!$C$20&lt;=BK$4,BK$4&lt;=Projects!$C$20+Projects!$D$20-1),Projects!$B$20/Projects!$D$20,"")</f>
        <v/>
      </c>
      <c r="BL26" s="194" t="str">
        <f aca="false">IF(AND(Projects!$C$20&lt;=BL$4,BL$4&lt;=Projects!$C$20+Projects!$D$20-1),Projects!$B$20/Projects!$D$20,"")</f>
        <v/>
      </c>
      <c r="BM26" s="194" t="str">
        <f aca="false">IF(AND(Projects!$C$20&lt;=BM$4,BM$4&lt;=Projects!$C$20+Projects!$D$20-1),Projects!$B$20/Projects!$D$20,"")</f>
        <v/>
      </c>
      <c r="BN26" s="194" t="str">
        <f aca="false">IF(AND(Projects!$C$20&lt;=BN$4,BN$4&lt;=Projects!$C$20+Projects!$D$20-1),Projects!$B$20/Projects!$D$20,"")</f>
        <v/>
      </c>
      <c r="BO26" s="194" t="str">
        <f aca="false">IF(AND(Projects!$C$20&lt;=BO$4,BO$4&lt;=Projects!$C$20+Projects!$D$20-1),Projects!$B$20/Projects!$D$20,"")</f>
        <v/>
      </c>
      <c r="BP26" s="194" t="str">
        <f aca="false">IF(AND(Projects!$C$20&lt;=BP$4,BP$4&lt;=Projects!$C$20+Projects!$D$20-1),Projects!$B$20/Projects!$D$20,"")</f>
        <v/>
      </c>
      <c r="BQ26" s="194" t="str">
        <f aca="false">IF(AND(Projects!$C$20&lt;=BQ$4,BQ$4&lt;=Projects!$C$20+Projects!$D$20-1),Projects!$B$20/Projects!$D$20,"")</f>
        <v/>
      </c>
      <c r="BR26" s="194" t="str">
        <f aca="false">IF(AND(Projects!$C$20&lt;=BR$4,BR$4&lt;=Projects!$C$20+Projects!$D$20-1),Projects!$B$20/Projects!$D$20,"")</f>
        <v/>
      </c>
      <c r="BS26" s="194" t="str">
        <f aca="false">IF(AND(Projects!$C$20&lt;=BS$4,BS$4&lt;=Projects!$C$20+Projects!$D$20-1),Projects!$B$20/Projects!$D$20,"")</f>
        <v/>
      </c>
      <c r="BT26" s="194" t="str">
        <f aca="false">IF(AND(Projects!$C$20&lt;=BT$4,BT$4&lt;=Projects!$C$20+Projects!$D$20-1),Projects!$B$20/Projects!$D$20,"")</f>
        <v/>
      </c>
      <c r="BU26" s="194" t="str">
        <f aca="false">IF(AND(Projects!$C$20&lt;=BU$4,BU$4&lt;=Projects!$C$20+Projects!$D$20-1),Projects!$B$20/Projects!$D$20,"")</f>
        <v/>
      </c>
      <c r="BV26" s="194" t="str">
        <f aca="false">IF(AND(Projects!$C$20&lt;=BV$4,BV$4&lt;=Projects!$C$20+Projects!$D$20-1),Projects!$B$20/Projects!$D$20,"")</f>
        <v/>
      </c>
      <c r="BW26" s="194" t="str">
        <f aca="false">IF(AND(Projects!$C$20&lt;=BW$4,BW$4&lt;=Projects!$C$20+Projects!$D$20-1),Projects!$B$20/Projects!$D$20,"")</f>
        <v/>
      </c>
      <c r="BX26" s="194" t="str">
        <f aca="false">IF(AND(Projects!$C$20&lt;=BX$4,BX$4&lt;=Projects!$C$20+Projects!$D$20-1),Projects!$B$20/Projects!$D$20,"")</f>
        <v/>
      </c>
      <c r="BY26" s="194" t="str">
        <f aca="false">IF(AND(Projects!$C$20&lt;=BY$4,BY$4&lt;=Projects!$C$20+Projects!$D$20-1),Projects!$B$20/Projects!$D$20,"")</f>
        <v/>
      </c>
      <c r="BZ26" s="194" t="str">
        <f aca="false">IF(AND(Projects!$C$20&lt;=BZ$4,BZ$4&lt;=Projects!$C$20+Projects!$D$20-1),Projects!$B$20/Projects!$D$20,"")</f>
        <v/>
      </c>
      <c r="CA26" s="194" t="str">
        <f aca="false">IF(AND(Projects!$C$20&lt;=CA$4,CA$4&lt;=Projects!$C$20+Projects!$D$20-1),Projects!$B$20/Projects!$D$20,"")</f>
        <v/>
      </c>
      <c r="CB26" s="194" t="str">
        <f aca="false">IF(AND(Projects!$C$20&lt;=CB$4,CB$4&lt;=Projects!$C$20+Projects!$D$20-1),Projects!$B$20/Projects!$D$20,"")</f>
        <v/>
      </c>
      <c r="CC26" s="194" t="str">
        <f aca="false">IF(AND(Projects!$C$20&lt;=CC$4,CC$4&lt;=Projects!$C$20+Projects!$D$20-1),Projects!$B$20/Projects!$D$20,"")</f>
        <v/>
      </c>
      <c r="CD26" s="194" t="str">
        <f aca="false">IF(AND(Projects!$C$20&lt;=CD$4,CD$4&lt;=Projects!$C$20+Projects!$D$20-1),Projects!$B$20/Projects!$D$20,"")</f>
        <v/>
      </c>
      <c r="CE26" s="194" t="str">
        <f aca="false">IF(AND(Projects!$C$20&lt;=CE$4,CE$4&lt;=Projects!$C$20+Projects!$D$20-1),Projects!$B$20/Projects!$D$20,"")</f>
        <v/>
      </c>
      <c r="CF26" s="194" t="str">
        <f aca="false">IF(AND(Projects!$C$20&lt;=CF$4,CF$4&lt;=Projects!$C$20+Projects!$D$20-1),Projects!$B$20/Projects!$D$20,"")</f>
        <v/>
      </c>
      <c r="CG26" s="194" t="str">
        <f aca="false">IF(AND(Projects!$C$20&lt;=CG$4,CG$4&lt;=Projects!$C$20+Projects!$D$20-1),Projects!$B$20/Projects!$D$20,"")</f>
        <v/>
      </c>
      <c r="CH26" s="194" t="str">
        <f aca="false">IF(AND(Projects!$C$20&lt;=CH$4,CH$4&lt;=Projects!$C$20+Projects!$D$20-1),Projects!$B$20/Projects!$D$20,"")</f>
        <v/>
      </c>
      <c r="CI26" s="194" t="str">
        <f aca="false">IF(AND(Projects!$C$20&lt;=CI$4,CI$4&lt;=Projects!$C$20+Projects!$D$20-1),Projects!$B$20/Projects!$D$20,"")</f>
        <v/>
      </c>
      <c r="CJ26" s="194" t="str">
        <f aca="false">IF(AND(Projects!$C$20&lt;=CJ$4,CJ$4&lt;=Projects!$C$20+Projects!$D$20-1),Projects!$B$20/Projects!$D$20,"")</f>
        <v/>
      </c>
      <c r="CK26" s="194" t="str">
        <f aca="false">IF(AND(Projects!$C$20&lt;=CK$4,CK$4&lt;=Projects!$C$20+Projects!$D$20-1),Projects!$B$20/Projects!$D$20,"")</f>
        <v/>
      </c>
      <c r="CL26" s="194" t="str">
        <f aca="false">IF(AND(Projects!$C$20&lt;=CL$4,CL$4&lt;=Projects!$C$20+Projects!$D$20-1),Projects!$B$20/Projects!$D$20,"")</f>
        <v/>
      </c>
      <c r="CM26" s="194" t="str">
        <f aca="false">IF(AND(Projects!$C$20&lt;=CM$4,CM$4&lt;=Projects!$C$20+Projects!$D$20-1),Projects!$B$20/Projects!$D$20,"")</f>
        <v/>
      </c>
      <c r="CN26" s="194" t="str">
        <f aca="false">IF(AND(Projects!$C$20&lt;=CN$4,CN$4&lt;=Projects!$C$20+Projects!$D$20-1),Projects!$B$20/Projects!$D$20,"")</f>
        <v/>
      </c>
      <c r="CO26" s="194" t="str">
        <f aca="false">IF(AND(Projects!$C$20&lt;=CO$4,CO$4&lt;=Projects!$C$20+Projects!$D$20-1),Projects!$B$20/Projects!$D$20,"")</f>
        <v/>
      </c>
      <c r="CP26" s="194" t="str">
        <f aca="false">IF(AND(Projects!$C$20&lt;=CP$4,CP$4&lt;=Projects!$C$20+Projects!$D$20-1),Projects!$B$20/Projects!$D$20,"")</f>
        <v/>
      </c>
      <c r="CQ26" s="194" t="str">
        <f aca="false">IF(AND(Projects!$C$20&lt;=CQ$4,CQ$4&lt;=Projects!$C$20+Projects!$D$20-1),Projects!$B$20/Projects!$D$20,"")</f>
        <v/>
      </c>
      <c r="CR26" s="194" t="str">
        <f aca="false">IF(AND(Projects!$C$20&lt;=CR$4,CR$4&lt;=Projects!$C$20+Projects!$D$20-1),Projects!$B$20/Projects!$D$20,"")</f>
        <v/>
      </c>
      <c r="CS26" s="194" t="str">
        <f aca="false">IF(AND(Projects!$C$20&lt;=CS$4,CS$4&lt;=Projects!$C$20+Projects!$D$20-1),Projects!$B$20/Projects!$D$20,"")</f>
        <v/>
      </c>
      <c r="CT26" s="194" t="str">
        <f aca="false">IF(AND(Projects!$C$20&lt;=CT$4,CT$4&lt;=Projects!$C$20+Projects!$D$20-1),Projects!$B$20/Projects!$D$20,"")</f>
        <v/>
      </c>
      <c r="CU26" s="194" t="str">
        <f aca="false">IF(AND(Projects!$C$20&lt;=CU$4,CU$4&lt;=Projects!$C$20+Projects!$D$20-1),Projects!$B$20/Projects!$D$20,"")</f>
        <v/>
      </c>
      <c r="CV26" s="194" t="str">
        <f aca="false">IF(AND(Projects!$C$20&lt;=CV$4,CV$4&lt;=Projects!$C$20+Projects!$D$20-1),Projects!$B$20/Projects!$D$20,"")</f>
        <v/>
      </c>
      <c r="CW26" s="194" t="str">
        <f aca="false">IF(AND(Projects!$C$20&lt;=CW$4,CW$4&lt;=Projects!$C$20+Projects!$D$20-1),Projects!$B$20/Projects!$D$20,"")</f>
        <v/>
      </c>
      <c r="CX26" s="194" t="str">
        <f aca="false">IF(AND(Projects!$C$20&lt;=CX$4,CX$4&lt;=Projects!$C$20+Projects!$D$20-1),Projects!$B$20/Projects!$D$20,"")</f>
        <v/>
      </c>
      <c r="CY26" s="194" t="str">
        <f aca="false">IF(AND(Projects!$C$20&lt;=CY$4,CY$4&lt;=Projects!$C$20+Projects!$D$20-1),Projects!$B$20/Projects!$D$20,"")</f>
        <v/>
      </c>
      <c r="CZ26" s="194" t="str">
        <f aca="false">IF(AND(Projects!$C$20&lt;=CZ$4,CZ$4&lt;=Projects!$C$20+Projects!$D$20-1),Projects!$B$20/Projects!$D$20,"")</f>
        <v/>
      </c>
      <c r="DA26" s="194" t="str">
        <f aca="false">IF(AND(Projects!$C$20&lt;=DA$4,DA$4&lt;=Projects!$C$20+Projects!$D$20-1),Projects!$B$20/Projects!$D$20,"")</f>
        <v/>
      </c>
      <c r="DB26" s="194" t="str">
        <f aca="false">IF(AND(Projects!$C$20&lt;=DB$4,DB$4&lt;=Projects!$C$20+Projects!$D$20-1),Projects!$B$20/Projects!$D$20,"")</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Projects!$B$21/Projects!$D$21</f>
        <v>799447.828947368</v>
      </c>
      <c r="G27" s="194" t="str">
        <f aca="false">IF(AND(Projects!$C$21&lt;=G$4,G$4&lt;=Projects!$C$21+Projects!$D$21-1),Projects!$B$21/Projects!$D$21,"")</f>
        <v/>
      </c>
      <c r="H27" s="194" t="str">
        <f aca="false">IF(AND(Projects!$C$21&lt;=H$4,H$4&lt;=Projects!$C$21+Projects!$D$21-1),Projects!$B$21/Projects!$D$21,"")</f>
        <v/>
      </c>
      <c r="I27" s="194" t="str">
        <f aca="false">IF(AND(Projects!$C$21&lt;=I$4,I$4&lt;=Projects!$C$21+Projects!$D$21-1),Projects!$B$21/Projects!$D$21,"")</f>
        <v/>
      </c>
      <c r="J27" s="194" t="str">
        <f aca="false">IF(AND(Projects!$C$21&lt;=J$4,J$4&lt;=Projects!$C$21+Projects!$D$21-1),Projects!$B$21/Projects!$D$21,"")</f>
        <v/>
      </c>
      <c r="K27" s="194" t="str">
        <f aca="false">IF(AND(Projects!$C$21&lt;=K$4,K$4&lt;=Projects!$C$21+Projects!$D$21-1),Projects!$B$21/Projects!$D$21,"")</f>
        <v/>
      </c>
      <c r="L27" s="194" t="str">
        <f aca="false">IF(AND(Projects!$C$21&lt;=L$4,L$4&lt;=Projects!$C$21+Projects!$D$21-1),Projects!$B$21/Projects!$D$21,"")</f>
        <v/>
      </c>
      <c r="M27" s="194" t="str">
        <f aca="false">IF(AND(Projects!$C$21&lt;=M$4,M$4&lt;=Projects!$C$21+Projects!$D$21-1),Projects!$B$21/Projects!$D$21,"")</f>
        <v/>
      </c>
      <c r="N27" s="194" t="str">
        <f aca="false">IF(AND(Projects!$C$21&lt;=N$4,N$4&lt;=Projects!$C$21+Projects!$D$21-1),Projects!$B$21/Projects!$D$21,"")</f>
        <v/>
      </c>
      <c r="O27" s="194" t="str">
        <f aca="false">IF(AND(Projects!$C$21&lt;=O$4,O$4&lt;=Projects!$C$21+Projects!$D$21-1),Projects!$B$21/Projects!$D$21,"")</f>
        <v/>
      </c>
      <c r="P27" s="194" t="n">
        <f aca="false">IF(AND(Projects!$C$21&lt;=P$4,P$4&lt;=Projects!$C$21+Projects!$D$21-1),Projects!$B$21/Projects!$D$21,"")</f>
        <v>799447.828947368</v>
      </c>
      <c r="Q27" s="194" t="n">
        <f aca="false">IF(AND(Projects!$C$21&lt;=Q$4,Q$4&lt;=Projects!$C$21+Projects!$D$21-1),Projects!$B$21/Projects!$D$21,"")</f>
        <v>799447.828947368</v>
      </c>
      <c r="R27" s="194" t="n">
        <f aca="false">IF(AND(Projects!$C$21&lt;=R$4,R$4&lt;=Projects!$C$21+Projects!$D$21-1),Projects!$B$21/Projects!$D$21,"")</f>
        <v>799447.828947368</v>
      </c>
      <c r="S27" s="194" t="n">
        <f aca="false">IF(AND(Projects!$C$21&lt;=S$4,S$4&lt;=Projects!$C$21+Projects!$D$21-1),Projects!$B$21/Projects!$D$21,"")</f>
        <v>799447.828947368</v>
      </c>
      <c r="T27" s="194" t="n">
        <f aca="false">IF(AND(Projects!$C$21&lt;=T$4,T$4&lt;=Projects!$C$21+Projects!$D$21-1),Projects!$B$21/Projects!$D$21,"")</f>
        <v>799447.828947368</v>
      </c>
      <c r="U27" s="194" t="n">
        <f aca="false">IF(AND(Projects!$C$21&lt;=U$4,U$4&lt;=Projects!$C$21+Projects!$D$21-1),Projects!$B$21/Projects!$D$21,"")</f>
        <v>799447.828947368</v>
      </c>
      <c r="V27" s="194" t="n">
        <f aca="false">IF(AND(Projects!$C$21&lt;=V$4,V$4&lt;=Projects!$C$21+Projects!$D$21-1),Projects!$B$21/Projects!$D$21,"")</f>
        <v>799447.828947368</v>
      </c>
      <c r="W27" s="194" t="n">
        <f aca="false">IF(AND(Projects!$C$21&lt;=W$4,W$4&lt;=Projects!$C$21+Projects!$D$21-1),Projects!$B$21/Projects!$D$21,"")</f>
        <v>799447.828947368</v>
      </c>
      <c r="X27" s="194" t="n">
        <f aca="false">IF(AND(Projects!$C$21&lt;=X$4,X$4&lt;=Projects!$C$21+Projects!$D$21-1),Projects!$B$21/Projects!$D$21,"")</f>
        <v>799447.828947368</v>
      </c>
      <c r="Y27" s="194" t="n">
        <f aca="false">IF(AND(Projects!$C$21&lt;=Y$4,Y$4&lt;=Projects!$C$21+Projects!$D$21-1),Projects!$B$21/Projects!$D$21,"")</f>
        <v>799447.828947368</v>
      </c>
      <c r="Z27" s="194" t="n">
        <f aca="false">IF(AND(Projects!$C$21&lt;=Z$4,Z$4&lt;=Projects!$C$21+Projects!$D$21-1),Projects!$B$21/Projects!$D$21,"")</f>
        <v>799447.828947368</v>
      </c>
      <c r="AA27" s="194" t="n">
        <f aca="false">IF(AND(Projects!$C$21&lt;=AA$4,AA$4&lt;=Projects!$C$21+Projects!$D$21-1),Projects!$B$21/Projects!$D$21,"")</f>
        <v>799447.828947368</v>
      </c>
      <c r="AB27" s="194" t="n">
        <f aca="false">IF(AND(Projects!$C$21&lt;=AB$4,AB$4&lt;=Projects!$C$21+Projects!$D$21-1),Projects!$B$21/Projects!$D$21,"")</f>
        <v>799447.828947368</v>
      </c>
      <c r="AC27" s="194" t="n">
        <f aca="false">IF(AND(Projects!$C$21&lt;=AC$4,AC$4&lt;=Projects!$C$21+Projects!$D$21-1),Projects!$B$21/Projects!$D$21,"")</f>
        <v>799447.828947368</v>
      </c>
      <c r="AD27" s="194" t="n">
        <f aca="false">IF(AND(Projects!$C$21&lt;=AD$4,AD$4&lt;=Projects!$C$21+Projects!$D$21-1),Projects!$B$21/Projects!$D$21,"")</f>
        <v>799447.828947368</v>
      </c>
      <c r="AE27" s="194" t="n">
        <f aca="false">IF(AND(Projects!$C$21&lt;=AE$4,AE$4&lt;=Projects!$C$21+Projects!$D$21-1),Projects!$B$21/Projects!$D$21,"")</f>
        <v>799447.828947368</v>
      </c>
      <c r="AF27" s="194" t="n">
        <f aca="false">IF(AND(Projects!$C$21&lt;=AF$4,AF$4&lt;=Projects!$C$21+Projects!$D$21-1),Projects!$B$21/Projects!$D$21,"")</f>
        <v>799447.828947368</v>
      </c>
      <c r="AG27" s="194" t="n">
        <f aca="false">IF(AND(Projects!$C$21&lt;=AG$4,AG$4&lt;=Projects!$C$21+Projects!$D$21-1),Projects!$B$21/Projects!$D$21,"")</f>
        <v>799447.828947368</v>
      </c>
      <c r="AH27" s="194" t="n">
        <f aca="false">IF(AND(Projects!$C$21&lt;=AH$4,AH$4&lt;=Projects!$C$21+Projects!$D$21-1),Projects!$B$21/Projects!$D$21,"")</f>
        <v>799447.828947368</v>
      </c>
      <c r="AI27" s="194" t="str">
        <f aca="false">IF(AND(Projects!$C$21&lt;=AI$4,AI$4&lt;=Projects!$C$21+Projects!$D$21-1),Projects!$B$21/Projects!$D$21,"")</f>
        <v/>
      </c>
      <c r="AJ27" s="194" t="str">
        <f aca="false">IF(AND(Projects!$C$21&lt;=AJ$4,AJ$4&lt;=Projects!$C$21+Projects!$D$21-1),Projects!$B$21/Projects!$D$21,"")</f>
        <v/>
      </c>
      <c r="AK27" s="194" t="str">
        <f aca="false">IF(AND(Projects!$C$21&lt;=AK$4,AK$4&lt;=Projects!$C$21+Projects!$D$21-1),Projects!$B$21/Projects!$D$21,"")</f>
        <v/>
      </c>
      <c r="AL27" s="194" t="str">
        <f aca="false">IF(AND(Projects!$C$21&lt;=AL$4,AL$4&lt;=Projects!$C$21+Projects!$D$21-1),Projects!$B$21/Projects!$D$21,"")</f>
        <v/>
      </c>
      <c r="AM27" s="194" t="str">
        <f aca="false">IF(AND(Projects!$C$21&lt;=AM$4,AM$4&lt;=Projects!$C$21+Projects!$D$21-1),Projects!$B$21/Projects!$D$21,"")</f>
        <v/>
      </c>
      <c r="AN27" s="194" t="str">
        <f aca="false">IF(AND(Projects!$C$21&lt;=AN$4,AN$4&lt;=Projects!$C$21+Projects!$D$21-1),Projects!$B$21/Projects!$D$21,"")</f>
        <v/>
      </c>
      <c r="AO27" s="194" t="str">
        <f aca="false">IF(AND(Projects!$C$21&lt;=AO$4,AO$4&lt;=Projects!$C$21+Projects!$D$21-1),Projects!$B$21/Projects!$D$21,"")</f>
        <v/>
      </c>
      <c r="AP27" s="194" t="str">
        <f aca="false">IF(AND(Projects!$C$21&lt;=AP$4,AP$4&lt;=Projects!$C$21+Projects!$D$21-1),Projects!$B$21/Projects!$D$21,"")</f>
        <v/>
      </c>
      <c r="AQ27" s="194" t="str">
        <f aca="false">IF(AND(Projects!$C$21&lt;=AQ$4,AQ$4&lt;=Projects!$C$21+Projects!$D$21-1),Projects!$B$21/Projects!$D$21,"")</f>
        <v/>
      </c>
      <c r="AR27" s="194" t="str">
        <f aca="false">IF(AND(Projects!$C$21&lt;=AR$4,AR$4&lt;=Projects!$C$21+Projects!$D$21-1),Projects!$B$21/Projects!$D$21,"")</f>
        <v/>
      </c>
      <c r="AS27" s="194" t="str">
        <f aca="false">IF(AND(Projects!$C$21&lt;=AS$4,AS$4&lt;=Projects!$C$21+Projects!$D$21-1),Projects!$B$21/Projects!$D$21,"")</f>
        <v/>
      </c>
      <c r="AT27" s="194" t="str">
        <f aca="false">IF(AND(Projects!$C$21&lt;=AT$4,AT$4&lt;=Projects!$C$21+Projects!$D$21-1),Projects!$B$21/Projects!$D$21,"")</f>
        <v/>
      </c>
      <c r="AU27" s="194" t="str">
        <f aca="false">IF(AND(Projects!$C$21&lt;=AU$4,AU$4&lt;=Projects!$C$21+Projects!$D$21-1),Projects!$B$21/Projects!$D$21,"")</f>
        <v/>
      </c>
      <c r="AV27" s="194" t="str">
        <f aca="false">IF(AND(Projects!$C$21&lt;=AV$4,AV$4&lt;=Projects!$C$21+Projects!$D$21-1),Projects!$B$21/Projects!$D$21,"")</f>
        <v/>
      </c>
      <c r="AW27" s="194" t="str">
        <f aca="false">IF(AND(Projects!$C$21&lt;=AW$4,AW$4&lt;=Projects!$C$21+Projects!$D$21-1),Projects!$B$21/Projects!$D$21,"")</f>
        <v/>
      </c>
      <c r="AX27" s="194" t="str">
        <f aca="false">IF(AND(Projects!$C$21&lt;=AX$4,AX$4&lt;=Projects!$C$21+Projects!$D$21-1),Projects!$B$21/Projects!$D$21,"")</f>
        <v/>
      </c>
      <c r="AY27" s="194" t="str">
        <f aca="false">IF(AND(Projects!$C$21&lt;=AY$4,AY$4&lt;=Projects!$C$21+Projects!$D$21-1),Projects!$B$21/Projects!$D$21,"")</f>
        <v/>
      </c>
      <c r="AZ27" s="194" t="str">
        <f aca="false">IF(AND(Projects!$C$21&lt;=AZ$4,AZ$4&lt;=Projects!$C$21+Projects!$D$21-1),Projects!$B$21/Projects!$D$21,"")</f>
        <v/>
      </c>
      <c r="BA27" s="194" t="str">
        <f aca="false">IF(AND(Projects!$C$21&lt;=BA$4,BA$4&lt;=Projects!$C$21+Projects!$D$21-1),Projects!$B$21/Projects!$D$21,"")</f>
        <v/>
      </c>
      <c r="BB27" s="194" t="str">
        <f aca="false">IF(AND(Projects!$C$21&lt;=BB$4,BB$4&lt;=Projects!$C$21+Projects!$D$21-1),Projects!$B$21/Projects!$D$21,"")</f>
        <v/>
      </c>
      <c r="BC27" s="194" t="str">
        <f aca="false">IF(AND(Projects!$C$21&lt;=BC$4,BC$4&lt;=Projects!$C$21+Projects!$D$21-1),Projects!$B$21/Projects!$D$21,"")</f>
        <v/>
      </c>
      <c r="BD27" s="194" t="str">
        <f aca="false">IF(AND(Projects!$C$21&lt;=BD$4,BD$4&lt;=Projects!$C$21+Projects!$D$21-1),Projects!$B$21/Projects!$D$21,"")</f>
        <v/>
      </c>
      <c r="BE27" s="194" t="str">
        <f aca="false">IF(AND(Projects!$C$21&lt;=BE$4,BE$4&lt;=Projects!$C$21+Projects!$D$21-1),Projects!$B$21/Projects!$D$21,"")</f>
        <v/>
      </c>
      <c r="BF27" s="194" t="str">
        <f aca="false">IF(AND(Projects!$C$21&lt;=BF$4,BF$4&lt;=Projects!$C$21+Projects!$D$21-1),Projects!$B$21/Projects!$D$21,"")</f>
        <v/>
      </c>
      <c r="BG27" s="194" t="str">
        <f aca="false">IF(AND(Projects!$C$21&lt;=BG$4,BG$4&lt;=Projects!$C$21+Projects!$D$21-1),Projects!$B$21/Projects!$D$21,"")</f>
        <v/>
      </c>
      <c r="BH27" s="194" t="str">
        <f aca="false">IF(AND(Projects!$C$21&lt;=BH$4,BH$4&lt;=Projects!$C$21+Projects!$D$21-1),Projects!$B$21/Projects!$D$21,"")</f>
        <v/>
      </c>
      <c r="BI27" s="194" t="str">
        <f aca="false">IF(AND(Projects!$C$21&lt;=BI$4,BI$4&lt;=Projects!$C$21+Projects!$D$21-1),Projects!$B$21/Projects!$D$21,"")</f>
        <v/>
      </c>
      <c r="BJ27" s="194" t="str">
        <f aca="false">IF(AND(Projects!$C$21&lt;=BJ$4,BJ$4&lt;=Projects!$C$21+Projects!$D$21-1),Projects!$B$21/Projects!$D$21,"")</f>
        <v/>
      </c>
      <c r="BK27" s="194" t="str">
        <f aca="false">IF(AND(Projects!$C$21&lt;=BK$4,BK$4&lt;=Projects!$C$21+Projects!$D$21-1),Projects!$B$21/Projects!$D$21,"")</f>
        <v/>
      </c>
      <c r="BL27" s="194" t="str">
        <f aca="false">IF(AND(Projects!$C$21&lt;=BL$4,BL$4&lt;=Projects!$C$21+Projects!$D$21-1),Projects!$B$21/Projects!$D$21,"")</f>
        <v/>
      </c>
      <c r="BM27" s="194" t="str">
        <f aca="false">IF(AND(Projects!$C$21&lt;=BM$4,BM$4&lt;=Projects!$C$21+Projects!$D$21-1),Projects!$B$21/Projects!$D$21,"")</f>
        <v/>
      </c>
      <c r="BN27" s="194" t="str">
        <f aca="false">IF(AND(Projects!$C$21&lt;=BN$4,BN$4&lt;=Projects!$C$21+Projects!$D$21-1),Projects!$B$21/Projects!$D$21,"")</f>
        <v/>
      </c>
      <c r="BO27" s="194" t="str">
        <f aca="false">IF(AND(Projects!$C$21&lt;=BO$4,BO$4&lt;=Projects!$C$21+Projects!$D$21-1),Projects!$B$21/Projects!$D$21,"")</f>
        <v/>
      </c>
      <c r="BP27" s="194" t="str">
        <f aca="false">IF(AND(Projects!$C$21&lt;=BP$4,BP$4&lt;=Projects!$C$21+Projects!$D$21-1),Projects!$B$21/Projects!$D$21,"")</f>
        <v/>
      </c>
      <c r="BQ27" s="194" t="str">
        <f aca="false">IF(AND(Projects!$C$21&lt;=BQ$4,BQ$4&lt;=Projects!$C$21+Projects!$D$21-1),Projects!$B$21/Projects!$D$21,"")</f>
        <v/>
      </c>
      <c r="BR27" s="194" t="str">
        <f aca="false">IF(AND(Projects!$C$21&lt;=BR$4,BR$4&lt;=Projects!$C$21+Projects!$D$21-1),Projects!$B$21/Projects!$D$21,"")</f>
        <v/>
      </c>
      <c r="BS27" s="194" t="str">
        <f aca="false">IF(AND(Projects!$C$21&lt;=BS$4,BS$4&lt;=Projects!$C$21+Projects!$D$21-1),Projects!$B$21/Projects!$D$21,"")</f>
        <v/>
      </c>
      <c r="BT27" s="194" t="str">
        <f aca="false">IF(AND(Projects!$C$21&lt;=BT$4,BT$4&lt;=Projects!$C$21+Projects!$D$21-1),Projects!$B$21/Projects!$D$21,"")</f>
        <v/>
      </c>
      <c r="BU27" s="194" t="str">
        <f aca="false">IF(AND(Projects!$C$21&lt;=BU$4,BU$4&lt;=Projects!$C$21+Projects!$D$21-1),Projects!$B$21/Projects!$D$21,"")</f>
        <v/>
      </c>
      <c r="BV27" s="194" t="str">
        <f aca="false">IF(AND(Projects!$C$21&lt;=BV$4,BV$4&lt;=Projects!$C$21+Projects!$D$21-1),Projects!$B$21/Projects!$D$21,"")</f>
        <v/>
      </c>
      <c r="BW27" s="194" t="str">
        <f aca="false">IF(AND(Projects!$C$21&lt;=BW$4,BW$4&lt;=Projects!$C$21+Projects!$D$21-1),Projects!$B$21/Projects!$D$21,"")</f>
        <v/>
      </c>
      <c r="BX27" s="194" t="str">
        <f aca="false">IF(AND(Projects!$C$21&lt;=BX$4,BX$4&lt;=Projects!$C$21+Projects!$D$21-1),Projects!$B$21/Projects!$D$21,"")</f>
        <v/>
      </c>
      <c r="BY27" s="194" t="str">
        <f aca="false">IF(AND(Projects!$C$21&lt;=BY$4,BY$4&lt;=Projects!$C$21+Projects!$D$21-1),Projects!$B$21/Projects!$D$21,"")</f>
        <v/>
      </c>
      <c r="BZ27" s="194" t="str">
        <f aca="false">IF(AND(Projects!$C$21&lt;=BZ$4,BZ$4&lt;=Projects!$C$21+Projects!$D$21-1),Projects!$B$21/Projects!$D$21,"")</f>
        <v/>
      </c>
      <c r="CA27" s="194" t="str">
        <f aca="false">IF(AND(Projects!$C$21&lt;=CA$4,CA$4&lt;=Projects!$C$21+Projects!$D$21-1),Projects!$B$21/Projects!$D$21,"")</f>
        <v/>
      </c>
      <c r="CB27" s="194" t="str">
        <f aca="false">IF(AND(Projects!$C$21&lt;=CB$4,CB$4&lt;=Projects!$C$21+Projects!$D$21-1),Projects!$B$21/Projects!$D$21,"")</f>
        <v/>
      </c>
      <c r="CC27" s="194" t="str">
        <f aca="false">IF(AND(Projects!$C$21&lt;=CC$4,CC$4&lt;=Projects!$C$21+Projects!$D$21-1),Projects!$B$21/Projects!$D$21,"")</f>
        <v/>
      </c>
      <c r="CD27" s="194" t="str">
        <f aca="false">IF(AND(Projects!$C$21&lt;=CD$4,CD$4&lt;=Projects!$C$21+Projects!$D$21-1),Projects!$B$21/Projects!$D$21,"")</f>
        <v/>
      </c>
      <c r="CE27" s="194" t="str">
        <f aca="false">IF(AND(Projects!$C$21&lt;=CE$4,CE$4&lt;=Projects!$C$21+Projects!$D$21-1),Projects!$B$21/Projects!$D$21,"")</f>
        <v/>
      </c>
      <c r="CF27" s="194" t="str">
        <f aca="false">IF(AND(Projects!$C$21&lt;=CF$4,CF$4&lt;=Projects!$C$21+Projects!$D$21-1),Projects!$B$21/Projects!$D$21,"")</f>
        <v/>
      </c>
      <c r="CG27" s="194" t="str">
        <f aca="false">IF(AND(Projects!$C$21&lt;=CG$4,CG$4&lt;=Projects!$C$21+Projects!$D$21-1),Projects!$B$21/Projects!$D$21,"")</f>
        <v/>
      </c>
      <c r="CH27" s="194" t="str">
        <f aca="false">IF(AND(Projects!$C$21&lt;=CH$4,CH$4&lt;=Projects!$C$21+Projects!$D$21-1),Projects!$B$21/Projects!$D$21,"")</f>
        <v/>
      </c>
      <c r="CI27" s="194" t="str">
        <f aca="false">IF(AND(Projects!$C$21&lt;=CI$4,CI$4&lt;=Projects!$C$21+Projects!$D$21-1),Projects!$B$21/Projects!$D$21,"")</f>
        <v/>
      </c>
      <c r="CJ27" s="194" t="str">
        <f aca="false">IF(AND(Projects!$C$21&lt;=CJ$4,CJ$4&lt;=Projects!$C$21+Projects!$D$21-1),Projects!$B$21/Projects!$D$21,"")</f>
        <v/>
      </c>
      <c r="CK27" s="194" t="str">
        <f aca="false">IF(AND(Projects!$C$21&lt;=CK$4,CK$4&lt;=Projects!$C$21+Projects!$D$21-1),Projects!$B$21/Projects!$D$21,"")</f>
        <v/>
      </c>
      <c r="CL27" s="194" t="str">
        <f aca="false">IF(AND(Projects!$C$21&lt;=CL$4,CL$4&lt;=Projects!$C$21+Projects!$D$21-1),Projects!$B$21/Projects!$D$21,"")</f>
        <v/>
      </c>
      <c r="CM27" s="194" t="str">
        <f aca="false">IF(AND(Projects!$C$21&lt;=CM$4,CM$4&lt;=Projects!$C$21+Projects!$D$21-1),Projects!$B$21/Projects!$D$21,"")</f>
        <v/>
      </c>
      <c r="CN27" s="194" t="str">
        <f aca="false">IF(AND(Projects!$C$21&lt;=CN$4,CN$4&lt;=Projects!$C$21+Projects!$D$21-1),Projects!$B$21/Projects!$D$21,"")</f>
        <v/>
      </c>
      <c r="CO27" s="194" t="str">
        <f aca="false">IF(AND(Projects!$C$21&lt;=CO$4,CO$4&lt;=Projects!$C$21+Projects!$D$21-1),Projects!$B$21/Projects!$D$21,"")</f>
        <v/>
      </c>
      <c r="CP27" s="194" t="str">
        <f aca="false">IF(AND(Projects!$C$21&lt;=CP$4,CP$4&lt;=Projects!$C$21+Projects!$D$21-1),Projects!$B$21/Projects!$D$21,"")</f>
        <v/>
      </c>
      <c r="CQ27" s="194" t="str">
        <f aca="false">IF(AND(Projects!$C$21&lt;=CQ$4,CQ$4&lt;=Projects!$C$21+Projects!$D$21-1),Projects!$B$21/Projects!$D$21,"")</f>
        <v/>
      </c>
      <c r="CR27" s="194" t="str">
        <f aca="false">IF(AND(Projects!$C$21&lt;=CR$4,CR$4&lt;=Projects!$C$21+Projects!$D$21-1),Projects!$B$21/Projects!$D$21,"")</f>
        <v/>
      </c>
      <c r="CS27" s="194" t="str">
        <f aca="false">IF(AND(Projects!$C$21&lt;=CS$4,CS$4&lt;=Projects!$C$21+Projects!$D$21-1),Projects!$B$21/Projects!$D$21,"")</f>
        <v/>
      </c>
      <c r="CT27" s="194" t="str">
        <f aca="false">IF(AND(Projects!$C$21&lt;=CT$4,CT$4&lt;=Projects!$C$21+Projects!$D$21-1),Projects!$B$21/Projects!$D$21,"")</f>
        <v/>
      </c>
      <c r="CU27" s="194" t="str">
        <f aca="false">IF(AND(Projects!$C$21&lt;=CU$4,CU$4&lt;=Projects!$C$21+Projects!$D$21-1),Projects!$B$21/Projects!$D$21,"")</f>
        <v/>
      </c>
      <c r="CV27" s="194" t="str">
        <f aca="false">IF(AND(Projects!$C$21&lt;=CV$4,CV$4&lt;=Projects!$C$21+Projects!$D$21-1),Projects!$B$21/Projects!$D$21,"")</f>
        <v/>
      </c>
      <c r="CW27" s="194" t="str">
        <f aca="false">IF(AND(Projects!$C$21&lt;=CW$4,CW$4&lt;=Projects!$C$21+Projects!$D$21-1),Projects!$B$21/Projects!$D$21,"")</f>
        <v/>
      </c>
      <c r="CX27" s="194" t="str">
        <f aca="false">IF(AND(Projects!$C$21&lt;=CX$4,CX$4&lt;=Projects!$C$21+Projects!$D$21-1),Projects!$B$21/Projects!$D$21,"")</f>
        <v/>
      </c>
      <c r="CY27" s="194" t="str">
        <f aca="false">IF(AND(Projects!$C$21&lt;=CY$4,CY$4&lt;=Projects!$C$21+Projects!$D$21-1),Projects!$B$21/Projects!$D$21,"")</f>
        <v/>
      </c>
      <c r="CZ27" s="194" t="str">
        <f aca="false">IF(AND(Projects!$C$21&lt;=CZ$4,CZ$4&lt;=Projects!$C$21+Projects!$D$21-1),Projects!$B$21/Projects!$D$21,"")</f>
        <v/>
      </c>
      <c r="DA27" s="194" t="str">
        <f aca="false">IF(AND(Projects!$C$21&lt;=DA$4,DA$4&lt;=Projects!$C$21+Projects!$D$21-1),Projects!$B$21/Projects!$D$21,"")</f>
        <v/>
      </c>
      <c r="DB27" s="194" t="str">
        <f aca="false">IF(AND(Projects!$C$21&lt;=DB$4,DB$4&lt;=Projects!$C$21+Projects!$D$21-1),Projects!$B$21/Projects!$D$21,"")</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Projects!$B$22/Projects!$D$22</f>
        <v>789473.684210526</v>
      </c>
      <c r="G28" s="194" t="str">
        <f aca="false">IF(AND(Projects!$C$22&lt;=G$4,G$4&lt;=Projects!$C$22+Projects!$D$22-1),Projects!$B$22/Projects!$D$22,"")</f>
        <v/>
      </c>
      <c r="H28" s="194" t="str">
        <f aca="false">IF(AND(Projects!$C$22&lt;=H$4,H$4&lt;=Projects!$C$22+Projects!$D$22-1),Projects!$B$22/Projects!$D$22,"")</f>
        <v/>
      </c>
      <c r="I28" s="194" t="str">
        <f aca="false">IF(AND(Projects!$C$22&lt;=I$4,I$4&lt;=Projects!$C$22+Projects!$D$22-1),Projects!$B$22/Projects!$D$22,"")</f>
        <v/>
      </c>
      <c r="J28" s="194" t="str">
        <f aca="false">IF(AND(Projects!$C$22&lt;=J$4,J$4&lt;=Projects!$C$22+Projects!$D$22-1),Projects!$B$22/Projects!$D$22,"")</f>
        <v/>
      </c>
      <c r="K28" s="194" t="str">
        <f aca="false">IF(AND(Projects!$C$22&lt;=K$4,K$4&lt;=Projects!$C$22+Projects!$D$22-1),Projects!$B$22/Projects!$D$22,"")</f>
        <v/>
      </c>
      <c r="L28" s="194" t="str">
        <f aca="false">IF(AND(Projects!$C$22&lt;=L$4,L$4&lt;=Projects!$C$22+Projects!$D$22-1),Projects!$B$22/Projects!$D$22,"")</f>
        <v/>
      </c>
      <c r="M28" s="194" t="str">
        <f aca="false">IF(AND(Projects!$C$22&lt;=M$4,M$4&lt;=Projects!$C$22+Projects!$D$22-1),Projects!$B$22/Projects!$D$22,"")</f>
        <v/>
      </c>
      <c r="N28" s="194" t="str">
        <f aca="false">IF(AND(Projects!$C$22&lt;=N$4,N$4&lt;=Projects!$C$22+Projects!$D$22-1),Projects!$B$22/Projects!$D$22,"")</f>
        <v/>
      </c>
      <c r="O28" s="194" t="str">
        <f aca="false">IF(AND(Projects!$C$22&lt;=O$4,O$4&lt;=Projects!$C$22+Projects!$D$22-1),Projects!$B$22/Projects!$D$22,"")</f>
        <v/>
      </c>
      <c r="P28" s="194" t="str">
        <f aca="false">IF(AND(Projects!$C$22&lt;=P$4,P$4&lt;=Projects!$C$22+Projects!$D$22-1),Projects!$B$22/Projects!$D$22,"")</f>
        <v/>
      </c>
      <c r="Q28" s="194" t="str">
        <f aca="false">IF(AND(Projects!$C$22&lt;=Q$4,Q$4&lt;=Projects!$C$22+Projects!$D$22-1),Projects!$B$22/Projects!$D$22,"")</f>
        <v/>
      </c>
      <c r="R28" s="194" t="str">
        <f aca="false">IF(AND(Projects!$C$22&lt;=R$4,R$4&lt;=Projects!$C$22+Projects!$D$22-1),Projects!$B$22/Projects!$D$22,"")</f>
        <v/>
      </c>
      <c r="S28" s="194" t="str">
        <f aca="false">IF(AND(Projects!$C$22&lt;=S$4,S$4&lt;=Projects!$C$22+Projects!$D$22-1),Projects!$B$22/Projects!$D$22,"")</f>
        <v/>
      </c>
      <c r="T28" s="194" t="str">
        <f aca="false">IF(AND(Projects!$C$22&lt;=T$4,T$4&lt;=Projects!$C$22+Projects!$D$22-1),Projects!$B$22/Projects!$D$22,"")</f>
        <v/>
      </c>
      <c r="U28" s="194" t="str">
        <f aca="false">IF(AND(Projects!$C$22&lt;=U$4,U$4&lt;=Projects!$C$22+Projects!$D$22-1),Projects!$B$22/Projects!$D$22,"")</f>
        <v/>
      </c>
      <c r="V28" s="194" t="str">
        <f aca="false">IF(AND(Projects!$C$22&lt;=V$4,V$4&lt;=Projects!$C$22+Projects!$D$22-1),Projects!$B$22/Projects!$D$22,"")</f>
        <v/>
      </c>
      <c r="W28" s="194" t="str">
        <f aca="false">IF(AND(Projects!$C$22&lt;=W$4,W$4&lt;=Projects!$C$22+Projects!$D$22-1),Projects!$B$22/Projects!$D$22,"")</f>
        <v/>
      </c>
      <c r="X28" s="194" t="str">
        <f aca="false">IF(AND(Projects!$C$22&lt;=X$4,X$4&lt;=Projects!$C$22+Projects!$D$22-1),Projects!$B$22/Projects!$D$22,"")</f>
        <v/>
      </c>
      <c r="Y28" s="194" t="str">
        <f aca="false">IF(AND(Projects!$C$22&lt;=Y$4,Y$4&lt;=Projects!$C$22+Projects!$D$22-1),Projects!$B$22/Projects!$D$22,"")</f>
        <v/>
      </c>
      <c r="Z28" s="194" t="str">
        <f aca="false">IF(AND(Projects!$C$22&lt;=Z$4,Z$4&lt;=Projects!$C$22+Projects!$D$22-1),Projects!$B$22/Projects!$D$22,"")</f>
        <v/>
      </c>
      <c r="AA28" s="194" t="str">
        <f aca="false">IF(AND(Projects!$C$22&lt;=AA$4,AA$4&lt;=Projects!$C$22+Projects!$D$22-1),Projects!$B$22/Projects!$D$22,"")</f>
        <v/>
      </c>
      <c r="AB28" s="194" t="str">
        <f aca="false">IF(AND(Projects!$C$22&lt;=AB$4,AB$4&lt;=Projects!$C$22+Projects!$D$22-1),Projects!$B$22/Projects!$D$22,"")</f>
        <v/>
      </c>
      <c r="AC28" s="194" t="str">
        <f aca="false">IF(AND(Projects!$C$22&lt;=AC$4,AC$4&lt;=Projects!$C$22+Projects!$D$22-1),Projects!$B$22/Projects!$D$22,"")</f>
        <v/>
      </c>
      <c r="AD28" s="194" t="str">
        <f aca="false">IF(AND(Projects!$C$22&lt;=AD$4,AD$4&lt;=Projects!$C$22+Projects!$D$22-1),Projects!$B$22/Projects!$D$22,"")</f>
        <v/>
      </c>
      <c r="AE28" s="194" t="str">
        <f aca="false">IF(AND(Projects!$C$22&lt;=AE$4,AE$4&lt;=Projects!$C$22+Projects!$D$22-1),Projects!$B$22/Projects!$D$22,"")</f>
        <v/>
      </c>
      <c r="AF28" s="194" t="str">
        <f aca="false">IF(AND(Projects!$C$22&lt;=AF$4,AF$4&lt;=Projects!$C$22+Projects!$D$22-1),Projects!$B$22/Projects!$D$22,"")</f>
        <v/>
      </c>
      <c r="AG28" s="194" t="str">
        <f aca="false">IF(AND(Projects!$C$22&lt;=AG$4,AG$4&lt;=Projects!$C$22+Projects!$D$22-1),Projects!$B$22/Projects!$D$22,"")</f>
        <v/>
      </c>
      <c r="AH28" s="194" t="str">
        <f aca="false">IF(AND(Projects!$C$22&lt;=AH$4,AH$4&lt;=Projects!$C$22+Projects!$D$22-1),Projects!$B$22/Projects!$D$22,"")</f>
        <v/>
      </c>
      <c r="AI28" s="194" t="str">
        <f aca="false">IF(AND(Projects!$C$22&lt;=AI$4,AI$4&lt;=Projects!$C$22+Projects!$D$22-1),Projects!$B$22/Projects!$D$22,"")</f>
        <v/>
      </c>
      <c r="AJ28" s="194" t="str">
        <f aca="false">IF(AND(Projects!$C$22&lt;=AJ$4,AJ$4&lt;=Projects!$C$22+Projects!$D$22-1),Projects!$B$22/Projects!$D$22,"")</f>
        <v/>
      </c>
      <c r="AK28" s="194" t="n">
        <f aca="false">IF(AND(Projects!$C$22&lt;=AK$4,AK$4&lt;=Projects!$C$22+Projects!$D$22-1),Projects!$B$22/Projects!$D$22,"")</f>
        <v>789473.684210526</v>
      </c>
      <c r="AL28" s="194" t="n">
        <f aca="false">IF(AND(Projects!$C$22&lt;=AL$4,AL$4&lt;=Projects!$C$22+Projects!$D$22-1),Projects!$B$22/Projects!$D$22,"")</f>
        <v>789473.684210526</v>
      </c>
      <c r="AM28" s="194" t="n">
        <f aca="false">IF(AND(Projects!$C$22&lt;=AM$4,AM$4&lt;=Projects!$C$22+Projects!$D$22-1),Projects!$B$22/Projects!$D$22,"")</f>
        <v>789473.684210526</v>
      </c>
      <c r="AN28" s="194" t="n">
        <f aca="false">IF(AND(Projects!$C$22&lt;=AN$4,AN$4&lt;=Projects!$C$22+Projects!$D$22-1),Projects!$B$22/Projects!$D$22,"")</f>
        <v>789473.684210526</v>
      </c>
      <c r="AO28" s="194" t="n">
        <f aca="false">IF(AND(Projects!$C$22&lt;=AO$4,AO$4&lt;=Projects!$C$22+Projects!$D$22-1),Projects!$B$22/Projects!$D$22,"")</f>
        <v>789473.684210526</v>
      </c>
      <c r="AP28" s="194" t="n">
        <f aca="false">IF(AND(Projects!$C$22&lt;=AP$4,AP$4&lt;=Projects!$C$22+Projects!$D$22-1),Projects!$B$22/Projects!$D$22,"")</f>
        <v>789473.684210526</v>
      </c>
      <c r="AQ28" s="194" t="n">
        <f aca="false">IF(AND(Projects!$C$22&lt;=AQ$4,AQ$4&lt;=Projects!$C$22+Projects!$D$22-1),Projects!$B$22/Projects!$D$22,"")</f>
        <v>789473.684210526</v>
      </c>
      <c r="AR28" s="194" t="n">
        <f aca="false">IF(AND(Projects!$C$22&lt;=AR$4,AR$4&lt;=Projects!$C$22+Projects!$D$22-1),Projects!$B$22/Projects!$D$22,"")</f>
        <v>789473.684210526</v>
      </c>
      <c r="AS28" s="194" t="n">
        <f aca="false">IF(AND(Projects!$C$22&lt;=AS$4,AS$4&lt;=Projects!$C$22+Projects!$D$22-1),Projects!$B$22/Projects!$D$22,"")</f>
        <v>789473.684210526</v>
      </c>
      <c r="AT28" s="194" t="n">
        <f aca="false">IF(AND(Projects!$C$22&lt;=AT$4,AT$4&lt;=Projects!$C$22+Projects!$D$22-1),Projects!$B$22/Projects!$D$22,"")</f>
        <v>789473.684210526</v>
      </c>
      <c r="AU28" s="194" t="n">
        <f aca="false">IF(AND(Projects!$C$22&lt;=AU$4,AU$4&lt;=Projects!$C$22+Projects!$D$22-1),Projects!$B$22/Projects!$D$22,"")</f>
        <v>789473.684210526</v>
      </c>
      <c r="AV28" s="194" t="n">
        <f aca="false">IF(AND(Projects!$C$22&lt;=AV$4,AV$4&lt;=Projects!$C$22+Projects!$D$22-1),Projects!$B$22/Projects!$D$22,"")</f>
        <v>789473.684210526</v>
      </c>
      <c r="AW28" s="194" t="n">
        <f aca="false">IF(AND(Projects!$C$22&lt;=AW$4,AW$4&lt;=Projects!$C$22+Projects!$D$22-1),Projects!$B$22/Projects!$D$22,"")</f>
        <v>789473.684210526</v>
      </c>
      <c r="AX28" s="194" t="n">
        <f aca="false">IF(AND(Projects!$C$22&lt;=AX$4,AX$4&lt;=Projects!$C$22+Projects!$D$22-1),Projects!$B$22/Projects!$D$22,"")</f>
        <v>789473.684210526</v>
      </c>
      <c r="AY28" s="194" t="n">
        <f aca="false">IF(AND(Projects!$C$22&lt;=AY$4,AY$4&lt;=Projects!$C$22+Projects!$D$22-1),Projects!$B$22/Projects!$D$22,"")</f>
        <v>789473.684210526</v>
      </c>
      <c r="AZ28" s="194" t="n">
        <f aca="false">IF(AND(Projects!$C$22&lt;=AZ$4,AZ$4&lt;=Projects!$C$22+Projects!$D$22-1),Projects!$B$22/Projects!$D$22,"")</f>
        <v>789473.684210526</v>
      </c>
      <c r="BA28" s="194" t="n">
        <f aca="false">IF(AND(Projects!$C$22&lt;=BA$4,BA$4&lt;=Projects!$C$22+Projects!$D$22-1),Projects!$B$22/Projects!$D$22,"")</f>
        <v>789473.684210526</v>
      </c>
      <c r="BB28" s="194" t="n">
        <f aca="false">IF(AND(Projects!$C$22&lt;=BB$4,BB$4&lt;=Projects!$C$22+Projects!$D$22-1),Projects!$B$22/Projects!$D$22,"")</f>
        <v>789473.684210526</v>
      </c>
      <c r="BC28" s="194" t="n">
        <f aca="false">IF(AND(Projects!$C$22&lt;=BC$4,BC$4&lt;=Projects!$C$22+Projects!$D$22-1),Projects!$B$22/Projects!$D$22,"")</f>
        <v>789473.684210526</v>
      </c>
      <c r="BD28" s="194" t="str">
        <f aca="false">IF(AND(Projects!$C$22&lt;=BD$4,BD$4&lt;=Projects!$C$22+Projects!$D$22-1),Projects!$B$22/Projects!$D$22,"")</f>
        <v/>
      </c>
      <c r="BE28" s="194" t="str">
        <f aca="false">IF(AND(Projects!$C$22&lt;=BE$4,BE$4&lt;=Projects!$C$22+Projects!$D$22-1),Projects!$B$22/Projects!$D$22,"")</f>
        <v/>
      </c>
      <c r="BF28" s="194" t="str">
        <f aca="false">IF(AND(Projects!$C$22&lt;=BF$4,BF$4&lt;=Projects!$C$22+Projects!$D$22-1),Projects!$B$22/Projects!$D$22,"")</f>
        <v/>
      </c>
      <c r="BG28" s="194" t="str">
        <f aca="false">IF(AND(Projects!$C$22&lt;=BG$4,BG$4&lt;=Projects!$C$22+Projects!$D$22-1),Projects!$B$22/Projects!$D$22,"")</f>
        <v/>
      </c>
      <c r="BH28" s="194" t="str">
        <f aca="false">IF(AND(Projects!$C$22&lt;=BH$4,BH$4&lt;=Projects!$C$22+Projects!$D$22-1),Projects!$B$22/Projects!$D$22,"")</f>
        <v/>
      </c>
      <c r="BI28" s="194" t="str">
        <f aca="false">IF(AND(Projects!$C$22&lt;=BI$4,BI$4&lt;=Projects!$C$22+Projects!$D$22-1),Projects!$B$22/Projects!$D$22,"")</f>
        <v/>
      </c>
      <c r="BJ28" s="194" t="str">
        <f aca="false">IF(AND(Projects!$C$22&lt;=BJ$4,BJ$4&lt;=Projects!$C$22+Projects!$D$22-1),Projects!$B$22/Projects!$D$22,"")</f>
        <v/>
      </c>
      <c r="BK28" s="194" t="str">
        <f aca="false">IF(AND(Projects!$C$22&lt;=BK$4,BK$4&lt;=Projects!$C$22+Projects!$D$22-1),Projects!$B$22/Projects!$D$22,"")</f>
        <v/>
      </c>
      <c r="BL28" s="194" t="str">
        <f aca="false">IF(AND(Projects!$C$22&lt;=BL$4,BL$4&lt;=Projects!$C$22+Projects!$D$22-1),Projects!$B$22/Projects!$D$22,"")</f>
        <v/>
      </c>
      <c r="BM28" s="194" t="str">
        <f aca="false">IF(AND(Projects!$C$22&lt;=BM$4,BM$4&lt;=Projects!$C$22+Projects!$D$22-1),Projects!$B$22/Projects!$D$22,"")</f>
        <v/>
      </c>
      <c r="BN28" s="194" t="str">
        <f aca="false">IF(AND(Projects!$C$22&lt;=BN$4,BN$4&lt;=Projects!$C$22+Projects!$D$22-1),Projects!$B$22/Projects!$D$22,"")</f>
        <v/>
      </c>
      <c r="BO28" s="194" t="str">
        <f aca="false">IF(AND(Projects!$C$22&lt;=BO$4,BO$4&lt;=Projects!$C$22+Projects!$D$22-1),Projects!$B$22/Projects!$D$22,"")</f>
        <v/>
      </c>
      <c r="BP28" s="194" t="str">
        <f aca="false">IF(AND(Projects!$C$22&lt;=BP$4,BP$4&lt;=Projects!$C$22+Projects!$D$22-1),Projects!$B$22/Projects!$D$22,"")</f>
        <v/>
      </c>
      <c r="BQ28" s="194" t="str">
        <f aca="false">IF(AND(Projects!$C$22&lt;=BQ$4,BQ$4&lt;=Projects!$C$22+Projects!$D$22-1),Projects!$B$22/Projects!$D$22,"")</f>
        <v/>
      </c>
      <c r="BR28" s="194" t="str">
        <f aca="false">IF(AND(Projects!$C$22&lt;=BR$4,BR$4&lt;=Projects!$C$22+Projects!$D$22-1),Projects!$B$22/Projects!$D$22,"")</f>
        <v/>
      </c>
      <c r="BS28" s="194" t="str">
        <f aca="false">IF(AND(Projects!$C$22&lt;=BS$4,BS$4&lt;=Projects!$C$22+Projects!$D$22-1),Projects!$B$22/Projects!$D$22,"")</f>
        <v/>
      </c>
      <c r="BT28" s="194" t="str">
        <f aca="false">IF(AND(Projects!$C$22&lt;=BT$4,BT$4&lt;=Projects!$C$22+Projects!$D$22-1),Projects!$B$22/Projects!$D$22,"")</f>
        <v/>
      </c>
      <c r="BU28" s="194" t="str">
        <f aca="false">IF(AND(Projects!$C$22&lt;=BU$4,BU$4&lt;=Projects!$C$22+Projects!$D$22-1),Projects!$B$22/Projects!$D$22,"")</f>
        <v/>
      </c>
      <c r="BV28" s="194" t="str">
        <f aca="false">IF(AND(Projects!$C$22&lt;=BV$4,BV$4&lt;=Projects!$C$22+Projects!$D$22-1),Projects!$B$22/Projects!$D$22,"")</f>
        <v/>
      </c>
      <c r="BW28" s="194" t="str">
        <f aca="false">IF(AND(Projects!$C$22&lt;=BW$4,BW$4&lt;=Projects!$C$22+Projects!$D$22-1),Projects!$B$22/Projects!$D$22,"")</f>
        <v/>
      </c>
      <c r="BX28" s="194" t="str">
        <f aca="false">IF(AND(Projects!$C$22&lt;=BX$4,BX$4&lt;=Projects!$C$22+Projects!$D$22-1),Projects!$B$22/Projects!$D$22,"")</f>
        <v/>
      </c>
      <c r="BY28" s="194" t="str">
        <f aca="false">IF(AND(Projects!$C$22&lt;=BY$4,BY$4&lt;=Projects!$C$22+Projects!$D$22-1),Projects!$B$22/Projects!$D$22,"")</f>
        <v/>
      </c>
      <c r="BZ28" s="194" t="str">
        <f aca="false">IF(AND(Projects!$C$22&lt;=BZ$4,BZ$4&lt;=Projects!$C$22+Projects!$D$22-1),Projects!$B$22/Projects!$D$22,"")</f>
        <v/>
      </c>
      <c r="CA28" s="194" t="str">
        <f aca="false">IF(AND(Projects!$C$22&lt;=CA$4,CA$4&lt;=Projects!$C$22+Projects!$D$22-1),Projects!$B$22/Projects!$D$22,"")</f>
        <v/>
      </c>
      <c r="CB28" s="194" t="str">
        <f aca="false">IF(AND(Projects!$C$22&lt;=CB$4,CB$4&lt;=Projects!$C$22+Projects!$D$22-1),Projects!$B$22/Projects!$D$22,"")</f>
        <v/>
      </c>
      <c r="CC28" s="194" t="str">
        <f aca="false">IF(AND(Projects!$C$22&lt;=CC$4,CC$4&lt;=Projects!$C$22+Projects!$D$22-1),Projects!$B$22/Projects!$D$22,"")</f>
        <v/>
      </c>
      <c r="CD28" s="194" t="str">
        <f aca="false">IF(AND(Projects!$C$22&lt;=CD$4,CD$4&lt;=Projects!$C$22+Projects!$D$22-1),Projects!$B$22/Projects!$D$22,"")</f>
        <v/>
      </c>
      <c r="CE28" s="194" t="str">
        <f aca="false">IF(AND(Projects!$C$22&lt;=CE$4,CE$4&lt;=Projects!$C$22+Projects!$D$22-1),Projects!$B$22/Projects!$D$22,"")</f>
        <v/>
      </c>
      <c r="CF28" s="194" t="str">
        <f aca="false">IF(AND(Projects!$C$22&lt;=CF$4,CF$4&lt;=Projects!$C$22+Projects!$D$22-1),Projects!$B$22/Projects!$D$22,"")</f>
        <v/>
      </c>
      <c r="CG28" s="194" t="str">
        <f aca="false">IF(AND(Projects!$C$22&lt;=CG$4,CG$4&lt;=Projects!$C$22+Projects!$D$22-1),Projects!$B$22/Projects!$D$22,"")</f>
        <v/>
      </c>
      <c r="CH28" s="194" t="str">
        <f aca="false">IF(AND(Projects!$C$22&lt;=CH$4,CH$4&lt;=Projects!$C$22+Projects!$D$22-1),Projects!$B$22/Projects!$D$22,"")</f>
        <v/>
      </c>
      <c r="CI28" s="194" t="str">
        <f aca="false">IF(AND(Projects!$C$22&lt;=CI$4,CI$4&lt;=Projects!$C$22+Projects!$D$22-1),Projects!$B$22/Projects!$D$22,"")</f>
        <v/>
      </c>
      <c r="CJ28" s="194" t="str">
        <f aca="false">IF(AND(Projects!$C$22&lt;=CJ$4,CJ$4&lt;=Projects!$C$22+Projects!$D$22-1),Projects!$B$22/Projects!$D$22,"")</f>
        <v/>
      </c>
      <c r="CK28" s="194" t="str">
        <f aca="false">IF(AND(Projects!$C$22&lt;=CK$4,CK$4&lt;=Projects!$C$22+Projects!$D$22-1),Projects!$B$22/Projects!$D$22,"")</f>
        <v/>
      </c>
      <c r="CL28" s="194" t="str">
        <f aca="false">IF(AND(Projects!$C$22&lt;=CL$4,CL$4&lt;=Projects!$C$22+Projects!$D$22-1),Projects!$B$22/Projects!$D$22,"")</f>
        <v/>
      </c>
      <c r="CM28" s="194" t="str">
        <f aca="false">IF(AND(Projects!$C$22&lt;=CM$4,CM$4&lt;=Projects!$C$22+Projects!$D$22-1),Projects!$B$22/Projects!$D$22,"")</f>
        <v/>
      </c>
      <c r="CN28" s="194" t="str">
        <f aca="false">IF(AND(Projects!$C$22&lt;=CN$4,CN$4&lt;=Projects!$C$22+Projects!$D$22-1),Projects!$B$22/Projects!$D$22,"")</f>
        <v/>
      </c>
      <c r="CO28" s="194" t="str">
        <f aca="false">IF(AND(Projects!$C$22&lt;=CO$4,CO$4&lt;=Projects!$C$22+Projects!$D$22-1),Projects!$B$22/Projects!$D$22,"")</f>
        <v/>
      </c>
      <c r="CP28" s="194" t="str">
        <f aca="false">IF(AND(Projects!$C$22&lt;=CP$4,CP$4&lt;=Projects!$C$22+Projects!$D$22-1),Projects!$B$22/Projects!$D$22,"")</f>
        <v/>
      </c>
      <c r="CQ28" s="194" t="str">
        <f aca="false">IF(AND(Projects!$C$22&lt;=CQ$4,CQ$4&lt;=Projects!$C$22+Projects!$D$22-1),Projects!$B$22/Projects!$D$22,"")</f>
        <v/>
      </c>
      <c r="CR28" s="194" t="str">
        <f aca="false">IF(AND(Projects!$C$22&lt;=CR$4,CR$4&lt;=Projects!$C$22+Projects!$D$22-1),Projects!$B$22/Projects!$D$22,"")</f>
        <v/>
      </c>
      <c r="CS28" s="194" t="str">
        <f aca="false">IF(AND(Projects!$C$22&lt;=CS$4,CS$4&lt;=Projects!$C$22+Projects!$D$22-1),Projects!$B$22/Projects!$D$22,"")</f>
        <v/>
      </c>
      <c r="CT28" s="194" t="str">
        <f aca="false">IF(AND(Projects!$C$22&lt;=CT$4,CT$4&lt;=Projects!$C$22+Projects!$D$22-1),Projects!$B$22/Projects!$D$22,"")</f>
        <v/>
      </c>
      <c r="CU28" s="194" t="str">
        <f aca="false">IF(AND(Projects!$C$22&lt;=CU$4,CU$4&lt;=Projects!$C$22+Projects!$D$22-1),Projects!$B$22/Projects!$D$22,"")</f>
        <v/>
      </c>
      <c r="CV28" s="194" t="str">
        <f aca="false">IF(AND(Projects!$C$22&lt;=CV$4,CV$4&lt;=Projects!$C$22+Projects!$D$22-1),Projects!$B$22/Projects!$D$22,"")</f>
        <v/>
      </c>
      <c r="CW28" s="194" t="str">
        <f aca="false">IF(AND(Projects!$C$22&lt;=CW$4,CW$4&lt;=Projects!$C$22+Projects!$D$22-1),Projects!$B$22/Projects!$D$22,"")</f>
        <v/>
      </c>
      <c r="CX28" s="194" t="str">
        <f aca="false">IF(AND(Projects!$C$22&lt;=CX$4,CX$4&lt;=Projects!$C$22+Projects!$D$22-1),Projects!$B$22/Projects!$D$22,"")</f>
        <v/>
      </c>
      <c r="CY28" s="194" t="str">
        <f aca="false">IF(AND(Projects!$C$22&lt;=CY$4,CY$4&lt;=Projects!$C$22+Projects!$D$22-1),Projects!$B$22/Projects!$D$22,"")</f>
        <v/>
      </c>
      <c r="CZ28" s="194" t="str">
        <f aca="false">IF(AND(Projects!$C$22&lt;=CZ$4,CZ$4&lt;=Projects!$C$22+Projects!$D$22-1),Projects!$B$22/Projects!$D$22,"")</f>
        <v/>
      </c>
      <c r="DA28" s="194" t="str">
        <f aca="false">IF(AND(Projects!$C$22&lt;=DA$4,DA$4&lt;=Projects!$C$22+Projects!$D$22-1),Projects!$B$22/Projects!$D$22,"")</f>
        <v/>
      </c>
      <c r="DB28" s="194" t="str">
        <f aca="false">IF(AND(Projects!$C$22&lt;=DB$4,DB$4&lt;=Projects!$C$22+Projects!$D$22-1),Projects!$B$22/Projects!$D$22,"")</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Projects!$B$23/Projects!$D$23</f>
        <v>789473.684210526</v>
      </c>
      <c r="G29" s="194" t="str">
        <f aca="false">IF(AND(Projects!$C$23&lt;=G$4,G$4&lt;=Projects!$C$23+Projects!$D$23-1),Projects!$B$23/Projects!$D$23,"")</f>
        <v/>
      </c>
      <c r="H29" s="194" t="str">
        <f aca="false">IF(AND(Projects!$C$23&lt;=H$4,H$4&lt;=Projects!$C$23+Projects!$D$23-1),Projects!$B$23/Projects!$D$23,"")</f>
        <v/>
      </c>
      <c r="I29" s="194" t="str">
        <f aca="false">IF(AND(Projects!$C$23&lt;=I$4,I$4&lt;=Projects!$C$23+Projects!$D$23-1),Projects!$B$23/Projects!$D$23,"")</f>
        <v/>
      </c>
      <c r="J29" s="194" t="str">
        <f aca="false">IF(AND(Projects!$C$23&lt;=J$4,J$4&lt;=Projects!$C$23+Projects!$D$23-1),Projects!$B$23/Projects!$D$23,"")</f>
        <v/>
      </c>
      <c r="K29" s="194" t="str">
        <f aca="false">IF(AND(Projects!$C$23&lt;=K$4,K$4&lt;=Projects!$C$23+Projects!$D$23-1),Projects!$B$23/Projects!$D$23,"")</f>
        <v/>
      </c>
      <c r="L29" s="194" t="str">
        <f aca="false">IF(AND(Projects!$C$23&lt;=L$4,L$4&lt;=Projects!$C$23+Projects!$D$23-1),Projects!$B$23/Projects!$D$23,"")</f>
        <v/>
      </c>
      <c r="M29" s="194" t="str">
        <f aca="false">IF(AND(Projects!$C$23&lt;=M$4,M$4&lt;=Projects!$C$23+Projects!$D$23-1),Projects!$B$23/Projects!$D$23,"")</f>
        <v/>
      </c>
      <c r="N29" s="194" t="str">
        <f aca="false">IF(AND(Projects!$C$23&lt;=N$4,N$4&lt;=Projects!$C$23+Projects!$D$23-1),Projects!$B$23/Projects!$D$23,"")</f>
        <v/>
      </c>
      <c r="O29" s="194" t="str">
        <f aca="false">IF(AND(Projects!$C$23&lt;=O$4,O$4&lt;=Projects!$C$23+Projects!$D$23-1),Projects!$B$23/Projects!$D$23,"")</f>
        <v/>
      </c>
      <c r="P29" s="194" t="str">
        <f aca="false">IF(AND(Projects!$C$23&lt;=P$4,P$4&lt;=Projects!$C$23+Projects!$D$23-1),Projects!$B$23/Projects!$D$23,"")</f>
        <v/>
      </c>
      <c r="Q29" s="194" t="str">
        <f aca="false">IF(AND(Projects!$C$23&lt;=Q$4,Q$4&lt;=Projects!$C$23+Projects!$D$23-1),Projects!$B$23/Projects!$D$23,"")</f>
        <v/>
      </c>
      <c r="R29" s="194" t="str">
        <f aca="false">IF(AND(Projects!$C$23&lt;=R$4,R$4&lt;=Projects!$C$23+Projects!$D$23-1),Projects!$B$23/Projects!$D$23,"")</f>
        <v/>
      </c>
      <c r="S29" s="194" t="str">
        <f aca="false">IF(AND(Projects!$C$23&lt;=S$4,S$4&lt;=Projects!$C$23+Projects!$D$23-1),Projects!$B$23/Projects!$D$23,"")</f>
        <v/>
      </c>
      <c r="T29" s="194" t="str">
        <f aca="false">IF(AND(Projects!$C$23&lt;=T$4,T$4&lt;=Projects!$C$23+Projects!$D$23-1),Projects!$B$23/Projects!$D$23,"")</f>
        <v/>
      </c>
      <c r="U29" s="194" t="str">
        <f aca="false">IF(AND(Projects!$C$23&lt;=U$4,U$4&lt;=Projects!$C$23+Projects!$D$23-1),Projects!$B$23/Projects!$D$23,"")</f>
        <v/>
      </c>
      <c r="V29" s="194" t="str">
        <f aca="false">IF(AND(Projects!$C$23&lt;=V$4,V$4&lt;=Projects!$C$23+Projects!$D$23-1),Projects!$B$23/Projects!$D$23,"")</f>
        <v/>
      </c>
      <c r="W29" s="194" t="str">
        <f aca="false">IF(AND(Projects!$C$23&lt;=W$4,W$4&lt;=Projects!$C$23+Projects!$D$23-1),Projects!$B$23/Projects!$D$23,"")</f>
        <v/>
      </c>
      <c r="X29" s="194" t="str">
        <f aca="false">IF(AND(Projects!$C$23&lt;=X$4,X$4&lt;=Projects!$C$23+Projects!$D$23-1),Projects!$B$23/Projects!$D$23,"")</f>
        <v/>
      </c>
      <c r="Y29" s="194" t="str">
        <f aca="false">IF(AND(Projects!$C$23&lt;=Y$4,Y$4&lt;=Projects!$C$23+Projects!$D$23-1),Projects!$B$23/Projects!$D$23,"")</f>
        <v/>
      </c>
      <c r="Z29" s="194" t="str">
        <f aca="false">IF(AND(Projects!$C$23&lt;=Z$4,Z$4&lt;=Projects!$C$23+Projects!$D$23-1),Projects!$B$23/Projects!$D$23,"")</f>
        <v/>
      </c>
      <c r="AA29" s="194" t="str">
        <f aca="false">IF(AND(Projects!$C$23&lt;=AA$4,AA$4&lt;=Projects!$C$23+Projects!$D$23-1),Projects!$B$23/Projects!$D$23,"")</f>
        <v/>
      </c>
      <c r="AB29" s="194" t="str">
        <f aca="false">IF(AND(Projects!$C$23&lt;=AB$4,AB$4&lt;=Projects!$C$23+Projects!$D$23-1),Projects!$B$23/Projects!$D$23,"")</f>
        <v/>
      </c>
      <c r="AC29" s="194" t="str">
        <f aca="false">IF(AND(Projects!$C$23&lt;=AC$4,AC$4&lt;=Projects!$C$23+Projects!$D$23-1),Projects!$B$23/Projects!$D$23,"")</f>
        <v/>
      </c>
      <c r="AD29" s="194" t="str">
        <f aca="false">IF(AND(Projects!$C$23&lt;=AD$4,AD$4&lt;=Projects!$C$23+Projects!$D$23-1),Projects!$B$23/Projects!$D$23,"")</f>
        <v/>
      </c>
      <c r="AE29" s="194" t="str">
        <f aca="false">IF(AND(Projects!$C$23&lt;=AE$4,AE$4&lt;=Projects!$C$23+Projects!$D$23-1),Projects!$B$23/Projects!$D$23,"")</f>
        <v/>
      </c>
      <c r="AF29" s="194" t="str">
        <f aca="false">IF(AND(Projects!$C$23&lt;=AF$4,AF$4&lt;=Projects!$C$23+Projects!$D$23-1),Projects!$B$23/Projects!$D$23,"")</f>
        <v/>
      </c>
      <c r="AG29" s="194" t="str">
        <f aca="false">IF(AND(Projects!$C$23&lt;=AG$4,AG$4&lt;=Projects!$C$23+Projects!$D$23-1),Projects!$B$23/Projects!$D$23,"")</f>
        <v/>
      </c>
      <c r="AH29" s="194" t="str">
        <f aca="false">IF(AND(Projects!$C$23&lt;=AH$4,AH$4&lt;=Projects!$C$23+Projects!$D$23-1),Projects!$B$23/Projects!$D$23,"")</f>
        <v/>
      </c>
      <c r="AI29" s="194" t="str">
        <f aca="false">IF(AND(Projects!$C$23&lt;=AI$4,AI$4&lt;=Projects!$C$23+Projects!$D$23-1),Projects!$B$23/Projects!$D$23,"")</f>
        <v/>
      </c>
      <c r="AJ29" s="194" t="str">
        <f aca="false">IF(AND(Projects!$C$23&lt;=AJ$4,AJ$4&lt;=Projects!$C$23+Projects!$D$23-1),Projects!$B$23/Projects!$D$23,"")</f>
        <v/>
      </c>
      <c r="AK29" s="194" t="str">
        <f aca="false">IF(AND(Projects!$C$23&lt;=AK$4,AK$4&lt;=Projects!$C$23+Projects!$D$23-1),Projects!$B$23/Projects!$D$23,"")</f>
        <v/>
      </c>
      <c r="AL29" s="194" t="str">
        <f aca="false">IF(AND(Projects!$C$23&lt;=AL$4,AL$4&lt;=Projects!$C$23+Projects!$D$23-1),Projects!$B$23/Projects!$D$23,"")</f>
        <v/>
      </c>
      <c r="AM29" s="194" t="str">
        <f aca="false">IF(AND(Projects!$C$23&lt;=AM$4,AM$4&lt;=Projects!$C$23+Projects!$D$23-1),Projects!$B$23/Projects!$D$23,"")</f>
        <v/>
      </c>
      <c r="AN29" s="194" t="n">
        <f aca="false">IF(AND(Projects!$C$23&lt;=AN$4,AN$4&lt;=Projects!$C$23+Projects!$D$23-1),Projects!$B$23/Projects!$D$23,"")</f>
        <v>789473.684210526</v>
      </c>
      <c r="AO29" s="194" t="n">
        <f aca="false">IF(AND(Projects!$C$23&lt;=AO$4,AO$4&lt;=Projects!$C$23+Projects!$D$23-1),Projects!$B$23/Projects!$D$23,"")</f>
        <v>789473.684210526</v>
      </c>
      <c r="AP29" s="194" t="n">
        <f aca="false">IF(AND(Projects!$C$23&lt;=AP$4,AP$4&lt;=Projects!$C$23+Projects!$D$23-1),Projects!$B$23/Projects!$D$23,"")</f>
        <v>789473.684210526</v>
      </c>
      <c r="AQ29" s="194" t="n">
        <f aca="false">IF(AND(Projects!$C$23&lt;=AQ$4,AQ$4&lt;=Projects!$C$23+Projects!$D$23-1),Projects!$B$23/Projects!$D$23,"")</f>
        <v>789473.684210526</v>
      </c>
      <c r="AR29" s="194" t="n">
        <f aca="false">IF(AND(Projects!$C$23&lt;=AR$4,AR$4&lt;=Projects!$C$23+Projects!$D$23-1),Projects!$B$23/Projects!$D$23,"")</f>
        <v>789473.684210526</v>
      </c>
      <c r="AS29" s="194" t="n">
        <f aca="false">IF(AND(Projects!$C$23&lt;=AS$4,AS$4&lt;=Projects!$C$23+Projects!$D$23-1),Projects!$B$23/Projects!$D$23,"")</f>
        <v>789473.684210526</v>
      </c>
      <c r="AT29" s="194" t="n">
        <f aca="false">IF(AND(Projects!$C$23&lt;=AT$4,AT$4&lt;=Projects!$C$23+Projects!$D$23-1),Projects!$B$23/Projects!$D$23,"")</f>
        <v>789473.684210526</v>
      </c>
      <c r="AU29" s="194" t="n">
        <f aca="false">IF(AND(Projects!$C$23&lt;=AU$4,AU$4&lt;=Projects!$C$23+Projects!$D$23-1),Projects!$B$23/Projects!$D$23,"")</f>
        <v>789473.684210526</v>
      </c>
      <c r="AV29" s="194" t="n">
        <f aca="false">IF(AND(Projects!$C$23&lt;=AV$4,AV$4&lt;=Projects!$C$23+Projects!$D$23-1),Projects!$B$23/Projects!$D$23,"")</f>
        <v>789473.684210526</v>
      </c>
      <c r="AW29" s="194" t="n">
        <f aca="false">IF(AND(Projects!$C$23&lt;=AW$4,AW$4&lt;=Projects!$C$23+Projects!$D$23-1),Projects!$B$23/Projects!$D$23,"")</f>
        <v>789473.684210526</v>
      </c>
      <c r="AX29" s="194" t="n">
        <f aca="false">IF(AND(Projects!$C$23&lt;=AX$4,AX$4&lt;=Projects!$C$23+Projects!$D$23-1),Projects!$B$23/Projects!$D$23,"")</f>
        <v>789473.684210526</v>
      </c>
      <c r="AY29" s="194" t="n">
        <f aca="false">IF(AND(Projects!$C$23&lt;=AY$4,AY$4&lt;=Projects!$C$23+Projects!$D$23-1),Projects!$B$23/Projects!$D$23,"")</f>
        <v>789473.684210526</v>
      </c>
      <c r="AZ29" s="194" t="n">
        <f aca="false">IF(AND(Projects!$C$23&lt;=AZ$4,AZ$4&lt;=Projects!$C$23+Projects!$D$23-1),Projects!$B$23/Projects!$D$23,"")</f>
        <v>789473.684210526</v>
      </c>
      <c r="BA29" s="194" t="n">
        <f aca="false">IF(AND(Projects!$C$23&lt;=BA$4,BA$4&lt;=Projects!$C$23+Projects!$D$23-1),Projects!$B$23/Projects!$D$23,"")</f>
        <v>789473.684210526</v>
      </c>
      <c r="BB29" s="194" t="n">
        <f aca="false">IF(AND(Projects!$C$23&lt;=BB$4,BB$4&lt;=Projects!$C$23+Projects!$D$23-1),Projects!$B$23/Projects!$D$23,"")</f>
        <v>789473.684210526</v>
      </c>
      <c r="BC29" s="194" t="n">
        <f aca="false">IF(AND(Projects!$C$23&lt;=BC$4,BC$4&lt;=Projects!$C$23+Projects!$D$23-1),Projects!$B$23/Projects!$D$23,"")</f>
        <v>789473.684210526</v>
      </c>
      <c r="BD29" s="194" t="n">
        <f aca="false">IF(AND(Projects!$C$23&lt;=BD$4,BD$4&lt;=Projects!$C$23+Projects!$D$23-1),Projects!$B$23/Projects!$D$23,"")</f>
        <v>789473.684210526</v>
      </c>
      <c r="BE29" s="194" t="n">
        <f aca="false">IF(AND(Projects!$C$23&lt;=BE$4,BE$4&lt;=Projects!$C$23+Projects!$D$23-1),Projects!$B$23/Projects!$D$23,"")</f>
        <v>789473.684210526</v>
      </c>
      <c r="BF29" s="194" t="n">
        <f aca="false">IF(AND(Projects!$C$23&lt;=BF$4,BF$4&lt;=Projects!$C$23+Projects!$D$23-1),Projects!$B$23/Projects!$D$23,"")</f>
        <v>789473.684210526</v>
      </c>
      <c r="BG29" s="194" t="str">
        <f aca="false">IF(AND(Projects!$C$23&lt;=BG$4,BG$4&lt;=Projects!$C$23+Projects!$D$23-1),Projects!$B$23/Projects!$D$23,"")</f>
        <v/>
      </c>
      <c r="BH29" s="194" t="str">
        <f aca="false">IF(AND(Projects!$C$23&lt;=BH$4,BH$4&lt;=Projects!$C$23+Projects!$D$23-1),Projects!$B$23/Projects!$D$23,"")</f>
        <v/>
      </c>
      <c r="BI29" s="194" t="str">
        <f aca="false">IF(AND(Projects!$C$23&lt;=BI$4,BI$4&lt;=Projects!$C$23+Projects!$D$23-1),Projects!$B$23/Projects!$D$23,"")</f>
        <v/>
      </c>
      <c r="BJ29" s="194" t="str">
        <f aca="false">IF(AND(Projects!$C$23&lt;=BJ$4,BJ$4&lt;=Projects!$C$23+Projects!$D$23-1),Projects!$B$23/Projects!$D$23,"")</f>
        <v/>
      </c>
      <c r="BK29" s="194" t="str">
        <f aca="false">IF(AND(Projects!$C$23&lt;=BK$4,BK$4&lt;=Projects!$C$23+Projects!$D$23-1),Projects!$B$23/Projects!$D$23,"")</f>
        <v/>
      </c>
      <c r="BL29" s="194" t="str">
        <f aca="false">IF(AND(Projects!$C$23&lt;=BL$4,BL$4&lt;=Projects!$C$23+Projects!$D$23-1),Projects!$B$23/Projects!$D$23,"")</f>
        <v/>
      </c>
      <c r="BM29" s="194" t="str">
        <f aca="false">IF(AND(Projects!$C$23&lt;=BM$4,BM$4&lt;=Projects!$C$23+Projects!$D$23-1),Projects!$B$23/Projects!$D$23,"")</f>
        <v/>
      </c>
      <c r="BN29" s="194" t="str">
        <f aca="false">IF(AND(Projects!$C$23&lt;=BN$4,BN$4&lt;=Projects!$C$23+Projects!$D$23-1),Projects!$B$23/Projects!$D$23,"")</f>
        <v/>
      </c>
      <c r="BO29" s="194" t="str">
        <f aca="false">IF(AND(Projects!$C$23&lt;=BO$4,BO$4&lt;=Projects!$C$23+Projects!$D$23-1),Projects!$B$23/Projects!$D$23,"")</f>
        <v/>
      </c>
      <c r="BP29" s="194" t="str">
        <f aca="false">IF(AND(Projects!$C$23&lt;=BP$4,BP$4&lt;=Projects!$C$23+Projects!$D$23-1),Projects!$B$23/Projects!$D$23,"")</f>
        <v/>
      </c>
      <c r="BQ29" s="194" t="str">
        <f aca="false">IF(AND(Projects!$C$23&lt;=BQ$4,BQ$4&lt;=Projects!$C$23+Projects!$D$23-1),Projects!$B$23/Projects!$D$23,"")</f>
        <v/>
      </c>
      <c r="BR29" s="194" t="str">
        <f aca="false">IF(AND(Projects!$C$23&lt;=BR$4,BR$4&lt;=Projects!$C$23+Projects!$D$23-1),Projects!$B$23/Projects!$D$23,"")</f>
        <v/>
      </c>
      <c r="BS29" s="194" t="str">
        <f aca="false">IF(AND(Projects!$C$23&lt;=BS$4,BS$4&lt;=Projects!$C$23+Projects!$D$23-1),Projects!$B$23/Projects!$D$23,"")</f>
        <v/>
      </c>
      <c r="BT29" s="194" t="str">
        <f aca="false">IF(AND(Projects!$C$23&lt;=BT$4,BT$4&lt;=Projects!$C$23+Projects!$D$23-1),Projects!$B$23/Projects!$D$23,"")</f>
        <v/>
      </c>
      <c r="BU29" s="194" t="str">
        <f aca="false">IF(AND(Projects!$C$23&lt;=BU$4,BU$4&lt;=Projects!$C$23+Projects!$D$23-1),Projects!$B$23/Projects!$D$23,"")</f>
        <v/>
      </c>
      <c r="BV29" s="194" t="str">
        <f aca="false">IF(AND(Projects!$C$23&lt;=BV$4,BV$4&lt;=Projects!$C$23+Projects!$D$23-1),Projects!$B$23/Projects!$D$23,"")</f>
        <v/>
      </c>
      <c r="BW29" s="194" t="str">
        <f aca="false">IF(AND(Projects!$C$23&lt;=BW$4,BW$4&lt;=Projects!$C$23+Projects!$D$23-1),Projects!$B$23/Projects!$D$23,"")</f>
        <v/>
      </c>
      <c r="BX29" s="194" t="str">
        <f aca="false">IF(AND(Projects!$C$23&lt;=BX$4,BX$4&lt;=Projects!$C$23+Projects!$D$23-1),Projects!$B$23/Projects!$D$23,"")</f>
        <v/>
      </c>
      <c r="BY29" s="194" t="str">
        <f aca="false">IF(AND(Projects!$C$23&lt;=BY$4,BY$4&lt;=Projects!$C$23+Projects!$D$23-1),Projects!$B$23/Projects!$D$23,"")</f>
        <v/>
      </c>
      <c r="BZ29" s="194" t="str">
        <f aca="false">IF(AND(Projects!$C$23&lt;=BZ$4,BZ$4&lt;=Projects!$C$23+Projects!$D$23-1),Projects!$B$23/Projects!$D$23,"")</f>
        <v/>
      </c>
      <c r="CA29" s="194" t="str">
        <f aca="false">IF(AND(Projects!$C$23&lt;=CA$4,CA$4&lt;=Projects!$C$23+Projects!$D$23-1),Projects!$B$23/Projects!$D$23,"")</f>
        <v/>
      </c>
      <c r="CB29" s="194" t="str">
        <f aca="false">IF(AND(Projects!$C$23&lt;=CB$4,CB$4&lt;=Projects!$C$23+Projects!$D$23-1),Projects!$B$23/Projects!$D$23,"")</f>
        <v/>
      </c>
      <c r="CC29" s="194" t="str">
        <f aca="false">IF(AND(Projects!$C$23&lt;=CC$4,CC$4&lt;=Projects!$C$23+Projects!$D$23-1),Projects!$B$23/Projects!$D$23,"")</f>
        <v/>
      </c>
      <c r="CD29" s="194" t="str">
        <f aca="false">IF(AND(Projects!$C$23&lt;=CD$4,CD$4&lt;=Projects!$C$23+Projects!$D$23-1),Projects!$B$23/Projects!$D$23,"")</f>
        <v/>
      </c>
      <c r="CE29" s="194" t="str">
        <f aca="false">IF(AND(Projects!$C$23&lt;=CE$4,CE$4&lt;=Projects!$C$23+Projects!$D$23-1),Projects!$B$23/Projects!$D$23,"")</f>
        <v/>
      </c>
      <c r="CF29" s="194" t="str">
        <f aca="false">IF(AND(Projects!$C$23&lt;=CF$4,CF$4&lt;=Projects!$C$23+Projects!$D$23-1),Projects!$B$23/Projects!$D$23,"")</f>
        <v/>
      </c>
      <c r="CG29" s="194" t="str">
        <f aca="false">IF(AND(Projects!$C$23&lt;=CG$4,CG$4&lt;=Projects!$C$23+Projects!$D$23-1),Projects!$B$23/Projects!$D$23,"")</f>
        <v/>
      </c>
      <c r="CH29" s="194" t="str">
        <f aca="false">IF(AND(Projects!$C$23&lt;=CH$4,CH$4&lt;=Projects!$C$23+Projects!$D$23-1),Projects!$B$23/Projects!$D$23,"")</f>
        <v/>
      </c>
      <c r="CI29" s="194" t="str">
        <f aca="false">IF(AND(Projects!$C$23&lt;=CI$4,CI$4&lt;=Projects!$C$23+Projects!$D$23-1),Projects!$B$23/Projects!$D$23,"")</f>
        <v/>
      </c>
      <c r="CJ29" s="194" t="str">
        <f aca="false">IF(AND(Projects!$C$23&lt;=CJ$4,CJ$4&lt;=Projects!$C$23+Projects!$D$23-1),Projects!$B$23/Projects!$D$23,"")</f>
        <v/>
      </c>
      <c r="CK29" s="194" t="str">
        <f aca="false">IF(AND(Projects!$C$23&lt;=CK$4,CK$4&lt;=Projects!$C$23+Projects!$D$23-1),Projects!$B$23/Projects!$D$23,"")</f>
        <v/>
      </c>
      <c r="CL29" s="194" t="str">
        <f aca="false">IF(AND(Projects!$C$23&lt;=CL$4,CL$4&lt;=Projects!$C$23+Projects!$D$23-1),Projects!$B$23/Projects!$D$23,"")</f>
        <v/>
      </c>
      <c r="CM29" s="194" t="str">
        <f aca="false">IF(AND(Projects!$C$23&lt;=CM$4,CM$4&lt;=Projects!$C$23+Projects!$D$23-1),Projects!$B$23/Projects!$D$23,"")</f>
        <v/>
      </c>
      <c r="CN29" s="194" t="str">
        <f aca="false">IF(AND(Projects!$C$23&lt;=CN$4,CN$4&lt;=Projects!$C$23+Projects!$D$23-1),Projects!$B$23/Projects!$D$23,"")</f>
        <v/>
      </c>
      <c r="CO29" s="194" t="str">
        <f aca="false">IF(AND(Projects!$C$23&lt;=CO$4,CO$4&lt;=Projects!$C$23+Projects!$D$23-1),Projects!$B$23/Projects!$D$23,"")</f>
        <v/>
      </c>
      <c r="CP29" s="194" t="str">
        <f aca="false">IF(AND(Projects!$C$23&lt;=CP$4,CP$4&lt;=Projects!$C$23+Projects!$D$23-1),Projects!$B$23/Projects!$D$23,"")</f>
        <v/>
      </c>
      <c r="CQ29" s="194" t="str">
        <f aca="false">IF(AND(Projects!$C$23&lt;=CQ$4,CQ$4&lt;=Projects!$C$23+Projects!$D$23-1),Projects!$B$23/Projects!$D$23,"")</f>
        <v/>
      </c>
      <c r="CR29" s="194" t="str">
        <f aca="false">IF(AND(Projects!$C$23&lt;=CR$4,CR$4&lt;=Projects!$C$23+Projects!$D$23-1),Projects!$B$23/Projects!$D$23,"")</f>
        <v/>
      </c>
      <c r="CS29" s="194" t="str">
        <f aca="false">IF(AND(Projects!$C$23&lt;=CS$4,CS$4&lt;=Projects!$C$23+Projects!$D$23-1),Projects!$B$23/Projects!$D$23,"")</f>
        <v/>
      </c>
      <c r="CT29" s="194" t="str">
        <f aca="false">IF(AND(Projects!$C$23&lt;=CT$4,CT$4&lt;=Projects!$C$23+Projects!$D$23-1),Projects!$B$23/Projects!$D$23,"")</f>
        <v/>
      </c>
      <c r="CU29" s="194" t="str">
        <f aca="false">IF(AND(Projects!$C$23&lt;=CU$4,CU$4&lt;=Projects!$C$23+Projects!$D$23-1),Projects!$B$23/Projects!$D$23,"")</f>
        <v/>
      </c>
      <c r="CV29" s="194" t="str">
        <f aca="false">IF(AND(Projects!$C$23&lt;=CV$4,CV$4&lt;=Projects!$C$23+Projects!$D$23-1),Projects!$B$23/Projects!$D$23,"")</f>
        <v/>
      </c>
      <c r="CW29" s="194" t="str">
        <f aca="false">IF(AND(Projects!$C$23&lt;=CW$4,CW$4&lt;=Projects!$C$23+Projects!$D$23-1),Projects!$B$23/Projects!$D$23,"")</f>
        <v/>
      </c>
      <c r="CX29" s="194" t="str">
        <f aca="false">IF(AND(Projects!$C$23&lt;=CX$4,CX$4&lt;=Projects!$C$23+Projects!$D$23-1),Projects!$B$23/Projects!$D$23,"")</f>
        <v/>
      </c>
      <c r="CY29" s="194" t="str">
        <f aca="false">IF(AND(Projects!$C$23&lt;=CY$4,CY$4&lt;=Projects!$C$23+Projects!$D$23-1),Projects!$B$23/Projects!$D$23,"")</f>
        <v/>
      </c>
      <c r="CZ29" s="194" t="str">
        <f aca="false">IF(AND(Projects!$C$23&lt;=CZ$4,CZ$4&lt;=Projects!$C$23+Projects!$D$23-1),Projects!$B$23/Projects!$D$23,"")</f>
        <v/>
      </c>
      <c r="DA29" s="194" t="str">
        <f aca="false">IF(AND(Projects!$C$23&lt;=DA$4,DA$4&lt;=Projects!$C$23+Projects!$D$23-1),Projects!$B$23/Projects!$D$23,"")</f>
        <v/>
      </c>
      <c r="DB29" s="194" t="str">
        <f aca="false">IF(AND(Projects!$C$23&lt;=DB$4,DB$4&lt;=Projects!$C$23+Projects!$D$23-1),Projects!$B$23/Projects!$D$23,"")</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Projects!$B$24/Projects!$D$24</f>
        <v>947368.421052632</v>
      </c>
      <c r="G30" s="194" t="str">
        <f aca="false">IF(AND(Projects!$C$24&lt;=G$4,G$4&lt;=Projects!$C$24+Projects!$D$24-1),Projects!$B$24/Projects!$D$24,"")</f>
        <v/>
      </c>
      <c r="H30" s="194" t="str">
        <f aca="false">IF(AND(Projects!$C$24&lt;=H$4,H$4&lt;=Projects!$C$24+Projects!$D$24-1),Projects!$B$24/Projects!$D$24,"")</f>
        <v/>
      </c>
      <c r="I30" s="194" t="str">
        <f aca="false">IF(AND(Projects!$C$24&lt;=I$4,I$4&lt;=Projects!$C$24+Projects!$D$24-1),Projects!$B$24/Projects!$D$24,"")</f>
        <v/>
      </c>
      <c r="J30" s="194" t="str">
        <f aca="false">IF(AND(Projects!$C$24&lt;=J$4,J$4&lt;=Projects!$C$24+Projects!$D$24-1),Projects!$B$24/Projects!$D$24,"")</f>
        <v/>
      </c>
      <c r="K30" s="194" t="str">
        <f aca="false">IF(AND(Projects!$C$24&lt;=K$4,K$4&lt;=Projects!$C$24+Projects!$D$24-1),Projects!$B$24/Projects!$D$24,"")</f>
        <v/>
      </c>
      <c r="L30" s="194" t="str">
        <f aca="false">IF(AND(Projects!$C$24&lt;=L$4,L$4&lt;=Projects!$C$24+Projects!$D$24-1),Projects!$B$24/Projects!$D$24,"")</f>
        <v/>
      </c>
      <c r="M30" s="194" t="str">
        <f aca="false">IF(AND(Projects!$C$24&lt;=M$4,M$4&lt;=Projects!$C$24+Projects!$D$24-1),Projects!$B$24/Projects!$D$24,"")</f>
        <v/>
      </c>
      <c r="N30" s="194" t="str">
        <f aca="false">IF(AND(Projects!$C$24&lt;=N$4,N$4&lt;=Projects!$C$24+Projects!$D$24-1),Projects!$B$24/Projects!$D$24,"")</f>
        <v/>
      </c>
      <c r="O30" s="194" t="str">
        <f aca="false">IF(AND(Projects!$C$24&lt;=O$4,O$4&lt;=Projects!$C$24+Projects!$D$24-1),Projects!$B$24/Projects!$D$24,"")</f>
        <v/>
      </c>
      <c r="P30" s="194" t="str">
        <f aca="false">IF(AND(Projects!$C$24&lt;=P$4,P$4&lt;=Projects!$C$24+Projects!$D$24-1),Projects!$B$24/Projects!$D$24,"")</f>
        <v/>
      </c>
      <c r="Q30" s="194" t="str">
        <f aca="false">IF(AND(Projects!$C$24&lt;=Q$4,Q$4&lt;=Projects!$C$24+Projects!$D$24-1),Projects!$B$24/Projects!$D$24,"")</f>
        <v/>
      </c>
      <c r="R30" s="194" t="str">
        <f aca="false">IF(AND(Projects!$C$24&lt;=R$4,R$4&lt;=Projects!$C$24+Projects!$D$24-1),Projects!$B$24/Projects!$D$24,"")</f>
        <v/>
      </c>
      <c r="S30" s="194" t="str">
        <f aca="false">IF(AND(Projects!$C$24&lt;=S$4,S$4&lt;=Projects!$C$24+Projects!$D$24-1),Projects!$B$24/Projects!$D$24,"")</f>
        <v/>
      </c>
      <c r="T30" s="194" t="str">
        <f aca="false">IF(AND(Projects!$C$24&lt;=T$4,T$4&lt;=Projects!$C$24+Projects!$D$24-1),Projects!$B$24/Projects!$D$24,"")</f>
        <v/>
      </c>
      <c r="U30" s="194" t="str">
        <f aca="false">IF(AND(Projects!$C$24&lt;=U$4,U$4&lt;=Projects!$C$24+Projects!$D$24-1),Projects!$B$24/Projects!$D$24,"")</f>
        <v/>
      </c>
      <c r="V30" s="194" t="str">
        <f aca="false">IF(AND(Projects!$C$24&lt;=V$4,V$4&lt;=Projects!$C$24+Projects!$D$24-1),Projects!$B$24/Projects!$D$24,"")</f>
        <v/>
      </c>
      <c r="W30" s="194" t="str">
        <f aca="false">IF(AND(Projects!$C$24&lt;=W$4,W$4&lt;=Projects!$C$24+Projects!$D$24-1),Projects!$B$24/Projects!$D$24,"")</f>
        <v/>
      </c>
      <c r="X30" s="194" t="str">
        <f aca="false">IF(AND(Projects!$C$24&lt;=X$4,X$4&lt;=Projects!$C$24+Projects!$D$24-1),Projects!$B$24/Projects!$D$24,"")</f>
        <v/>
      </c>
      <c r="Y30" s="194" t="str">
        <f aca="false">IF(AND(Projects!$C$24&lt;=Y$4,Y$4&lt;=Projects!$C$24+Projects!$D$24-1),Projects!$B$24/Projects!$D$24,"")</f>
        <v/>
      </c>
      <c r="Z30" s="194" t="str">
        <f aca="false">IF(AND(Projects!$C$24&lt;=Z$4,Z$4&lt;=Projects!$C$24+Projects!$D$24-1),Projects!$B$24/Projects!$D$24,"")</f>
        <v/>
      </c>
      <c r="AA30" s="194" t="str">
        <f aca="false">IF(AND(Projects!$C$24&lt;=AA$4,AA$4&lt;=Projects!$C$24+Projects!$D$24-1),Projects!$B$24/Projects!$D$24,"")</f>
        <v/>
      </c>
      <c r="AB30" s="194" t="str">
        <f aca="false">IF(AND(Projects!$C$24&lt;=AB$4,AB$4&lt;=Projects!$C$24+Projects!$D$24-1),Projects!$B$24/Projects!$D$24,"")</f>
        <v/>
      </c>
      <c r="AC30" s="194" t="str">
        <f aca="false">IF(AND(Projects!$C$24&lt;=AC$4,AC$4&lt;=Projects!$C$24+Projects!$D$24-1),Projects!$B$24/Projects!$D$24,"")</f>
        <v/>
      </c>
      <c r="AD30" s="194" t="str">
        <f aca="false">IF(AND(Projects!$C$24&lt;=AD$4,AD$4&lt;=Projects!$C$24+Projects!$D$24-1),Projects!$B$24/Projects!$D$24,"")</f>
        <v/>
      </c>
      <c r="AE30" s="194" t="str">
        <f aca="false">IF(AND(Projects!$C$24&lt;=AE$4,AE$4&lt;=Projects!$C$24+Projects!$D$24-1),Projects!$B$24/Projects!$D$24,"")</f>
        <v/>
      </c>
      <c r="AF30" s="194" t="str">
        <f aca="false">IF(AND(Projects!$C$24&lt;=AF$4,AF$4&lt;=Projects!$C$24+Projects!$D$24-1),Projects!$B$24/Projects!$D$24,"")</f>
        <v/>
      </c>
      <c r="AG30" s="194" t="str">
        <f aca="false">IF(AND(Projects!$C$24&lt;=AG$4,AG$4&lt;=Projects!$C$24+Projects!$D$24-1),Projects!$B$24/Projects!$D$24,"")</f>
        <v/>
      </c>
      <c r="AH30" s="194" t="str">
        <f aca="false">IF(AND(Projects!$C$24&lt;=AH$4,AH$4&lt;=Projects!$C$24+Projects!$D$24-1),Projects!$B$24/Projects!$D$24,"")</f>
        <v/>
      </c>
      <c r="AI30" s="194" t="str">
        <f aca="false">IF(AND(Projects!$C$24&lt;=AI$4,AI$4&lt;=Projects!$C$24+Projects!$D$24-1),Projects!$B$24/Projects!$D$24,"")</f>
        <v/>
      </c>
      <c r="AJ30" s="194" t="str">
        <f aca="false">IF(AND(Projects!$C$24&lt;=AJ$4,AJ$4&lt;=Projects!$C$24+Projects!$D$24-1),Projects!$B$24/Projects!$D$24,"")</f>
        <v/>
      </c>
      <c r="AK30" s="194" t="str">
        <f aca="false">IF(AND(Projects!$C$24&lt;=AK$4,AK$4&lt;=Projects!$C$24+Projects!$D$24-1),Projects!$B$24/Projects!$D$24,"")</f>
        <v/>
      </c>
      <c r="AL30" s="194" t="str">
        <f aca="false">IF(AND(Projects!$C$24&lt;=AL$4,AL$4&lt;=Projects!$C$24+Projects!$D$24-1),Projects!$B$24/Projects!$D$24,"")</f>
        <v/>
      </c>
      <c r="AM30" s="194" t="str">
        <f aca="false">IF(AND(Projects!$C$24&lt;=AM$4,AM$4&lt;=Projects!$C$24+Projects!$D$24-1),Projects!$B$24/Projects!$D$24,"")</f>
        <v/>
      </c>
      <c r="AN30" s="194" t="str">
        <f aca="false">IF(AND(Projects!$C$24&lt;=AN$4,AN$4&lt;=Projects!$C$24+Projects!$D$24-1),Projects!$B$24/Projects!$D$24,"")</f>
        <v/>
      </c>
      <c r="AO30" s="194" t="str">
        <f aca="false">IF(AND(Projects!$C$24&lt;=AO$4,AO$4&lt;=Projects!$C$24+Projects!$D$24-1),Projects!$B$24/Projects!$D$24,"")</f>
        <v/>
      </c>
      <c r="AP30" s="194" t="str">
        <f aca="false">IF(AND(Projects!$C$24&lt;=AP$4,AP$4&lt;=Projects!$C$24+Projects!$D$24-1),Projects!$B$24/Projects!$D$24,"")</f>
        <v/>
      </c>
      <c r="AQ30" s="194" t="n">
        <f aca="false">IF(AND(Projects!$C$24&lt;=AQ$4,AQ$4&lt;=Projects!$C$24+Projects!$D$24-1),Projects!$B$24/Projects!$D$24,"")</f>
        <v>947368.421052632</v>
      </c>
      <c r="AR30" s="194" t="n">
        <f aca="false">IF(AND(Projects!$C$24&lt;=AR$4,AR$4&lt;=Projects!$C$24+Projects!$D$24-1),Projects!$B$24/Projects!$D$24,"")</f>
        <v>947368.421052632</v>
      </c>
      <c r="AS30" s="194" t="n">
        <f aca="false">IF(AND(Projects!$C$24&lt;=AS$4,AS$4&lt;=Projects!$C$24+Projects!$D$24-1),Projects!$B$24/Projects!$D$24,"")</f>
        <v>947368.421052632</v>
      </c>
      <c r="AT30" s="194" t="n">
        <f aca="false">IF(AND(Projects!$C$24&lt;=AT$4,AT$4&lt;=Projects!$C$24+Projects!$D$24-1),Projects!$B$24/Projects!$D$24,"")</f>
        <v>947368.421052632</v>
      </c>
      <c r="AU30" s="194" t="n">
        <f aca="false">IF(AND(Projects!$C$24&lt;=AU$4,AU$4&lt;=Projects!$C$24+Projects!$D$24-1),Projects!$B$24/Projects!$D$24,"")</f>
        <v>947368.421052632</v>
      </c>
      <c r="AV30" s="194" t="n">
        <f aca="false">IF(AND(Projects!$C$24&lt;=AV$4,AV$4&lt;=Projects!$C$24+Projects!$D$24-1),Projects!$B$24/Projects!$D$24,"")</f>
        <v>947368.421052632</v>
      </c>
      <c r="AW30" s="194" t="n">
        <f aca="false">IF(AND(Projects!$C$24&lt;=AW$4,AW$4&lt;=Projects!$C$24+Projects!$D$24-1),Projects!$B$24/Projects!$D$24,"")</f>
        <v>947368.421052632</v>
      </c>
      <c r="AX30" s="194" t="n">
        <f aca="false">IF(AND(Projects!$C$24&lt;=AX$4,AX$4&lt;=Projects!$C$24+Projects!$D$24-1),Projects!$B$24/Projects!$D$24,"")</f>
        <v>947368.421052632</v>
      </c>
      <c r="AY30" s="194" t="n">
        <f aca="false">IF(AND(Projects!$C$24&lt;=AY$4,AY$4&lt;=Projects!$C$24+Projects!$D$24-1),Projects!$B$24/Projects!$D$24,"")</f>
        <v>947368.421052632</v>
      </c>
      <c r="AZ30" s="194" t="n">
        <f aca="false">IF(AND(Projects!$C$24&lt;=AZ$4,AZ$4&lt;=Projects!$C$24+Projects!$D$24-1),Projects!$B$24/Projects!$D$24,"")</f>
        <v>947368.421052632</v>
      </c>
      <c r="BA30" s="194" t="n">
        <f aca="false">IF(AND(Projects!$C$24&lt;=BA$4,BA$4&lt;=Projects!$C$24+Projects!$D$24-1),Projects!$B$24/Projects!$D$24,"")</f>
        <v>947368.421052632</v>
      </c>
      <c r="BB30" s="194" t="n">
        <f aca="false">IF(AND(Projects!$C$24&lt;=BB$4,BB$4&lt;=Projects!$C$24+Projects!$D$24-1),Projects!$B$24/Projects!$D$24,"")</f>
        <v>947368.421052632</v>
      </c>
      <c r="BC30" s="194" t="n">
        <f aca="false">IF(AND(Projects!$C$24&lt;=BC$4,BC$4&lt;=Projects!$C$24+Projects!$D$24-1),Projects!$B$24/Projects!$D$24,"")</f>
        <v>947368.421052632</v>
      </c>
      <c r="BD30" s="194" t="n">
        <f aca="false">IF(AND(Projects!$C$24&lt;=BD$4,BD$4&lt;=Projects!$C$24+Projects!$D$24-1),Projects!$B$24/Projects!$D$24,"")</f>
        <v>947368.421052632</v>
      </c>
      <c r="BE30" s="194" t="n">
        <f aca="false">IF(AND(Projects!$C$24&lt;=BE$4,BE$4&lt;=Projects!$C$24+Projects!$D$24-1),Projects!$B$24/Projects!$D$24,"")</f>
        <v>947368.421052632</v>
      </c>
      <c r="BF30" s="194" t="n">
        <f aca="false">IF(AND(Projects!$C$24&lt;=BF$4,BF$4&lt;=Projects!$C$24+Projects!$D$24-1),Projects!$B$24/Projects!$D$24,"")</f>
        <v>947368.421052632</v>
      </c>
      <c r="BG30" s="194" t="n">
        <f aca="false">IF(AND(Projects!$C$24&lt;=BG$4,BG$4&lt;=Projects!$C$24+Projects!$D$24-1),Projects!$B$24/Projects!$D$24,"")</f>
        <v>947368.421052632</v>
      </c>
      <c r="BH30" s="194" t="n">
        <f aca="false">IF(AND(Projects!$C$24&lt;=BH$4,BH$4&lt;=Projects!$C$24+Projects!$D$24-1),Projects!$B$24/Projects!$D$24,"")</f>
        <v>947368.421052632</v>
      </c>
      <c r="BI30" s="194" t="n">
        <f aca="false">IF(AND(Projects!$C$24&lt;=BI$4,BI$4&lt;=Projects!$C$24+Projects!$D$24-1),Projects!$B$24/Projects!$D$24,"")</f>
        <v>947368.421052632</v>
      </c>
      <c r="BJ30" s="194" t="str">
        <f aca="false">IF(AND(Projects!$C$24&lt;=BJ$4,BJ$4&lt;=Projects!$C$24+Projects!$D$24-1),Projects!$B$24/Projects!$D$24,"")</f>
        <v/>
      </c>
      <c r="BK30" s="194" t="str">
        <f aca="false">IF(AND(Projects!$C$24&lt;=BK$4,BK$4&lt;=Projects!$C$24+Projects!$D$24-1),Projects!$B$24/Projects!$D$24,"")</f>
        <v/>
      </c>
      <c r="BL30" s="194" t="str">
        <f aca="false">IF(AND(Projects!$C$24&lt;=BL$4,BL$4&lt;=Projects!$C$24+Projects!$D$24-1),Projects!$B$24/Projects!$D$24,"")</f>
        <v/>
      </c>
      <c r="BM30" s="194" t="str">
        <f aca="false">IF(AND(Projects!$C$24&lt;=BM$4,BM$4&lt;=Projects!$C$24+Projects!$D$24-1),Projects!$B$24/Projects!$D$24,"")</f>
        <v/>
      </c>
      <c r="BN30" s="194" t="str">
        <f aca="false">IF(AND(Projects!$C$24&lt;=BN$4,BN$4&lt;=Projects!$C$24+Projects!$D$24-1),Projects!$B$24/Projects!$D$24,"")</f>
        <v/>
      </c>
      <c r="BO30" s="194" t="str">
        <f aca="false">IF(AND(Projects!$C$24&lt;=BO$4,BO$4&lt;=Projects!$C$24+Projects!$D$24-1),Projects!$B$24/Projects!$D$24,"")</f>
        <v/>
      </c>
      <c r="BP30" s="194" t="str">
        <f aca="false">IF(AND(Projects!$C$24&lt;=BP$4,BP$4&lt;=Projects!$C$24+Projects!$D$24-1),Projects!$B$24/Projects!$D$24,"")</f>
        <v/>
      </c>
      <c r="BQ30" s="194" t="str">
        <f aca="false">IF(AND(Projects!$C$24&lt;=BQ$4,BQ$4&lt;=Projects!$C$24+Projects!$D$24-1),Projects!$B$24/Projects!$D$24,"")</f>
        <v/>
      </c>
      <c r="BR30" s="194" t="str">
        <f aca="false">IF(AND(Projects!$C$24&lt;=BR$4,BR$4&lt;=Projects!$C$24+Projects!$D$24-1),Projects!$B$24/Projects!$D$24,"")</f>
        <v/>
      </c>
      <c r="BS30" s="194" t="str">
        <f aca="false">IF(AND(Projects!$C$24&lt;=BS$4,BS$4&lt;=Projects!$C$24+Projects!$D$24-1),Projects!$B$24/Projects!$D$24,"")</f>
        <v/>
      </c>
      <c r="BT30" s="194" t="str">
        <f aca="false">IF(AND(Projects!$C$24&lt;=BT$4,BT$4&lt;=Projects!$C$24+Projects!$D$24-1),Projects!$B$24/Projects!$D$24,"")</f>
        <v/>
      </c>
      <c r="BU30" s="194" t="str">
        <f aca="false">IF(AND(Projects!$C$24&lt;=BU$4,BU$4&lt;=Projects!$C$24+Projects!$D$24-1),Projects!$B$24/Projects!$D$24,"")</f>
        <v/>
      </c>
      <c r="BV30" s="194" t="str">
        <f aca="false">IF(AND(Projects!$C$24&lt;=BV$4,BV$4&lt;=Projects!$C$24+Projects!$D$24-1),Projects!$B$24/Projects!$D$24,"")</f>
        <v/>
      </c>
      <c r="BW30" s="194" t="str">
        <f aca="false">IF(AND(Projects!$C$24&lt;=BW$4,BW$4&lt;=Projects!$C$24+Projects!$D$24-1),Projects!$B$24/Projects!$D$24,"")</f>
        <v/>
      </c>
      <c r="BX30" s="194" t="str">
        <f aca="false">IF(AND(Projects!$C$24&lt;=BX$4,BX$4&lt;=Projects!$C$24+Projects!$D$24-1),Projects!$B$24/Projects!$D$24,"")</f>
        <v/>
      </c>
      <c r="BY30" s="194" t="str">
        <f aca="false">IF(AND(Projects!$C$24&lt;=BY$4,BY$4&lt;=Projects!$C$24+Projects!$D$24-1),Projects!$B$24/Projects!$D$24,"")</f>
        <v/>
      </c>
      <c r="BZ30" s="194" t="str">
        <f aca="false">IF(AND(Projects!$C$24&lt;=BZ$4,BZ$4&lt;=Projects!$C$24+Projects!$D$24-1),Projects!$B$24/Projects!$D$24,"")</f>
        <v/>
      </c>
      <c r="CA30" s="194" t="str">
        <f aca="false">IF(AND(Projects!$C$24&lt;=CA$4,CA$4&lt;=Projects!$C$24+Projects!$D$24-1),Projects!$B$24/Projects!$D$24,"")</f>
        <v/>
      </c>
      <c r="CB30" s="194" t="str">
        <f aca="false">IF(AND(Projects!$C$24&lt;=CB$4,CB$4&lt;=Projects!$C$24+Projects!$D$24-1),Projects!$B$24/Projects!$D$24,"")</f>
        <v/>
      </c>
      <c r="CC30" s="194" t="str">
        <f aca="false">IF(AND(Projects!$C$24&lt;=CC$4,CC$4&lt;=Projects!$C$24+Projects!$D$24-1),Projects!$B$24/Projects!$D$24,"")</f>
        <v/>
      </c>
      <c r="CD30" s="194" t="str">
        <f aca="false">IF(AND(Projects!$C$24&lt;=CD$4,CD$4&lt;=Projects!$C$24+Projects!$D$24-1),Projects!$B$24/Projects!$D$24,"")</f>
        <v/>
      </c>
      <c r="CE30" s="194" t="str">
        <f aca="false">IF(AND(Projects!$C$24&lt;=CE$4,CE$4&lt;=Projects!$C$24+Projects!$D$24-1),Projects!$B$24/Projects!$D$24,"")</f>
        <v/>
      </c>
      <c r="CF30" s="194" t="str">
        <f aca="false">IF(AND(Projects!$C$24&lt;=CF$4,CF$4&lt;=Projects!$C$24+Projects!$D$24-1),Projects!$B$24/Projects!$D$24,"")</f>
        <v/>
      </c>
      <c r="CG30" s="194" t="str">
        <f aca="false">IF(AND(Projects!$C$24&lt;=CG$4,CG$4&lt;=Projects!$C$24+Projects!$D$24-1),Projects!$B$24/Projects!$D$24,"")</f>
        <v/>
      </c>
      <c r="CH30" s="194" t="str">
        <f aca="false">IF(AND(Projects!$C$24&lt;=CH$4,CH$4&lt;=Projects!$C$24+Projects!$D$24-1),Projects!$B$24/Projects!$D$24,"")</f>
        <v/>
      </c>
      <c r="CI30" s="194" t="str">
        <f aca="false">IF(AND(Projects!$C$24&lt;=CI$4,CI$4&lt;=Projects!$C$24+Projects!$D$24-1),Projects!$B$24/Projects!$D$24,"")</f>
        <v/>
      </c>
      <c r="CJ30" s="194" t="str">
        <f aca="false">IF(AND(Projects!$C$24&lt;=CJ$4,CJ$4&lt;=Projects!$C$24+Projects!$D$24-1),Projects!$B$24/Projects!$D$24,"")</f>
        <v/>
      </c>
      <c r="CK30" s="194" t="str">
        <f aca="false">IF(AND(Projects!$C$24&lt;=CK$4,CK$4&lt;=Projects!$C$24+Projects!$D$24-1),Projects!$B$24/Projects!$D$24,"")</f>
        <v/>
      </c>
      <c r="CL30" s="194" t="str">
        <f aca="false">IF(AND(Projects!$C$24&lt;=CL$4,CL$4&lt;=Projects!$C$24+Projects!$D$24-1),Projects!$B$24/Projects!$D$24,"")</f>
        <v/>
      </c>
      <c r="CM30" s="194" t="str">
        <f aca="false">IF(AND(Projects!$C$24&lt;=CM$4,CM$4&lt;=Projects!$C$24+Projects!$D$24-1),Projects!$B$24/Projects!$D$24,"")</f>
        <v/>
      </c>
      <c r="CN30" s="194" t="str">
        <f aca="false">IF(AND(Projects!$C$24&lt;=CN$4,CN$4&lt;=Projects!$C$24+Projects!$D$24-1),Projects!$B$24/Projects!$D$24,"")</f>
        <v/>
      </c>
      <c r="CO30" s="194" t="str">
        <f aca="false">IF(AND(Projects!$C$24&lt;=CO$4,CO$4&lt;=Projects!$C$24+Projects!$D$24-1),Projects!$B$24/Projects!$D$24,"")</f>
        <v/>
      </c>
      <c r="CP30" s="194" t="str">
        <f aca="false">IF(AND(Projects!$C$24&lt;=CP$4,CP$4&lt;=Projects!$C$24+Projects!$D$24-1),Projects!$B$24/Projects!$D$24,"")</f>
        <v/>
      </c>
      <c r="CQ30" s="194" t="str">
        <f aca="false">IF(AND(Projects!$C$24&lt;=CQ$4,CQ$4&lt;=Projects!$C$24+Projects!$D$24-1),Projects!$B$24/Projects!$D$24,"")</f>
        <v/>
      </c>
      <c r="CR30" s="194" t="str">
        <f aca="false">IF(AND(Projects!$C$24&lt;=CR$4,CR$4&lt;=Projects!$C$24+Projects!$D$24-1),Projects!$B$24/Projects!$D$24,"")</f>
        <v/>
      </c>
      <c r="CS30" s="194" t="str">
        <f aca="false">IF(AND(Projects!$C$24&lt;=CS$4,CS$4&lt;=Projects!$C$24+Projects!$D$24-1),Projects!$B$24/Projects!$D$24,"")</f>
        <v/>
      </c>
      <c r="CT30" s="194" t="str">
        <f aca="false">IF(AND(Projects!$C$24&lt;=CT$4,CT$4&lt;=Projects!$C$24+Projects!$D$24-1),Projects!$B$24/Projects!$D$24,"")</f>
        <v/>
      </c>
      <c r="CU30" s="194" t="str">
        <f aca="false">IF(AND(Projects!$C$24&lt;=CU$4,CU$4&lt;=Projects!$C$24+Projects!$D$24-1),Projects!$B$24/Projects!$D$24,"")</f>
        <v/>
      </c>
      <c r="CV30" s="194" t="str">
        <f aca="false">IF(AND(Projects!$C$24&lt;=CV$4,CV$4&lt;=Projects!$C$24+Projects!$D$24-1),Projects!$B$24/Projects!$D$24,"")</f>
        <v/>
      </c>
      <c r="CW30" s="194" t="str">
        <f aca="false">IF(AND(Projects!$C$24&lt;=CW$4,CW$4&lt;=Projects!$C$24+Projects!$D$24-1),Projects!$B$24/Projects!$D$24,"")</f>
        <v/>
      </c>
      <c r="CX30" s="194" t="str">
        <f aca="false">IF(AND(Projects!$C$24&lt;=CX$4,CX$4&lt;=Projects!$C$24+Projects!$D$24-1),Projects!$B$24/Projects!$D$24,"")</f>
        <v/>
      </c>
      <c r="CY30" s="194" t="str">
        <f aca="false">IF(AND(Projects!$C$24&lt;=CY$4,CY$4&lt;=Projects!$C$24+Projects!$D$24-1),Projects!$B$24/Projects!$D$24,"")</f>
        <v/>
      </c>
      <c r="CZ30" s="194" t="str">
        <f aca="false">IF(AND(Projects!$C$24&lt;=CZ$4,CZ$4&lt;=Projects!$C$24+Projects!$D$24-1),Projects!$B$24/Projects!$D$24,"")</f>
        <v/>
      </c>
      <c r="DA30" s="194" t="str">
        <f aca="false">IF(AND(Projects!$C$24&lt;=DA$4,DA$4&lt;=Projects!$C$24+Projects!$D$24-1),Projects!$B$24/Projects!$D$24,"")</f>
        <v/>
      </c>
      <c r="DB30" s="194" t="str">
        <f aca="false">IF(AND(Projects!$C$24&lt;=DB$4,DB$4&lt;=Projects!$C$24+Projects!$D$24-1),Projects!$B$24/Projects!$D$24,"")</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Projects!$B$25/Projects!$D$25</f>
        <v>947368.421052632</v>
      </c>
      <c r="G31" s="194" t="str">
        <f aca="false">IF(AND(Projects!$C$25&lt;=G$4,G$4&lt;=Projects!$C$25+Projects!$D$25-1),Projects!$B$25/Projects!$D$25,"")</f>
        <v/>
      </c>
      <c r="H31" s="194" t="str">
        <f aca="false">IF(AND(Projects!$C$25&lt;=H$4,H$4&lt;=Projects!$C$25+Projects!$D$25-1),Projects!$B$25/Projects!$D$25,"")</f>
        <v/>
      </c>
      <c r="I31" s="194" t="str">
        <f aca="false">IF(AND(Projects!$C$25&lt;=I$4,I$4&lt;=Projects!$C$25+Projects!$D$25-1),Projects!$B$25/Projects!$D$25,"")</f>
        <v/>
      </c>
      <c r="J31" s="194" t="str">
        <f aca="false">IF(AND(Projects!$C$25&lt;=J$4,J$4&lt;=Projects!$C$25+Projects!$D$25-1),Projects!$B$25/Projects!$D$25,"")</f>
        <v/>
      </c>
      <c r="K31" s="194" t="str">
        <f aca="false">IF(AND(Projects!$C$25&lt;=K$4,K$4&lt;=Projects!$C$25+Projects!$D$25-1),Projects!$B$25/Projects!$D$25,"")</f>
        <v/>
      </c>
      <c r="L31" s="194" t="str">
        <f aca="false">IF(AND(Projects!$C$25&lt;=L$4,L$4&lt;=Projects!$C$25+Projects!$D$25-1),Projects!$B$25/Projects!$D$25,"")</f>
        <v/>
      </c>
      <c r="M31" s="194" t="str">
        <f aca="false">IF(AND(Projects!$C$25&lt;=M$4,M$4&lt;=Projects!$C$25+Projects!$D$25-1),Projects!$B$25/Projects!$D$25,"")</f>
        <v/>
      </c>
      <c r="N31" s="194" t="str">
        <f aca="false">IF(AND(Projects!$C$25&lt;=N$4,N$4&lt;=Projects!$C$25+Projects!$D$25-1),Projects!$B$25/Projects!$D$25,"")</f>
        <v/>
      </c>
      <c r="O31" s="194" t="str">
        <f aca="false">IF(AND(Projects!$C$25&lt;=O$4,O$4&lt;=Projects!$C$25+Projects!$D$25-1),Projects!$B$25/Projects!$D$25,"")</f>
        <v/>
      </c>
      <c r="P31" s="194" t="str">
        <f aca="false">IF(AND(Projects!$C$25&lt;=P$4,P$4&lt;=Projects!$C$25+Projects!$D$25-1),Projects!$B$25/Projects!$D$25,"")</f>
        <v/>
      </c>
      <c r="Q31" s="194" t="str">
        <f aca="false">IF(AND(Projects!$C$25&lt;=Q$4,Q$4&lt;=Projects!$C$25+Projects!$D$25-1),Projects!$B$25/Projects!$D$25,"")</f>
        <v/>
      </c>
      <c r="R31" s="194" t="str">
        <f aca="false">IF(AND(Projects!$C$25&lt;=R$4,R$4&lt;=Projects!$C$25+Projects!$D$25-1),Projects!$B$25/Projects!$D$25,"")</f>
        <v/>
      </c>
      <c r="S31" s="194" t="str">
        <f aca="false">IF(AND(Projects!$C$25&lt;=S$4,S$4&lt;=Projects!$C$25+Projects!$D$25-1),Projects!$B$25/Projects!$D$25,"")</f>
        <v/>
      </c>
      <c r="T31" s="194" t="str">
        <f aca="false">IF(AND(Projects!$C$25&lt;=T$4,T$4&lt;=Projects!$C$25+Projects!$D$25-1),Projects!$B$25/Projects!$D$25,"")</f>
        <v/>
      </c>
      <c r="U31" s="194" t="str">
        <f aca="false">IF(AND(Projects!$C$25&lt;=U$4,U$4&lt;=Projects!$C$25+Projects!$D$25-1),Projects!$B$25/Projects!$D$25,"")</f>
        <v/>
      </c>
      <c r="V31" s="194" t="str">
        <f aca="false">IF(AND(Projects!$C$25&lt;=V$4,V$4&lt;=Projects!$C$25+Projects!$D$25-1),Projects!$B$25/Projects!$D$25,"")</f>
        <v/>
      </c>
      <c r="W31" s="194" t="str">
        <f aca="false">IF(AND(Projects!$C$25&lt;=W$4,W$4&lt;=Projects!$C$25+Projects!$D$25-1),Projects!$B$25/Projects!$D$25,"")</f>
        <v/>
      </c>
      <c r="X31" s="194" t="str">
        <f aca="false">IF(AND(Projects!$C$25&lt;=X$4,X$4&lt;=Projects!$C$25+Projects!$D$25-1),Projects!$B$25/Projects!$D$25,"")</f>
        <v/>
      </c>
      <c r="Y31" s="194" t="str">
        <f aca="false">IF(AND(Projects!$C$25&lt;=Y$4,Y$4&lt;=Projects!$C$25+Projects!$D$25-1),Projects!$B$25/Projects!$D$25,"")</f>
        <v/>
      </c>
      <c r="Z31" s="194" t="str">
        <f aca="false">IF(AND(Projects!$C$25&lt;=Z$4,Z$4&lt;=Projects!$C$25+Projects!$D$25-1),Projects!$B$25/Projects!$D$25,"")</f>
        <v/>
      </c>
      <c r="AA31" s="194" t="str">
        <f aca="false">IF(AND(Projects!$C$25&lt;=AA$4,AA$4&lt;=Projects!$C$25+Projects!$D$25-1),Projects!$B$25/Projects!$D$25,"")</f>
        <v/>
      </c>
      <c r="AB31" s="194" t="str">
        <f aca="false">IF(AND(Projects!$C$25&lt;=AB$4,AB$4&lt;=Projects!$C$25+Projects!$D$25-1),Projects!$B$25/Projects!$D$25,"")</f>
        <v/>
      </c>
      <c r="AC31" s="194" t="str">
        <f aca="false">IF(AND(Projects!$C$25&lt;=AC$4,AC$4&lt;=Projects!$C$25+Projects!$D$25-1),Projects!$B$25/Projects!$D$25,"")</f>
        <v/>
      </c>
      <c r="AD31" s="194" t="str">
        <f aca="false">IF(AND(Projects!$C$25&lt;=AD$4,AD$4&lt;=Projects!$C$25+Projects!$D$25-1),Projects!$B$25/Projects!$D$25,"")</f>
        <v/>
      </c>
      <c r="AE31" s="194" t="str">
        <f aca="false">IF(AND(Projects!$C$25&lt;=AE$4,AE$4&lt;=Projects!$C$25+Projects!$D$25-1),Projects!$B$25/Projects!$D$25,"")</f>
        <v/>
      </c>
      <c r="AF31" s="194" t="str">
        <f aca="false">IF(AND(Projects!$C$25&lt;=AF$4,AF$4&lt;=Projects!$C$25+Projects!$D$25-1),Projects!$B$25/Projects!$D$25,"")</f>
        <v/>
      </c>
      <c r="AG31" s="194" t="str">
        <f aca="false">IF(AND(Projects!$C$25&lt;=AG$4,AG$4&lt;=Projects!$C$25+Projects!$D$25-1),Projects!$B$25/Projects!$D$25,"")</f>
        <v/>
      </c>
      <c r="AH31" s="194" t="str">
        <f aca="false">IF(AND(Projects!$C$25&lt;=AH$4,AH$4&lt;=Projects!$C$25+Projects!$D$25-1),Projects!$B$25/Projects!$D$25,"")</f>
        <v/>
      </c>
      <c r="AI31" s="194" t="str">
        <f aca="false">IF(AND(Projects!$C$25&lt;=AI$4,AI$4&lt;=Projects!$C$25+Projects!$D$25-1),Projects!$B$25/Projects!$D$25,"")</f>
        <v/>
      </c>
      <c r="AJ31" s="194" t="str">
        <f aca="false">IF(AND(Projects!$C$25&lt;=AJ$4,AJ$4&lt;=Projects!$C$25+Projects!$D$25-1),Projects!$B$25/Projects!$D$25,"")</f>
        <v/>
      </c>
      <c r="AK31" s="194" t="str">
        <f aca="false">IF(AND(Projects!$C$25&lt;=AK$4,AK$4&lt;=Projects!$C$25+Projects!$D$25-1),Projects!$B$25/Projects!$D$25,"")</f>
        <v/>
      </c>
      <c r="AL31" s="194" t="str">
        <f aca="false">IF(AND(Projects!$C$25&lt;=AL$4,AL$4&lt;=Projects!$C$25+Projects!$D$25-1),Projects!$B$25/Projects!$D$25,"")</f>
        <v/>
      </c>
      <c r="AM31" s="194" t="str">
        <f aca="false">IF(AND(Projects!$C$25&lt;=AM$4,AM$4&lt;=Projects!$C$25+Projects!$D$25-1),Projects!$B$25/Projects!$D$25,"")</f>
        <v/>
      </c>
      <c r="AN31" s="194" t="str">
        <f aca="false">IF(AND(Projects!$C$25&lt;=AN$4,AN$4&lt;=Projects!$C$25+Projects!$D$25-1),Projects!$B$25/Projects!$D$25,"")</f>
        <v/>
      </c>
      <c r="AO31" s="194" t="str">
        <f aca="false">IF(AND(Projects!$C$25&lt;=AO$4,AO$4&lt;=Projects!$C$25+Projects!$D$25-1),Projects!$B$25/Projects!$D$25,"")</f>
        <v/>
      </c>
      <c r="AP31" s="194" t="str">
        <f aca="false">IF(AND(Projects!$C$25&lt;=AP$4,AP$4&lt;=Projects!$C$25+Projects!$D$25-1),Projects!$B$25/Projects!$D$25,"")</f>
        <v/>
      </c>
      <c r="AQ31" s="194" t="str">
        <f aca="false">IF(AND(Projects!$C$25&lt;=AQ$4,AQ$4&lt;=Projects!$C$25+Projects!$D$25-1),Projects!$B$25/Projects!$D$25,"")</f>
        <v/>
      </c>
      <c r="AR31" s="194" t="str">
        <f aca="false">IF(AND(Projects!$C$25&lt;=AR$4,AR$4&lt;=Projects!$C$25+Projects!$D$25-1),Projects!$B$25/Projects!$D$25,"")</f>
        <v/>
      </c>
      <c r="AS31" s="194" t="str">
        <f aca="false">IF(AND(Projects!$C$25&lt;=AS$4,AS$4&lt;=Projects!$C$25+Projects!$D$25-1),Projects!$B$25/Projects!$D$25,"")</f>
        <v/>
      </c>
      <c r="AT31" s="194" t="n">
        <f aca="false">IF(AND(Projects!$C$25&lt;=AT$4,AT$4&lt;=Projects!$C$25+Projects!$D$25-1),Projects!$B$25/Projects!$D$25,"")</f>
        <v>947368.421052632</v>
      </c>
      <c r="AU31" s="194" t="n">
        <f aca="false">IF(AND(Projects!$C$25&lt;=AU$4,AU$4&lt;=Projects!$C$25+Projects!$D$25-1),Projects!$B$25/Projects!$D$25,"")</f>
        <v>947368.421052632</v>
      </c>
      <c r="AV31" s="194" t="n">
        <f aca="false">IF(AND(Projects!$C$25&lt;=AV$4,AV$4&lt;=Projects!$C$25+Projects!$D$25-1),Projects!$B$25/Projects!$D$25,"")</f>
        <v>947368.421052632</v>
      </c>
      <c r="AW31" s="194" t="n">
        <f aca="false">IF(AND(Projects!$C$25&lt;=AW$4,AW$4&lt;=Projects!$C$25+Projects!$D$25-1),Projects!$B$25/Projects!$D$25,"")</f>
        <v>947368.421052632</v>
      </c>
      <c r="AX31" s="194" t="n">
        <f aca="false">IF(AND(Projects!$C$25&lt;=AX$4,AX$4&lt;=Projects!$C$25+Projects!$D$25-1),Projects!$B$25/Projects!$D$25,"")</f>
        <v>947368.421052632</v>
      </c>
      <c r="AY31" s="194" t="n">
        <f aca="false">IF(AND(Projects!$C$25&lt;=AY$4,AY$4&lt;=Projects!$C$25+Projects!$D$25-1),Projects!$B$25/Projects!$D$25,"")</f>
        <v>947368.421052632</v>
      </c>
      <c r="AZ31" s="194" t="n">
        <f aca="false">IF(AND(Projects!$C$25&lt;=AZ$4,AZ$4&lt;=Projects!$C$25+Projects!$D$25-1),Projects!$B$25/Projects!$D$25,"")</f>
        <v>947368.421052632</v>
      </c>
      <c r="BA31" s="194" t="n">
        <f aca="false">IF(AND(Projects!$C$25&lt;=BA$4,BA$4&lt;=Projects!$C$25+Projects!$D$25-1),Projects!$B$25/Projects!$D$25,"")</f>
        <v>947368.421052632</v>
      </c>
      <c r="BB31" s="194" t="n">
        <f aca="false">IF(AND(Projects!$C$25&lt;=BB$4,BB$4&lt;=Projects!$C$25+Projects!$D$25-1),Projects!$B$25/Projects!$D$25,"")</f>
        <v>947368.421052632</v>
      </c>
      <c r="BC31" s="194" t="n">
        <f aca="false">IF(AND(Projects!$C$25&lt;=BC$4,BC$4&lt;=Projects!$C$25+Projects!$D$25-1),Projects!$B$25/Projects!$D$25,"")</f>
        <v>947368.421052632</v>
      </c>
      <c r="BD31" s="194" t="n">
        <f aca="false">IF(AND(Projects!$C$25&lt;=BD$4,BD$4&lt;=Projects!$C$25+Projects!$D$25-1),Projects!$B$25/Projects!$D$25,"")</f>
        <v>947368.421052632</v>
      </c>
      <c r="BE31" s="194" t="n">
        <f aca="false">IF(AND(Projects!$C$25&lt;=BE$4,BE$4&lt;=Projects!$C$25+Projects!$D$25-1),Projects!$B$25/Projects!$D$25,"")</f>
        <v>947368.421052632</v>
      </c>
      <c r="BF31" s="194" t="n">
        <f aca="false">IF(AND(Projects!$C$25&lt;=BF$4,BF$4&lt;=Projects!$C$25+Projects!$D$25-1),Projects!$B$25/Projects!$D$25,"")</f>
        <v>947368.421052632</v>
      </c>
      <c r="BG31" s="194" t="n">
        <f aca="false">IF(AND(Projects!$C$25&lt;=BG$4,BG$4&lt;=Projects!$C$25+Projects!$D$25-1),Projects!$B$25/Projects!$D$25,"")</f>
        <v>947368.421052632</v>
      </c>
      <c r="BH31" s="194" t="n">
        <f aca="false">IF(AND(Projects!$C$25&lt;=BH$4,BH$4&lt;=Projects!$C$25+Projects!$D$25-1),Projects!$B$25/Projects!$D$25,"")</f>
        <v>947368.421052632</v>
      </c>
      <c r="BI31" s="194" t="n">
        <f aca="false">IF(AND(Projects!$C$25&lt;=BI$4,BI$4&lt;=Projects!$C$25+Projects!$D$25-1),Projects!$B$25/Projects!$D$25,"")</f>
        <v>947368.421052632</v>
      </c>
      <c r="BJ31" s="194" t="n">
        <f aca="false">IF(AND(Projects!$C$25&lt;=BJ$4,BJ$4&lt;=Projects!$C$25+Projects!$D$25-1),Projects!$B$25/Projects!$D$25,"")</f>
        <v>947368.421052632</v>
      </c>
      <c r="BK31" s="194" t="n">
        <f aca="false">IF(AND(Projects!$C$25&lt;=BK$4,BK$4&lt;=Projects!$C$25+Projects!$D$25-1),Projects!$B$25/Projects!$D$25,"")</f>
        <v>947368.421052632</v>
      </c>
      <c r="BL31" s="194" t="n">
        <f aca="false">IF(AND(Projects!$C$25&lt;=BL$4,BL$4&lt;=Projects!$C$25+Projects!$D$25-1),Projects!$B$25/Projects!$D$25,"")</f>
        <v>947368.421052632</v>
      </c>
      <c r="BM31" s="194" t="str">
        <f aca="false">IF(AND(Projects!$C$25&lt;=BM$4,BM$4&lt;=Projects!$C$25+Projects!$D$25-1),Projects!$B$25/Projects!$D$25,"")</f>
        <v/>
      </c>
      <c r="BN31" s="194" t="str">
        <f aca="false">IF(AND(Projects!$C$25&lt;=BN$4,BN$4&lt;=Projects!$C$25+Projects!$D$25-1),Projects!$B$25/Projects!$D$25,"")</f>
        <v/>
      </c>
      <c r="BO31" s="194" t="str">
        <f aca="false">IF(AND(Projects!$C$25&lt;=BO$4,BO$4&lt;=Projects!$C$25+Projects!$D$25-1),Projects!$B$25/Projects!$D$25,"")</f>
        <v/>
      </c>
      <c r="BP31" s="194" t="str">
        <f aca="false">IF(AND(Projects!$C$25&lt;=BP$4,BP$4&lt;=Projects!$C$25+Projects!$D$25-1),Projects!$B$25/Projects!$D$25,"")</f>
        <v/>
      </c>
      <c r="BQ31" s="194" t="str">
        <f aca="false">IF(AND(Projects!$C$25&lt;=BQ$4,BQ$4&lt;=Projects!$C$25+Projects!$D$25-1),Projects!$B$25/Projects!$D$25,"")</f>
        <v/>
      </c>
      <c r="BR31" s="194" t="str">
        <f aca="false">IF(AND(Projects!$C$25&lt;=BR$4,BR$4&lt;=Projects!$C$25+Projects!$D$25-1),Projects!$B$25/Projects!$D$25,"")</f>
        <v/>
      </c>
      <c r="BS31" s="194" t="str">
        <f aca="false">IF(AND(Projects!$C$25&lt;=BS$4,BS$4&lt;=Projects!$C$25+Projects!$D$25-1),Projects!$B$25/Projects!$D$25,"")</f>
        <v/>
      </c>
      <c r="BT31" s="194" t="str">
        <f aca="false">IF(AND(Projects!$C$25&lt;=BT$4,BT$4&lt;=Projects!$C$25+Projects!$D$25-1),Projects!$B$25/Projects!$D$25,"")</f>
        <v/>
      </c>
      <c r="BU31" s="194" t="str">
        <f aca="false">IF(AND(Projects!$C$25&lt;=BU$4,BU$4&lt;=Projects!$C$25+Projects!$D$25-1),Projects!$B$25/Projects!$D$25,"")</f>
        <v/>
      </c>
      <c r="BV31" s="194" t="str">
        <f aca="false">IF(AND(Projects!$C$25&lt;=BV$4,BV$4&lt;=Projects!$C$25+Projects!$D$25-1),Projects!$B$25/Projects!$D$25,"")</f>
        <v/>
      </c>
      <c r="BW31" s="194" t="str">
        <f aca="false">IF(AND(Projects!$C$25&lt;=BW$4,BW$4&lt;=Projects!$C$25+Projects!$D$25-1),Projects!$B$25/Projects!$D$25,"")</f>
        <v/>
      </c>
      <c r="BX31" s="194" t="str">
        <f aca="false">IF(AND(Projects!$C$25&lt;=BX$4,BX$4&lt;=Projects!$C$25+Projects!$D$25-1),Projects!$B$25/Projects!$D$25,"")</f>
        <v/>
      </c>
      <c r="BY31" s="194" t="str">
        <f aca="false">IF(AND(Projects!$C$25&lt;=BY$4,BY$4&lt;=Projects!$C$25+Projects!$D$25-1),Projects!$B$25/Projects!$D$25,"")</f>
        <v/>
      </c>
      <c r="BZ31" s="194" t="str">
        <f aca="false">IF(AND(Projects!$C$25&lt;=BZ$4,BZ$4&lt;=Projects!$C$25+Projects!$D$25-1),Projects!$B$25/Projects!$D$25,"")</f>
        <v/>
      </c>
      <c r="CA31" s="194" t="str">
        <f aca="false">IF(AND(Projects!$C$25&lt;=CA$4,CA$4&lt;=Projects!$C$25+Projects!$D$25-1),Projects!$B$25/Projects!$D$25,"")</f>
        <v/>
      </c>
      <c r="CB31" s="194" t="str">
        <f aca="false">IF(AND(Projects!$C$25&lt;=CB$4,CB$4&lt;=Projects!$C$25+Projects!$D$25-1),Projects!$B$25/Projects!$D$25,"")</f>
        <v/>
      </c>
      <c r="CC31" s="194" t="str">
        <f aca="false">IF(AND(Projects!$C$25&lt;=CC$4,CC$4&lt;=Projects!$C$25+Projects!$D$25-1),Projects!$B$25/Projects!$D$25,"")</f>
        <v/>
      </c>
      <c r="CD31" s="194" t="str">
        <f aca="false">IF(AND(Projects!$C$25&lt;=CD$4,CD$4&lt;=Projects!$C$25+Projects!$D$25-1),Projects!$B$25/Projects!$D$25,"")</f>
        <v/>
      </c>
      <c r="CE31" s="194" t="str">
        <f aca="false">IF(AND(Projects!$C$25&lt;=CE$4,CE$4&lt;=Projects!$C$25+Projects!$D$25-1),Projects!$B$25/Projects!$D$25,"")</f>
        <v/>
      </c>
      <c r="CF31" s="194" t="str">
        <f aca="false">IF(AND(Projects!$C$25&lt;=CF$4,CF$4&lt;=Projects!$C$25+Projects!$D$25-1),Projects!$B$25/Projects!$D$25,"")</f>
        <v/>
      </c>
      <c r="CG31" s="194" t="str">
        <f aca="false">IF(AND(Projects!$C$25&lt;=CG$4,CG$4&lt;=Projects!$C$25+Projects!$D$25-1),Projects!$B$25/Projects!$D$25,"")</f>
        <v/>
      </c>
      <c r="CH31" s="194" t="str">
        <f aca="false">IF(AND(Projects!$C$25&lt;=CH$4,CH$4&lt;=Projects!$C$25+Projects!$D$25-1),Projects!$B$25/Projects!$D$25,"")</f>
        <v/>
      </c>
      <c r="CI31" s="194" t="str">
        <f aca="false">IF(AND(Projects!$C$25&lt;=CI$4,CI$4&lt;=Projects!$C$25+Projects!$D$25-1),Projects!$B$25/Projects!$D$25,"")</f>
        <v/>
      </c>
      <c r="CJ31" s="194" t="str">
        <f aca="false">IF(AND(Projects!$C$25&lt;=CJ$4,CJ$4&lt;=Projects!$C$25+Projects!$D$25-1),Projects!$B$25/Projects!$D$25,"")</f>
        <v/>
      </c>
      <c r="CK31" s="194" t="str">
        <f aca="false">IF(AND(Projects!$C$25&lt;=CK$4,CK$4&lt;=Projects!$C$25+Projects!$D$25-1),Projects!$B$25/Projects!$D$25,"")</f>
        <v/>
      </c>
      <c r="CL31" s="194" t="str">
        <f aca="false">IF(AND(Projects!$C$25&lt;=CL$4,CL$4&lt;=Projects!$C$25+Projects!$D$25-1),Projects!$B$25/Projects!$D$25,"")</f>
        <v/>
      </c>
      <c r="CM31" s="194" t="str">
        <f aca="false">IF(AND(Projects!$C$25&lt;=CM$4,CM$4&lt;=Projects!$C$25+Projects!$D$25-1),Projects!$B$25/Projects!$D$25,"")</f>
        <v/>
      </c>
      <c r="CN31" s="194" t="str">
        <f aca="false">IF(AND(Projects!$C$25&lt;=CN$4,CN$4&lt;=Projects!$C$25+Projects!$D$25-1),Projects!$B$25/Projects!$D$25,"")</f>
        <v/>
      </c>
      <c r="CO31" s="194" t="str">
        <f aca="false">IF(AND(Projects!$C$25&lt;=CO$4,CO$4&lt;=Projects!$C$25+Projects!$D$25-1),Projects!$B$25/Projects!$D$25,"")</f>
        <v/>
      </c>
      <c r="CP31" s="194" t="str">
        <f aca="false">IF(AND(Projects!$C$25&lt;=CP$4,CP$4&lt;=Projects!$C$25+Projects!$D$25-1),Projects!$B$25/Projects!$D$25,"")</f>
        <v/>
      </c>
      <c r="CQ31" s="194" t="str">
        <f aca="false">IF(AND(Projects!$C$25&lt;=CQ$4,CQ$4&lt;=Projects!$C$25+Projects!$D$25-1),Projects!$B$25/Projects!$D$25,"")</f>
        <v/>
      </c>
      <c r="CR31" s="194" t="str">
        <f aca="false">IF(AND(Projects!$C$25&lt;=CR$4,CR$4&lt;=Projects!$C$25+Projects!$D$25-1),Projects!$B$25/Projects!$D$25,"")</f>
        <v/>
      </c>
      <c r="CS31" s="194" t="str">
        <f aca="false">IF(AND(Projects!$C$25&lt;=CS$4,CS$4&lt;=Projects!$C$25+Projects!$D$25-1),Projects!$B$25/Projects!$D$25,"")</f>
        <v/>
      </c>
      <c r="CT31" s="194" t="str">
        <f aca="false">IF(AND(Projects!$C$25&lt;=CT$4,CT$4&lt;=Projects!$C$25+Projects!$D$25-1),Projects!$B$25/Projects!$D$25,"")</f>
        <v/>
      </c>
      <c r="CU31" s="194" t="str">
        <f aca="false">IF(AND(Projects!$C$25&lt;=CU$4,CU$4&lt;=Projects!$C$25+Projects!$D$25-1),Projects!$B$25/Projects!$D$25,"")</f>
        <v/>
      </c>
      <c r="CV31" s="194" t="str">
        <f aca="false">IF(AND(Projects!$C$25&lt;=CV$4,CV$4&lt;=Projects!$C$25+Projects!$D$25-1),Projects!$B$25/Projects!$D$25,"")</f>
        <v/>
      </c>
      <c r="CW31" s="194" t="str">
        <f aca="false">IF(AND(Projects!$C$25&lt;=CW$4,CW$4&lt;=Projects!$C$25+Projects!$D$25-1),Projects!$B$25/Projects!$D$25,"")</f>
        <v/>
      </c>
      <c r="CX31" s="194" t="str">
        <f aca="false">IF(AND(Projects!$C$25&lt;=CX$4,CX$4&lt;=Projects!$C$25+Projects!$D$25-1),Projects!$B$25/Projects!$D$25,"")</f>
        <v/>
      </c>
      <c r="CY31" s="194" t="str">
        <f aca="false">IF(AND(Projects!$C$25&lt;=CY$4,CY$4&lt;=Projects!$C$25+Projects!$D$25-1),Projects!$B$25/Projects!$D$25,"")</f>
        <v/>
      </c>
      <c r="CZ31" s="194" t="str">
        <f aca="false">IF(AND(Projects!$C$25&lt;=CZ$4,CZ$4&lt;=Projects!$C$25+Projects!$D$25-1),Projects!$B$25/Projects!$D$25,"")</f>
        <v/>
      </c>
      <c r="DA31" s="194" t="str">
        <f aca="false">IF(AND(Projects!$C$25&lt;=DA$4,DA$4&lt;=Projects!$C$25+Projects!$D$25-1),Projects!$B$25/Projects!$D$25,"")</f>
        <v/>
      </c>
      <c r="DB31" s="194" t="str">
        <f aca="false">IF(AND(Projects!$C$25&lt;=DB$4,DB$4&lt;=Projects!$C$25+Projects!$D$25-1),Projects!$B$25/Projects!$D$25,"")</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Projects!$B$26/Projects!$D$26</f>
        <v>947368.421052632</v>
      </c>
      <c r="G32" s="194" t="str">
        <f aca="false">IF(AND(Projects!$C$26&lt;=G$4,G$4&lt;=Projects!$C$26+Projects!$D$26-1),Projects!$B$26/Projects!$D$26,"")</f>
        <v/>
      </c>
      <c r="H32" s="194" t="str">
        <f aca="false">IF(AND(Projects!$C$26&lt;=H$4,H$4&lt;=Projects!$C$26+Projects!$D$26-1),Projects!$B$26/Projects!$D$26,"")</f>
        <v/>
      </c>
      <c r="I32" s="194" t="str">
        <f aca="false">IF(AND(Projects!$C$26&lt;=I$4,I$4&lt;=Projects!$C$26+Projects!$D$26-1),Projects!$B$26/Projects!$D$26,"")</f>
        <v/>
      </c>
      <c r="J32" s="194" t="str">
        <f aca="false">IF(AND(Projects!$C$26&lt;=J$4,J$4&lt;=Projects!$C$26+Projects!$D$26-1),Projects!$B$26/Projects!$D$26,"")</f>
        <v/>
      </c>
      <c r="K32" s="194" t="str">
        <f aca="false">IF(AND(Projects!$C$26&lt;=K$4,K$4&lt;=Projects!$C$26+Projects!$D$26-1),Projects!$B$26/Projects!$D$26,"")</f>
        <v/>
      </c>
      <c r="L32" s="194" t="str">
        <f aca="false">IF(AND(Projects!$C$26&lt;=L$4,L$4&lt;=Projects!$C$26+Projects!$D$26-1),Projects!$B$26/Projects!$D$26,"")</f>
        <v/>
      </c>
      <c r="M32" s="194" t="str">
        <f aca="false">IF(AND(Projects!$C$26&lt;=M$4,M$4&lt;=Projects!$C$26+Projects!$D$26-1),Projects!$B$26/Projects!$D$26,"")</f>
        <v/>
      </c>
      <c r="N32" s="194" t="str">
        <f aca="false">IF(AND(Projects!$C$26&lt;=N$4,N$4&lt;=Projects!$C$26+Projects!$D$26-1),Projects!$B$26/Projects!$D$26,"")</f>
        <v/>
      </c>
      <c r="O32" s="194" t="str">
        <f aca="false">IF(AND(Projects!$C$26&lt;=O$4,O$4&lt;=Projects!$C$26+Projects!$D$26-1),Projects!$B$26/Projects!$D$26,"")</f>
        <v/>
      </c>
      <c r="P32" s="194" t="str">
        <f aca="false">IF(AND(Projects!$C$26&lt;=P$4,P$4&lt;=Projects!$C$26+Projects!$D$26-1),Projects!$B$26/Projects!$D$26,"")</f>
        <v/>
      </c>
      <c r="Q32" s="194" t="str">
        <f aca="false">IF(AND(Projects!$C$26&lt;=Q$4,Q$4&lt;=Projects!$C$26+Projects!$D$26-1),Projects!$B$26/Projects!$D$26,"")</f>
        <v/>
      </c>
      <c r="R32" s="194" t="str">
        <f aca="false">IF(AND(Projects!$C$26&lt;=R$4,R$4&lt;=Projects!$C$26+Projects!$D$26-1),Projects!$B$26/Projects!$D$26,"")</f>
        <v/>
      </c>
      <c r="S32" s="194" t="str">
        <f aca="false">IF(AND(Projects!$C$26&lt;=S$4,S$4&lt;=Projects!$C$26+Projects!$D$26-1),Projects!$B$26/Projects!$D$26,"")</f>
        <v/>
      </c>
      <c r="T32" s="194" t="str">
        <f aca="false">IF(AND(Projects!$C$26&lt;=T$4,T$4&lt;=Projects!$C$26+Projects!$D$26-1),Projects!$B$26/Projects!$D$26,"")</f>
        <v/>
      </c>
      <c r="U32" s="194" t="str">
        <f aca="false">IF(AND(Projects!$C$26&lt;=U$4,U$4&lt;=Projects!$C$26+Projects!$D$26-1),Projects!$B$26/Projects!$D$26,"")</f>
        <v/>
      </c>
      <c r="V32" s="194" t="str">
        <f aca="false">IF(AND(Projects!$C$26&lt;=V$4,V$4&lt;=Projects!$C$26+Projects!$D$26-1),Projects!$B$26/Projects!$D$26,"")</f>
        <v/>
      </c>
      <c r="W32" s="194" t="str">
        <f aca="false">IF(AND(Projects!$C$26&lt;=W$4,W$4&lt;=Projects!$C$26+Projects!$D$26-1),Projects!$B$26/Projects!$D$26,"")</f>
        <v/>
      </c>
      <c r="X32" s="194" t="str">
        <f aca="false">IF(AND(Projects!$C$26&lt;=X$4,X$4&lt;=Projects!$C$26+Projects!$D$26-1),Projects!$B$26/Projects!$D$26,"")</f>
        <v/>
      </c>
      <c r="Y32" s="194" t="str">
        <f aca="false">IF(AND(Projects!$C$26&lt;=Y$4,Y$4&lt;=Projects!$C$26+Projects!$D$26-1),Projects!$B$26/Projects!$D$26,"")</f>
        <v/>
      </c>
      <c r="Z32" s="194" t="str">
        <f aca="false">IF(AND(Projects!$C$26&lt;=Z$4,Z$4&lt;=Projects!$C$26+Projects!$D$26-1),Projects!$B$26/Projects!$D$26,"")</f>
        <v/>
      </c>
      <c r="AA32" s="194" t="str">
        <f aca="false">IF(AND(Projects!$C$26&lt;=AA$4,AA$4&lt;=Projects!$C$26+Projects!$D$26-1),Projects!$B$26/Projects!$D$26,"")</f>
        <v/>
      </c>
      <c r="AB32" s="194" t="str">
        <f aca="false">IF(AND(Projects!$C$26&lt;=AB$4,AB$4&lt;=Projects!$C$26+Projects!$D$26-1),Projects!$B$26/Projects!$D$26,"")</f>
        <v/>
      </c>
      <c r="AC32" s="194" t="str">
        <f aca="false">IF(AND(Projects!$C$26&lt;=AC$4,AC$4&lt;=Projects!$C$26+Projects!$D$26-1),Projects!$B$26/Projects!$D$26,"")</f>
        <v/>
      </c>
      <c r="AD32" s="194" t="str">
        <f aca="false">IF(AND(Projects!$C$26&lt;=AD$4,AD$4&lt;=Projects!$C$26+Projects!$D$26-1),Projects!$B$26/Projects!$D$26,"")</f>
        <v/>
      </c>
      <c r="AE32" s="194" t="str">
        <f aca="false">IF(AND(Projects!$C$26&lt;=AE$4,AE$4&lt;=Projects!$C$26+Projects!$D$26-1),Projects!$B$26/Projects!$D$26,"")</f>
        <v/>
      </c>
      <c r="AF32" s="194" t="str">
        <f aca="false">IF(AND(Projects!$C$26&lt;=AF$4,AF$4&lt;=Projects!$C$26+Projects!$D$26-1),Projects!$B$26/Projects!$D$26,"")</f>
        <v/>
      </c>
      <c r="AG32" s="194" t="str">
        <f aca="false">IF(AND(Projects!$C$26&lt;=AG$4,AG$4&lt;=Projects!$C$26+Projects!$D$26-1),Projects!$B$26/Projects!$D$26,"")</f>
        <v/>
      </c>
      <c r="AH32" s="194" t="str">
        <f aca="false">IF(AND(Projects!$C$26&lt;=AH$4,AH$4&lt;=Projects!$C$26+Projects!$D$26-1),Projects!$B$26/Projects!$D$26,"")</f>
        <v/>
      </c>
      <c r="AI32" s="194" t="str">
        <f aca="false">IF(AND(Projects!$C$26&lt;=AI$4,AI$4&lt;=Projects!$C$26+Projects!$D$26-1),Projects!$B$26/Projects!$D$26,"")</f>
        <v/>
      </c>
      <c r="AJ32" s="194" t="str">
        <f aca="false">IF(AND(Projects!$C$26&lt;=AJ$4,AJ$4&lt;=Projects!$C$26+Projects!$D$26-1),Projects!$B$26/Projects!$D$26,"")</f>
        <v/>
      </c>
      <c r="AK32" s="194" t="str">
        <f aca="false">IF(AND(Projects!$C$26&lt;=AK$4,AK$4&lt;=Projects!$C$26+Projects!$D$26-1),Projects!$B$26/Projects!$D$26,"")</f>
        <v/>
      </c>
      <c r="AL32" s="194" t="str">
        <f aca="false">IF(AND(Projects!$C$26&lt;=AL$4,AL$4&lt;=Projects!$C$26+Projects!$D$26-1),Projects!$B$26/Projects!$D$26,"")</f>
        <v/>
      </c>
      <c r="AM32" s="194" t="str">
        <f aca="false">IF(AND(Projects!$C$26&lt;=AM$4,AM$4&lt;=Projects!$C$26+Projects!$D$26-1),Projects!$B$26/Projects!$D$26,"")</f>
        <v/>
      </c>
      <c r="AN32" s="194" t="str">
        <f aca="false">IF(AND(Projects!$C$26&lt;=AN$4,AN$4&lt;=Projects!$C$26+Projects!$D$26-1),Projects!$B$26/Projects!$D$26,"")</f>
        <v/>
      </c>
      <c r="AO32" s="194" t="str">
        <f aca="false">IF(AND(Projects!$C$26&lt;=AO$4,AO$4&lt;=Projects!$C$26+Projects!$D$26-1),Projects!$B$26/Projects!$D$26,"")</f>
        <v/>
      </c>
      <c r="AP32" s="194" t="str">
        <f aca="false">IF(AND(Projects!$C$26&lt;=AP$4,AP$4&lt;=Projects!$C$26+Projects!$D$26-1),Projects!$B$26/Projects!$D$26,"")</f>
        <v/>
      </c>
      <c r="AQ32" s="194" t="str">
        <f aca="false">IF(AND(Projects!$C$26&lt;=AQ$4,AQ$4&lt;=Projects!$C$26+Projects!$D$26-1),Projects!$B$26/Projects!$D$26,"")</f>
        <v/>
      </c>
      <c r="AR32" s="194" t="str">
        <f aca="false">IF(AND(Projects!$C$26&lt;=AR$4,AR$4&lt;=Projects!$C$26+Projects!$D$26-1),Projects!$B$26/Projects!$D$26,"")</f>
        <v/>
      </c>
      <c r="AS32" s="194" t="str">
        <f aca="false">IF(AND(Projects!$C$26&lt;=AS$4,AS$4&lt;=Projects!$C$26+Projects!$D$26-1),Projects!$B$26/Projects!$D$26,"")</f>
        <v/>
      </c>
      <c r="AT32" s="194" t="str">
        <f aca="false">IF(AND(Projects!$C$26&lt;=AT$4,AT$4&lt;=Projects!$C$26+Projects!$D$26-1),Projects!$B$26/Projects!$D$26,"")</f>
        <v/>
      </c>
      <c r="AU32" s="194" t="str">
        <f aca="false">IF(AND(Projects!$C$26&lt;=AU$4,AU$4&lt;=Projects!$C$26+Projects!$D$26-1),Projects!$B$26/Projects!$D$26,"")</f>
        <v/>
      </c>
      <c r="AV32" s="194" t="n">
        <f aca="false">IF(AND(Projects!$C$26&lt;=AV$4,AV$4&lt;=Projects!$C$26+Projects!$D$26-1),Projects!$B$26/Projects!$D$26,"")</f>
        <v>947368.421052632</v>
      </c>
      <c r="AW32" s="194" t="n">
        <f aca="false">IF(AND(Projects!$C$26&lt;=AW$4,AW$4&lt;=Projects!$C$26+Projects!$D$26-1),Projects!$B$26/Projects!$D$26,"")</f>
        <v>947368.421052632</v>
      </c>
      <c r="AX32" s="194" t="n">
        <f aca="false">IF(AND(Projects!$C$26&lt;=AX$4,AX$4&lt;=Projects!$C$26+Projects!$D$26-1),Projects!$B$26/Projects!$D$26,"")</f>
        <v>947368.421052632</v>
      </c>
      <c r="AY32" s="194" t="n">
        <f aca="false">IF(AND(Projects!$C$26&lt;=AY$4,AY$4&lt;=Projects!$C$26+Projects!$D$26-1),Projects!$B$26/Projects!$D$26,"")</f>
        <v>947368.421052632</v>
      </c>
      <c r="AZ32" s="194" t="n">
        <f aca="false">IF(AND(Projects!$C$26&lt;=AZ$4,AZ$4&lt;=Projects!$C$26+Projects!$D$26-1),Projects!$B$26/Projects!$D$26,"")</f>
        <v>947368.421052632</v>
      </c>
      <c r="BA32" s="194" t="n">
        <f aca="false">IF(AND(Projects!$C$26&lt;=BA$4,BA$4&lt;=Projects!$C$26+Projects!$D$26-1),Projects!$B$26/Projects!$D$26,"")</f>
        <v>947368.421052632</v>
      </c>
      <c r="BB32" s="194" t="n">
        <f aca="false">IF(AND(Projects!$C$26&lt;=BB$4,BB$4&lt;=Projects!$C$26+Projects!$D$26-1),Projects!$B$26/Projects!$D$26,"")</f>
        <v>947368.421052632</v>
      </c>
      <c r="BC32" s="194" t="n">
        <f aca="false">IF(AND(Projects!$C$26&lt;=BC$4,BC$4&lt;=Projects!$C$26+Projects!$D$26-1),Projects!$B$26/Projects!$D$26,"")</f>
        <v>947368.421052632</v>
      </c>
      <c r="BD32" s="194" t="n">
        <f aca="false">IF(AND(Projects!$C$26&lt;=BD$4,BD$4&lt;=Projects!$C$26+Projects!$D$26-1),Projects!$B$26/Projects!$D$26,"")</f>
        <v>947368.421052632</v>
      </c>
      <c r="BE32" s="194" t="n">
        <f aca="false">IF(AND(Projects!$C$26&lt;=BE$4,BE$4&lt;=Projects!$C$26+Projects!$D$26-1),Projects!$B$26/Projects!$D$26,"")</f>
        <v>947368.421052632</v>
      </c>
      <c r="BF32" s="194" t="n">
        <f aca="false">IF(AND(Projects!$C$26&lt;=BF$4,BF$4&lt;=Projects!$C$26+Projects!$D$26-1),Projects!$B$26/Projects!$D$26,"")</f>
        <v>947368.421052632</v>
      </c>
      <c r="BG32" s="194" t="n">
        <f aca="false">IF(AND(Projects!$C$26&lt;=BG$4,BG$4&lt;=Projects!$C$26+Projects!$D$26-1),Projects!$B$26/Projects!$D$26,"")</f>
        <v>947368.421052632</v>
      </c>
      <c r="BH32" s="194" t="n">
        <f aca="false">IF(AND(Projects!$C$26&lt;=BH$4,BH$4&lt;=Projects!$C$26+Projects!$D$26-1),Projects!$B$26/Projects!$D$26,"")</f>
        <v>947368.421052632</v>
      </c>
      <c r="BI32" s="194" t="n">
        <f aca="false">IF(AND(Projects!$C$26&lt;=BI$4,BI$4&lt;=Projects!$C$26+Projects!$D$26-1),Projects!$B$26/Projects!$D$26,"")</f>
        <v>947368.421052632</v>
      </c>
      <c r="BJ32" s="194" t="n">
        <f aca="false">IF(AND(Projects!$C$26&lt;=BJ$4,BJ$4&lt;=Projects!$C$26+Projects!$D$26-1),Projects!$B$26/Projects!$D$26,"")</f>
        <v>947368.421052632</v>
      </c>
      <c r="BK32" s="194" t="n">
        <f aca="false">IF(AND(Projects!$C$26&lt;=BK$4,BK$4&lt;=Projects!$C$26+Projects!$D$26-1),Projects!$B$26/Projects!$D$26,"")</f>
        <v>947368.421052632</v>
      </c>
      <c r="BL32" s="194" t="n">
        <f aca="false">IF(AND(Projects!$C$26&lt;=BL$4,BL$4&lt;=Projects!$C$26+Projects!$D$26-1),Projects!$B$26/Projects!$D$26,"")</f>
        <v>947368.421052632</v>
      </c>
      <c r="BM32" s="194" t="n">
        <f aca="false">IF(AND(Projects!$C$26&lt;=BM$4,BM$4&lt;=Projects!$C$26+Projects!$D$26-1),Projects!$B$26/Projects!$D$26,"")</f>
        <v>947368.421052632</v>
      </c>
      <c r="BN32" s="194" t="n">
        <f aca="false">IF(AND(Projects!$C$26&lt;=BN$4,BN$4&lt;=Projects!$C$26+Projects!$D$26-1),Projects!$B$26/Projects!$D$26,"")</f>
        <v>947368.421052632</v>
      </c>
      <c r="BO32" s="194" t="str">
        <f aca="false">IF(AND(Projects!$C$26&lt;=BO$4,BO$4&lt;=Projects!$C$26+Projects!$D$26-1),Projects!$B$26/Projects!$D$26,"")</f>
        <v/>
      </c>
      <c r="BP32" s="194" t="str">
        <f aca="false">IF(AND(Projects!$C$26&lt;=BP$4,BP$4&lt;=Projects!$C$26+Projects!$D$26-1),Projects!$B$26/Projects!$D$26,"")</f>
        <v/>
      </c>
      <c r="BQ32" s="194" t="str">
        <f aca="false">IF(AND(Projects!$C$26&lt;=BQ$4,BQ$4&lt;=Projects!$C$26+Projects!$D$26-1),Projects!$B$26/Projects!$D$26,"")</f>
        <v/>
      </c>
      <c r="BR32" s="194" t="str">
        <f aca="false">IF(AND(Projects!$C$26&lt;=BR$4,BR$4&lt;=Projects!$C$26+Projects!$D$26-1),Projects!$B$26/Projects!$D$26,"")</f>
        <v/>
      </c>
      <c r="BS32" s="194" t="str">
        <f aca="false">IF(AND(Projects!$C$26&lt;=BS$4,BS$4&lt;=Projects!$C$26+Projects!$D$26-1),Projects!$B$26/Projects!$D$26,"")</f>
        <v/>
      </c>
      <c r="BT32" s="194" t="str">
        <f aca="false">IF(AND(Projects!$C$26&lt;=BT$4,BT$4&lt;=Projects!$C$26+Projects!$D$26-1),Projects!$B$26/Projects!$D$26,"")</f>
        <v/>
      </c>
      <c r="BU32" s="194" t="str">
        <f aca="false">IF(AND(Projects!$C$26&lt;=BU$4,BU$4&lt;=Projects!$C$26+Projects!$D$26-1),Projects!$B$26/Projects!$D$26,"")</f>
        <v/>
      </c>
      <c r="BV32" s="194" t="str">
        <f aca="false">IF(AND(Projects!$C$26&lt;=BV$4,BV$4&lt;=Projects!$C$26+Projects!$D$26-1),Projects!$B$26/Projects!$D$26,"")</f>
        <v/>
      </c>
      <c r="BW32" s="194" t="str">
        <f aca="false">IF(AND(Projects!$C$26&lt;=BW$4,BW$4&lt;=Projects!$C$26+Projects!$D$26-1),Projects!$B$26/Projects!$D$26,"")</f>
        <v/>
      </c>
      <c r="BX32" s="194" t="str">
        <f aca="false">IF(AND(Projects!$C$26&lt;=BX$4,BX$4&lt;=Projects!$C$26+Projects!$D$26-1),Projects!$B$26/Projects!$D$26,"")</f>
        <v/>
      </c>
      <c r="BY32" s="194" t="str">
        <f aca="false">IF(AND(Projects!$C$26&lt;=BY$4,BY$4&lt;=Projects!$C$26+Projects!$D$26-1),Projects!$B$26/Projects!$D$26,"")</f>
        <v/>
      </c>
      <c r="BZ32" s="194" t="str">
        <f aca="false">IF(AND(Projects!$C$26&lt;=BZ$4,BZ$4&lt;=Projects!$C$26+Projects!$D$26-1),Projects!$B$26/Projects!$D$26,"")</f>
        <v/>
      </c>
      <c r="CA32" s="194" t="str">
        <f aca="false">IF(AND(Projects!$C$26&lt;=CA$4,CA$4&lt;=Projects!$C$26+Projects!$D$26-1),Projects!$B$26/Projects!$D$26,"")</f>
        <v/>
      </c>
      <c r="CB32" s="194" t="str">
        <f aca="false">IF(AND(Projects!$C$26&lt;=CB$4,CB$4&lt;=Projects!$C$26+Projects!$D$26-1),Projects!$B$26/Projects!$D$26,"")</f>
        <v/>
      </c>
      <c r="CC32" s="194" t="str">
        <f aca="false">IF(AND(Projects!$C$26&lt;=CC$4,CC$4&lt;=Projects!$C$26+Projects!$D$26-1),Projects!$B$26/Projects!$D$26,"")</f>
        <v/>
      </c>
      <c r="CD32" s="194" t="str">
        <f aca="false">IF(AND(Projects!$C$26&lt;=CD$4,CD$4&lt;=Projects!$C$26+Projects!$D$26-1),Projects!$B$26/Projects!$D$26,"")</f>
        <v/>
      </c>
      <c r="CE32" s="194" t="str">
        <f aca="false">IF(AND(Projects!$C$26&lt;=CE$4,CE$4&lt;=Projects!$C$26+Projects!$D$26-1),Projects!$B$26/Projects!$D$26,"")</f>
        <v/>
      </c>
      <c r="CF32" s="194" t="str">
        <f aca="false">IF(AND(Projects!$C$26&lt;=CF$4,CF$4&lt;=Projects!$C$26+Projects!$D$26-1),Projects!$B$26/Projects!$D$26,"")</f>
        <v/>
      </c>
      <c r="CG32" s="194" t="str">
        <f aca="false">IF(AND(Projects!$C$26&lt;=CG$4,CG$4&lt;=Projects!$C$26+Projects!$D$26-1),Projects!$B$26/Projects!$D$26,"")</f>
        <v/>
      </c>
      <c r="CH32" s="194" t="str">
        <f aca="false">IF(AND(Projects!$C$26&lt;=CH$4,CH$4&lt;=Projects!$C$26+Projects!$D$26-1),Projects!$B$26/Projects!$D$26,"")</f>
        <v/>
      </c>
      <c r="CI32" s="194" t="str">
        <f aca="false">IF(AND(Projects!$C$26&lt;=CI$4,CI$4&lt;=Projects!$C$26+Projects!$D$26-1),Projects!$B$26/Projects!$D$26,"")</f>
        <v/>
      </c>
      <c r="CJ32" s="194" t="str">
        <f aca="false">IF(AND(Projects!$C$26&lt;=CJ$4,CJ$4&lt;=Projects!$C$26+Projects!$D$26-1),Projects!$B$26/Projects!$D$26,"")</f>
        <v/>
      </c>
      <c r="CK32" s="194" t="str">
        <f aca="false">IF(AND(Projects!$C$26&lt;=CK$4,CK$4&lt;=Projects!$C$26+Projects!$D$26-1),Projects!$B$26/Projects!$D$26,"")</f>
        <v/>
      </c>
      <c r="CL32" s="194" t="str">
        <f aca="false">IF(AND(Projects!$C$26&lt;=CL$4,CL$4&lt;=Projects!$C$26+Projects!$D$26-1),Projects!$B$26/Projects!$D$26,"")</f>
        <v/>
      </c>
      <c r="CM32" s="194" t="str">
        <f aca="false">IF(AND(Projects!$C$26&lt;=CM$4,CM$4&lt;=Projects!$C$26+Projects!$D$26-1),Projects!$B$26/Projects!$D$26,"")</f>
        <v/>
      </c>
      <c r="CN32" s="194" t="str">
        <f aca="false">IF(AND(Projects!$C$26&lt;=CN$4,CN$4&lt;=Projects!$C$26+Projects!$D$26-1),Projects!$B$26/Projects!$D$26,"")</f>
        <v/>
      </c>
      <c r="CO32" s="194" t="str">
        <f aca="false">IF(AND(Projects!$C$26&lt;=CO$4,CO$4&lt;=Projects!$C$26+Projects!$D$26-1),Projects!$B$26/Projects!$D$26,"")</f>
        <v/>
      </c>
      <c r="CP32" s="194" t="str">
        <f aca="false">IF(AND(Projects!$C$26&lt;=CP$4,CP$4&lt;=Projects!$C$26+Projects!$D$26-1),Projects!$B$26/Projects!$D$26,"")</f>
        <v/>
      </c>
      <c r="CQ32" s="194" t="str">
        <f aca="false">IF(AND(Projects!$C$26&lt;=CQ$4,CQ$4&lt;=Projects!$C$26+Projects!$D$26-1),Projects!$B$26/Projects!$D$26,"")</f>
        <v/>
      </c>
      <c r="CR32" s="194" t="str">
        <f aca="false">IF(AND(Projects!$C$26&lt;=CR$4,CR$4&lt;=Projects!$C$26+Projects!$D$26-1),Projects!$B$26/Projects!$D$26,"")</f>
        <v/>
      </c>
      <c r="CS32" s="194" t="str">
        <f aca="false">IF(AND(Projects!$C$26&lt;=CS$4,CS$4&lt;=Projects!$C$26+Projects!$D$26-1),Projects!$B$26/Projects!$D$26,"")</f>
        <v/>
      </c>
      <c r="CT32" s="194" t="str">
        <f aca="false">IF(AND(Projects!$C$26&lt;=CT$4,CT$4&lt;=Projects!$C$26+Projects!$D$26-1),Projects!$B$26/Projects!$D$26,"")</f>
        <v/>
      </c>
      <c r="CU32" s="194" t="str">
        <f aca="false">IF(AND(Projects!$C$26&lt;=CU$4,CU$4&lt;=Projects!$C$26+Projects!$D$26-1),Projects!$B$26/Projects!$D$26,"")</f>
        <v/>
      </c>
      <c r="CV32" s="194" t="str">
        <f aca="false">IF(AND(Projects!$C$26&lt;=CV$4,CV$4&lt;=Projects!$C$26+Projects!$D$26-1),Projects!$B$26/Projects!$D$26,"")</f>
        <v/>
      </c>
      <c r="CW32" s="194" t="str">
        <f aca="false">IF(AND(Projects!$C$26&lt;=CW$4,CW$4&lt;=Projects!$C$26+Projects!$D$26-1),Projects!$B$26/Projects!$D$26,"")</f>
        <v/>
      </c>
      <c r="CX32" s="194" t="str">
        <f aca="false">IF(AND(Projects!$C$26&lt;=CX$4,CX$4&lt;=Projects!$C$26+Projects!$D$26-1),Projects!$B$26/Projects!$D$26,"")</f>
        <v/>
      </c>
      <c r="CY32" s="194" t="str">
        <f aca="false">IF(AND(Projects!$C$26&lt;=CY$4,CY$4&lt;=Projects!$C$26+Projects!$D$26-1),Projects!$B$26/Projects!$D$26,"")</f>
        <v/>
      </c>
      <c r="CZ32" s="194" t="str">
        <f aca="false">IF(AND(Projects!$C$26&lt;=CZ$4,CZ$4&lt;=Projects!$C$26+Projects!$D$26-1),Projects!$B$26/Projects!$D$26,"")</f>
        <v/>
      </c>
      <c r="DA32" s="194" t="str">
        <f aca="false">IF(AND(Projects!$C$26&lt;=DA$4,DA$4&lt;=Projects!$C$26+Projects!$D$26-1),Projects!$B$26/Projects!$D$26,"")</f>
        <v/>
      </c>
      <c r="DB32" s="194" t="str">
        <f aca="false">IF(AND(Projects!$C$26&lt;=DB$4,DB$4&lt;=Projects!$C$26+Projects!$D$26-1),Projects!$B$26/Projects!$D$26,"")</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Projects!$B$27/Projects!$D$27</f>
        <v>789473.684210526</v>
      </c>
      <c r="G33" s="194" t="str">
        <f aca="false">IF(AND(Projects!$C$27&lt;=G$4,G$4&lt;=Projects!$C$27+Projects!$D$27-1),Projects!$B$27/Projects!$D$27,"")</f>
        <v/>
      </c>
      <c r="H33" s="194" t="str">
        <f aca="false">IF(AND(Projects!$C$27&lt;=H$4,H$4&lt;=Projects!$C$27+Projects!$D$27-1),Projects!$B$27/Projects!$D$27,"")</f>
        <v/>
      </c>
      <c r="I33" s="194" t="str">
        <f aca="false">IF(AND(Projects!$C$27&lt;=I$4,I$4&lt;=Projects!$C$27+Projects!$D$27-1),Projects!$B$27/Projects!$D$27,"")</f>
        <v/>
      </c>
      <c r="J33" s="194" t="str">
        <f aca="false">IF(AND(Projects!$C$27&lt;=J$4,J$4&lt;=Projects!$C$27+Projects!$D$27-1),Projects!$B$27/Projects!$D$27,"")</f>
        <v/>
      </c>
      <c r="K33" s="194" t="str">
        <f aca="false">IF(AND(Projects!$C$27&lt;=K$4,K$4&lt;=Projects!$C$27+Projects!$D$27-1),Projects!$B$27/Projects!$D$27,"")</f>
        <v/>
      </c>
      <c r="L33" s="194" t="str">
        <f aca="false">IF(AND(Projects!$C$27&lt;=L$4,L$4&lt;=Projects!$C$27+Projects!$D$27-1),Projects!$B$27/Projects!$D$27,"")</f>
        <v/>
      </c>
      <c r="M33" s="194" t="str">
        <f aca="false">IF(AND(Projects!$C$27&lt;=M$4,M$4&lt;=Projects!$C$27+Projects!$D$27-1),Projects!$B$27/Projects!$D$27,"")</f>
        <v/>
      </c>
      <c r="N33" s="194" t="str">
        <f aca="false">IF(AND(Projects!$C$27&lt;=N$4,N$4&lt;=Projects!$C$27+Projects!$D$27-1),Projects!$B$27/Projects!$D$27,"")</f>
        <v/>
      </c>
      <c r="O33" s="194" t="str">
        <f aca="false">IF(AND(Projects!$C$27&lt;=O$4,O$4&lt;=Projects!$C$27+Projects!$D$27-1),Projects!$B$27/Projects!$D$27,"")</f>
        <v/>
      </c>
      <c r="P33" s="194" t="str">
        <f aca="false">IF(AND(Projects!$C$27&lt;=P$4,P$4&lt;=Projects!$C$27+Projects!$D$27-1),Projects!$B$27/Projects!$D$27,"")</f>
        <v/>
      </c>
      <c r="Q33" s="194" t="str">
        <f aca="false">IF(AND(Projects!$C$27&lt;=Q$4,Q$4&lt;=Projects!$C$27+Projects!$D$27-1),Projects!$B$27/Projects!$D$27,"")</f>
        <v/>
      </c>
      <c r="R33" s="194" t="str">
        <f aca="false">IF(AND(Projects!$C$27&lt;=R$4,R$4&lt;=Projects!$C$27+Projects!$D$27-1),Projects!$B$27/Projects!$D$27,"")</f>
        <v/>
      </c>
      <c r="S33" s="194" t="str">
        <f aca="false">IF(AND(Projects!$C$27&lt;=S$4,S$4&lt;=Projects!$C$27+Projects!$D$27-1),Projects!$B$27/Projects!$D$27,"")</f>
        <v/>
      </c>
      <c r="T33" s="194" t="str">
        <f aca="false">IF(AND(Projects!$C$27&lt;=T$4,T$4&lt;=Projects!$C$27+Projects!$D$27-1),Projects!$B$27/Projects!$D$27,"")</f>
        <v/>
      </c>
      <c r="U33" s="194" t="str">
        <f aca="false">IF(AND(Projects!$C$27&lt;=U$4,U$4&lt;=Projects!$C$27+Projects!$D$27-1),Projects!$B$27/Projects!$D$27,"")</f>
        <v/>
      </c>
      <c r="V33" s="194" t="str">
        <f aca="false">IF(AND(Projects!$C$27&lt;=V$4,V$4&lt;=Projects!$C$27+Projects!$D$27-1),Projects!$B$27/Projects!$D$27,"")</f>
        <v/>
      </c>
      <c r="W33" s="194" t="str">
        <f aca="false">IF(AND(Projects!$C$27&lt;=W$4,W$4&lt;=Projects!$C$27+Projects!$D$27-1),Projects!$B$27/Projects!$D$27,"")</f>
        <v/>
      </c>
      <c r="X33" s="194" t="str">
        <f aca="false">IF(AND(Projects!$C$27&lt;=X$4,X$4&lt;=Projects!$C$27+Projects!$D$27-1),Projects!$B$27/Projects!$D$27,"")</f>
        <v/>
      </c>
      <c r="Y33" s="194" t="str">
        <f aca="false">IF(AND(Projects!$C$27&lt;=Y$4,Y$4&lt;=Projects!$C$27+Projects!$D$27-1),Projects!$B$27/Projects!$D$27,"")</f>
        <v/>
      </c>
      <c r="Z33" s="194" t="str">
        <f aca="false">IF(AND(Projects!$C$27&lt;=Z$4,Z$4&lt;=Projects!$C$27+Projects!$D$27-1),Projects!$B$27/Projects!$D$27,"")</f>
        <v/>
      </c>
      <c r="AA33" s="194" t="str">
        <f aca="false">IF(AND(Projects!$C$27&lt;=AA$4,AA$4&lt;=Projects!$C$27+Projects!$D$27-1),Projects!$B$27/Projects!$D$27,"")</f>
        <v/>
      </c>
      <c r="AB33" s="194" t="str">
        <f aca="false">IF(AND(Projects!$C$27&lt;=AB$4,AB$4&lt;=Projects!$C$27+Projects!$D$27-1),Projects!$B$27/Projects!$D$27,"")</f>
        <v/>
      </c>
      <c r="AC33" s="194" t="str">
        <f aca="false">IF(AND(Projects!$C$27&lt;=AC$4,AC$4&lt;=Projects!$C$27+Projects!$D$27-1),Projects!$B$27/Projects!$D$27,"")</f>
        <v/>
      </c>
      <c r="AD33" s="194" t="str">
        <f aca="false">IF(AND(Projects!$C$27&lt;=AD$4,AD$4&lt;=Projects!$C$27+Projects!$D$27-1),Projects!$B$27/Projects!$D$27,"")</f>
        <v/>
      </c>
      <c r="AE33" s="194" t="str">
        <f aca="false">IF(AND(Projects!$C$27&lt;=AE$4,AE$4&lt;=Projects!$C$27+Projects!$D$27-1),Projects!$B$27/Projects!$D$27,"")</f>
        <v/>
      </c>
      <c r="AF33" s="194" t="str">
        <f aca="false">IF(AND(Projects!$C$27&lt;=AF$4,AF$4&lt;=Projects!$C$27+Projects!$D$27-1),Projects!$B$27/Projects!$D$27,"")</f>
        <v/>
      </c>
      <c r="AG33" s="194" t="str">
        <f aca="false">IF(AND(Projects!$C$27&lt;=AG$4,AG$4&lt;=Projects!$C$27+Projects!$D$27-1),Projects!$B$27/Projects!$D$27,"")</f>
        <v/>
      </c>
      <c r="AH33" s="194" t="str">
        <f aca="false">IF(AND(Projects!$C$27&lt;=AH$4,AH$4&lt;=Projects!$C$27+Projects!$D$27-1),Projects!$B$27/Projects!$D$27,"")</f>
        <v/>
      </c>
      <c r="AI33" s="194" t="str">
        <f aca="false">IF(AND(Projects!$C$27&lt;=AI$4,AI$4&lt;=Projects!$C$27+Projects!$D$27-1),Projects!$B$27/Projects!$D$27,"")</f>
        <v/>
      </c>
      <c r="AJ33" s="194" t="str">
        <f aca="false">IF(AND(Projects!$C$27&lt;=AJ$4,AJ$4&lt;=Projects!$C$27+Projects!$D$27-1),Projects!$B$27/Projects!$D$27,"")</f>
        <v/>
      </c>
      <c r="AK33" s="194" t="str">
        <f aca="false">IF(AND(Projects!$C$27&lt;=AK$4,AK$4&lt;=Projects!$C$27+Projects!$D$27-1),Projects!$B$27/Projects!$D$27,"")</f>
        <v/>
      </c>
      <c r="AL33" s="194" t="str">
        <f aca="false">IF(AND(Projects!$C$27&lt;=AL$4,AL$4&lt;=Projects!$C$27+Projects!$D$27-1),Projects!$B$27/Projects!$D$27,"")</f>
        <v/>
      </c>
      <c r="AM33" s="194" t="str">
        <f aca="false">IF(AND(Projects!$C$27&lt;=AM$4,AM$4&lt;=Projects!$C$27+Projects!$D$27-1),Projects!$B$27/Projects!$D$27,"")</f>
        <v/>
      </c>
      <c r="AN33" s="194" t="str">
        <f aca="false">IF(AND(Projects!$C$27&lt;=AN$4,AN$4&lt;=Projects!$C$27+Projects!$D$27-1),Projects!$B$27/Projects!$D$27,"")</f>
        <v/>
      </c>
      <c r="AO33" s="194" t="str">
        <f aca="false">IF(AND(Projects!$C$27&lt;=AO$4,AO$4&lt;=Projects!$C$27+Projects!$D$27-1),Projects!$B$27/Projects!$D$27,"")</f>
        <v/>
      </c>
      <c r="AP33" s="194" t="str">
        <f aca="false">IF(AND(Projects!$C$27&lt;=AP$4,AP$4&lt;=Projects!$C$27+Projects!$D$27-1),Projects!$B$27/Projects!$D$27,"")</f>
        <v/>
      </c>
      <c r="AQ33" s="194" t="str">
        <f aca="false">IF(AND(Projects!$C$27&lt;=AQ$4,AQ$4&lt;=Projects!$C$27+Projects!$D$27-1),Projects!$B$27/Projects!$D$27,"")</f>
        <v/>
      </c>
      <c r="AR33" s="194" t="str">
        <f aca="false">IF(AND(Projects!$C$27&lt;=AR$4,AR$4&lt;=Projects!$C$27+Projects!$D$27-1),Projects!$B$27/Projects!$D$27,"")</f>
        <v/>
      </c>
      <c r="AS33" s="194" t="str">
        <f aca="false">IF(AND(Projects!$C$27&lt;=AS$4,AS$4&lt;=Projects!$C$27+Projects!$D$27-1),Projects!$B$27/Projects!$D$27,"")</f>
        <v/>
      </c>
      <c r="AT33" s="194" t="str">
        <f aca="false">IF(AND(Projects!$C$27&lt;=AT$4,AT$4&lt;=Projects!$C$27+Projects!$D$27-1),Projects!$B$27/Projects!$D$27,"")</f>
        <v/>
      </c>
      <c r="AU33" s="194" t="str">
        <f aca="false">IF(AND(Projects!$C$27&lt;=AU$4,AU$4&lt;=Projects!$C$27+Projects!$D$27-1),Projects!$B$27/Projects!$D$27,"")</f>
        <v/>
      </c>
      <c r="AV33" s="194" t="str">
        <f aca="false">IF(AND(Projects!$C$27&lt;=AV$4,AV$4&lt;=Projects!$C$27+Projects!$D$27-1),Projects!$B$27/Projects!$D$27,"")</f>
        <v/>
      </c>
      <c r="AW33" s="194" t="str">
        <f aca="false">IF(AND(Projects!$C$27&lt;=AW$4,AW$4&lt;=Projects!$C$27+Projects!$D$27-1),Projects!$B$27/Projects!$D$27,"")</f>
        <v/>
      </c>
      <c r="AX33" s="194" t="n">
        <f aca="false">IF(AND(Projects!$C$27&lt;=AX$4,AX$4&lt;=Projects!$C$27+Projects!$D$27-1),Projects!$B$27/Projects!$D$27,"")</f>
        <v>789473.684210526</v>
      </c>
      <c r="AY33" s="194" t="n">
        <f aca="false">IF(AND(Projects!$C$27&lt;=AY$4,AY$4&lt;=Projects!$C$27+Projects!$D$27-1),Projects!$B$27/Projects!$D$27,"")</f>
        <v>789473.684210526</v>
      </c>
      <c r="AZ33" s="194" t="n">
        <f aca="false">IF(AND(Projects!$C$27&lt;=AZ$4,AZ$4&lt;=Projects!$C$27+Projects!$D$27-1),Projects!$B$27/Projects!$D$27,"")</f>
        <v>789473.684210526</v>
      </c>
      <c r="BA33" s="194" t="n">
        <f aca="false">IF(AND(Projects!$C$27&lt;=BA$4,BA$4&lt;=Projects!$C$27+Projects!$D$27-1),Projects!$B$27/Projects!$D$27,"")</f>
        <v>789473.684210526</v>
      </c>
      <c r="BB33" s="194" t="n">
        <f aca="false">IF(AND(Projects!$C$27&lt;=BB$4,BB$4&lt;=Projects!$C$27+Projects!$D$27-1),Projects!$B$27/Projects!$D$27,"")</f>
        <v>789473.684210526</v>
      </c>
      <c r="BC33" s="194" t="n">
        <f aca="false">IF(AND(Projects!$C$27&lt;=BC$4,BC$4&lt;=Projects!$C$27+Projects!$D$27-1),Projects!$B$27/Projects!$D$27,"")</f>
        <v>789473.684210526</v>
      </c>
      <c r="BD33" s="194" t="n">
        <f aca="false">IF(AND(Projects!$C$27&lt;=BD$4,BD$4&lt;=Projects!$C$27+Projects!$D$27-1),Projects!$B$27/Projects!$D$27,"")</f>
        <v>789473.684210526</v>
      </c>
      <c r="BE33" s="194" t="n">
        <f aca="false">IF(AND(Projects!$C$27&lt;=BE$4,BE$4&lt;=Projects!$C$27+Projects!$D$27-1),Projects!$B$27/Projects!$D$27,"")</f>
        <v>789473.684210526</v>
      </c>
      <c r="BF33" s="194" t="n">
        <f aca="false">IF(AND(Projects!$C$27&lt;=BF$4,BF$4&lt;=Projects!$C$27+Projects!$D$27-1),Projects!$B$27/Projects!$D$27,"")</f>
        <v>789473.684210526</v>
      </c>
      <c r="BG33" s="194" t="n">
        <f aca="false">IF(AND(Projects!$C$27&lt;=BG$4,BG$4&lt;=Projects!$C$27+Projects!$D$27-1),Projects!$B$27/Projects!$D$27,"")</f>
        <v>789473.684210526</v>
      </c>
      <c r="BH33" s="194" t="n">
        <f aca="false">IF(AND(Projects!$C$27&lt;=BH$4,BH$4&lt;=Projects!$C$27+Projects!$D$27-1),Projects!$B$27/Projects!$D$27,"")</f>
        <v>789473.684210526</v>
      </c>
      <c r="BI33" s="194" t="n">
        <f aca="false">IF(AND(Projects!$C$27&lt;=BI$4,BI$4&lt;=Projects!$C$27+Projects!$D$27-1),Projects!$B$27/Projects!$D$27,"")</f>
        <v>789473.684210526</v>
      </c>
      <c r="BJ33" s="194" t="n">
        <f aca="false">IF(AND(Projects!$C$27&lt;=BJ$4,BJ$4&lt;=Projects!$C$27+Projects!$D$27-1),Projects!$B$27/Projects!$D$27,"")</f>
        <v>789473.684210526</v>
      </c>
      <c r="BK33" s="194" t="n">
        <f aca="false">IF(AND(Projects!$C$27&lt;=BK$4,BK$4&lt;=Projects!$C$27+Projects!$D$27-1),Projects!$B$27/Projects!$D$27,"")</f>
        <v>789473.684210526</v>
      </c>
      <c r="BL33" s="194" t="n">
        <f aca="false">IF(AND(Projects!$C$27&lt;=BL$4,BL$4&lt;=Projects!$C$27+Projects!$D$27-1),Projects!$B$27/Projects!$D$27,"")</f>
        <v>789473.684210526</v>
      </c>
      <c r="BM33" s="194" t="n">
        <f aca="false">IF(AND(Projects!$C$27&lt;=BM$4,BM$4&lt;=Projects!$C$27+Projects!$D$27-1),Projects!$B$27/Projects!$D$27,"")</f>
        <v>789473.684210526</v>
      </c>
      <c r="BN33" s="194" t="n">
        <f aca="false">IF(AND(Projects!$C$27&lt;=BN$4,BN$4&lt;=Projects!$C$27+Projects!$D$27-1),Projects!$B$27/Projects!$D$27,"")</f>
        <v>789473.684210526</v>
      </c>
      <c r="BO33" s="194" t="n">
        <f aca="false">IF(AND(Projects!$C$27&lt;=BO$4,BO$4&lt;=Projects!$C$27+Projects!$D$27-1),Projects!$B$27/Projects!$D$27,"")</f>
        <v>789473.684210526</v>
      </c>
      <c r="BP33" s="194" t="n">
        <f aca="false">IF(AND(Projects!$C$27&lt;=BP$4,BP$4&lt;=Projects!$C$27+Projects!$D$27-1),Projects!$B$27/Projects!$D$27,"")</f>
        <v>789473.684210526</v>
      </c>
      <c r="BQ33" s="194" t="str">
        <f aca="false">IF(AND(Projects!$C$27&lt;=BQ$4,BQ$4&lt;=Projects!$C$27+Projects!$D$27-1),Projects!$B$27/Projects!$D$27,"")</f>
        <v/>
      </c>
      <c r="BR33" s="194" t="str">
        <f aca="false">IF(AND(Projects!$C$27&lt;=BR$4,BR$4&lt;=Projects!$C$27+Projects!$D$27-1),Projects!$B$27/Projects!$D$27,"")</f>
        <v/>
      </c>
      <c r="BS33" s="194" t="str">
        <f aca="false">IF(AND(Projects!$C$27&lt;=BS$4,BS$4&lt;=Projects!$C$27+Projects!$D$27-1),Projects!$B$27/Projects!$D$27,"")</f>
        <v/>
      </c>
      <c r="BT33" s="194" t="str">
        <f aca="false">IF(AND(Projects!$C$27&lt;=BT$4,BT$4&lt;=Projects!$C$27+Projects!$D$27-1),Projects!$B$27/Projects!$D$27,"")</f>
        <v/>
      </c>
      <c r="BU33" s="194" t="str">
        <f aca="false">IF(AND(Projects!$C$27&lt;=BU$4,BU$4&lt;=Projects!$C$27+Projects!$D$27-1),Projects!$B$27/Projects!$D$27,"")</f>
        <v/>
      </c>
      <c r="BV33" s="194" t="str">
        <f aca="false">IF(AND(Projects!$C$27&lt;=BV$4,BV$4&lt;=Projects!$C$27+Projects!$D$27-1),Projects!$B$27/Projects!$D$27,"")</f>
        <v/>
      </c>
      <c r="BW33" s="194" t="str">
        <f aca="false">IF(AND(Projects!$C$27&lt;=BW$4,BW$4&lt;=Projects!$C$27+Projects!$D$27-1),Projects!$B$27/Projects!$D$27,"")</f>
        <v/>
      </c>
      <c r="BX33" s="194" t="str">
        <f aca="false">IF(AND(Projects!$C$27&lt;=BX$4,BX$4&lt;=Projects!$C$27+Projects!$D$27-1),Projects!$B$27/Projects!$D$27,"")</f>
        <v/>
      </c>
      <c r="BY33" s="194" t="str">
        <f aca="false">IF(AND(Projects!$C$27&lt;=BY$4,BY$4&lt;=Projects!$C$27+Projects!$D$27-1),Projects!$B$27/Projects!$D$27,"")</f>
        <v/>
      </c>
      <c r="BZ33" s="194" t="str">
        <f aca="false">IF(AND(Projects!$C$27&lt;=BZ$4,BZ$4&lt;=Projects!$C$27+Projects!$D$27-1),Projects!$B$27/Projects!$D$27,"")</f>
        <v/>
      </c>
      <c r="CA33" s="194" t="str">
        <f aca="false">IF(AND(Projects!$C$27&lt;=CA$4,CA$4&lt;=Projects!$C$27+Projects!$D$27-1),Projects!$B$27/Projects!$D$27,"")</f>
        <v/>
      </c>
      <c r="CB33" s="194" t="str">
        <f aca="false">IF(AND(Projects!$C$27&lt;=CB$4,CB$4&lt;=Projects!$C$27+Projects!$D$27-1),Projects!$B$27/Projects!$D$27,"")</f>
        <v/>
      </c>
      <c r="CC33" s="194" t="str">
        <f aca="false">IF(AND(Projects!$C$27&lt;=CC$4,CC$4&lt;=Projects!$C$27+Projects!$D$27-1),Projects!$B$27/Projects!$D$27,"")</f>
        <v/>
      </c>
      <c r="CD33" s="194" t="str">
        <f aca="false">IF(AND(Projects!$C$27&lt;=CD$4,CD$4&lt;=Projects!$C$27+Projects!$D$27-1),Projects!$B$27/Projects!$D$27,"")</f>
        <v/>
      </c>
      <c r="CE33" s="194" t="str">
        <f aca="false">IF(AND(Projects!$C$27&lt;=CE$4,CE$4&lt;=Projects!$C$27+Projects!$D$27-1),Projects!$B$27/Projects!$D$27,"")</f>
        <v/>
      </c>
      <c r="CF33" s="194" t="str">
        <f aca="false">IF(AND(Projects!$C$27&lt;=CF$4,CF$4&lt;=Projects!$C$27+Projects!$D$27-1),Projects!$B$27/Projects!$D$27,"")</f>
        <v/>
      </c>
      <c r="CG33" s="194" t="str">
        <f aca="false">IF(AND(Projects!$C$27&lt;=CG$4,CG$4&lt;=Projects!$C$27+Projects!$D$27-1),Projects!$B$27/Projects!$D$27,"")</f>
        <v/>
      </c>
      <c r="CH33" s="194" t="str">
        <f aca="false">IF(AND(Projects!$C$27&lt;=CH$4,CH$4&lt;=Projects!$C$27+Projects!$D$27-1),Projects!$B$27/Projects!$D$27,"")</f>
        <v/>
      </c>
      <c r="CI33" s="194" t="str">
        <f aca="false">IF(AND(Projects!$C$27&lt;=CI$4,CI$4&lt;=Projects!$C$27+Projects!$D$27-1),Projects!$B$27/Projects!$D$27,"")</f>
        <v/>
      </c>
      <c r="CJ33" s="194" t="str">
        <f aca="false">IF(AND(Projects!$C$27&lt;=CJ$4,CJ$4&lt;=Projects!$C$27+Projects!$D$27-1),Projects!$B$27/Projects!$D$27,"")</f>
        <v/>
      </c>
      <c r="CK33" s="194" t="str">
        <f aca="false">IF(AND(Projects!$C$27&lt;=CK$4,CK$4&lt;=Projects!$C$27+Projects!$D$27-1),Projects!$B$27/Projects!$D$27,"")</f>
        <v/>
      </c>
      <c r="CL33" s="194" t="str">
        <f aca="false">IF(AND(Projects!$C$27&lt;=CL$4,CL$4&lt;=Projects!$C$27+Projects!$D$27-1),Projects!$B$27/Projects!$D$27,"")</f>
        <v/>
      </c>
      <c r="CM33" s="194" t="str">
        <f aca="false">IF(AND(Projects!$C$27&lt;=CM$4,CM$4&lt;=Projects!$C$27+Projects!$D$27-1),Projects!$B$27/Projects!$D$27,"")</f>
        <v/>
      </c>
      <c r="CN33" s="194" t="str">
        <f aca="false">IF(AND(Projects!$C$27&lt;=CN$4,CN$4&lt;=Projects!$C$27+Projects!$D$27-1),Projects!$B$27/Projects!$D$27,"")</f>
        <v/>
      </c>
      <c r="CO33" s="194" t="str">
        <f aca="false">IF(AND(Projects!$C$27&lt;=CO$4,CO$4&lt;=Projects!$C$27+Projects!$D$27-1),Projects!$B$27/Projects!$D$27,"")</f>
        <v/>
      </c>
      <c r="CP33" s="194" t="str">
        <f aca="false">IF(AND(Projects!$C$27&lt;=CP$4,CP$4&lt;=Projects!$C$27+Projects!$D$27-1),Projects!$B$27/Projects!$D$27,"")</f>
        <v/>
      </c>
      <c r="CQ33" s="194" t="str">
        <f aca="false">IF(AND(Projects!$C$27&lt;=CQ$4,CQ$4&lt;=Projects!$C$27+Projects!$D$27-1),Projects!$B$27/Projects!$D$27,"")</f>
        <v/>
      </c>
      <c r="CR33" s="194" t="str">
        <f aca="false">IF(AND(Projects!$C$27&lt;=CR$4,CR$4&lt;=Projects!$C$27+Projects!$D$27-1),Projects!$B$27/Projects!$D$27,"")</f>
        <v/>
      </c>
      <c r="CS33" s="194" t="str">
        <f aca="false">IF(AND(Projects!$C$27&lt;=CS$4,CS$4&lt;=Projects!$C$27+Projects!$D$27-1),Projects!$B$27/Projects!$D$27,"")</f>
        <v/>
      </c>
      <c r="CT33" s="194" t="str">
        <f aca="false">IF(AND(Projects!$C$27&lt;=CT$4,CT$4&lt;=Projects!$C$27+Projects!$D$27-1),Projects!$B$27/Projects!$D$27,"")</f>
        <v/>
      </c>
      <c r="CU33" s="194" t="str">
        <f aca="false">IF(AND(Projects!$C$27&lt;=CU$4,CU$4&lt;=Projects!$C$27+Projects!$D$27-1),Projects!$B$27/Projects!$D$27,"")</f>
        <v/>
      </c>
      <c r="CV33" s="194" t="str">
        <f aca="false">IF(AND(Projects!$C$27&lt;=CV$4,CV$4&lt;=Projects!$C$27+Projects!$D$27-1),Projects!$B$27/Projects!$D$27,"")</f>
        <v/>
      </c>
      <c r="CW33" s="194" t="str">
        <f aca="false">IF(AND(Projects!$C$27&lt;=CW$4,CW$4&lt;=Projects!$C$27+Projects!$D$27-1),Projects!$B$27/Projects!$D$27,"")</f>
        <v/>
      </c>
      <c r="CX33" s="194" t="str">
        <f aca="false">IF(AND(Projects!$C$27&lt;=CX$4,CX$4&lt;=Projects!$C$27+Projects!$D$27-1),Projects!$B$27/Projects!$D$27,"")</f>
        <v/>
      </c>
      <c r="CY33" s="194" t="str">
        <f aca="false">IF(AND(Projects!$C$27&lt;=CY$4,CY$4&lt;=Projects!$C$27+Projects!$D$27-1),Projects!$B$27/Projects!$D$27,"")</f>
        <v/>
      </c>
      <c r="CZ33" s="194" t="str">
        <f aca="false">IF(AND(Projects!$C$27&lt;=CZ$4,CZ$4&lt;=Projects!$C$27+Projects!$D$27-1),Projects!$B$27/Projects!$D$27,"")</f>
        <v/>
      </c>
      <c r="DA33" s="194" t="str">
        <f aca="false">IF(AND(Projects!$C$27&lt;=DA$4,DA$4&lt;=Projects!$C$27+Projects!$D$27-1),Projects!$B$27/Projects!$D$27,"")</f>
        <v/>
      </c>
      <c r="DB33" s="194" t="str">
        <f aca="false">IF(AND(Projects!$C$27&lt;=DB$4,DB$4&lt;=Projects!$C$27+Projects!$D$27-1),Projects!$B$27/Projects!$D$27,"")</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Projects!$B$28/Projects!$D$28</f>
        <v>789473.684210526</v>
      </c>
      <c r="G34" s="194" t="str">
        <f aca="false">IF(AND(Projects!$C$28&lt;=G$4,G$4&lt;=Projects!$C$28+Projects!$D$28-1),Projects!$B$28/Projects!$D$28,"")</f>
        <v/>
      </c>
      <c r="H34" s="194" t="str">
        <f aca="false">IF(AND(Projects!$C$28&lt;=H$4,H$4&lt;=Projects!$C$28+Projects!$D$28-1),Projects!$B$28/Projects!$D$28,"")</f>
        <v/>
      </c>
      <c r="I34" s="194" t="str">
        <f aca="false">IF(AND(Projects!$C$28&lt;=I$4,I$4&lt;=Projects!$C$28+Projects!$D$28-1),Projects!$B$28/Projects!$D$28,"")</f>
        <v/>
      </c>
      <c r="J34" s="194" t="str">
        <f aca="false">IF(AND(Projects!$C$28&lt;=J$4,J$4&lt;=Projects!$C$28+Projects!$D$28-1),Projects!$B$28/Projects!$D$28,"")</f>
        <v/>
      </c>
      <c r="K34" s="194" t="str">
        <f aca="false">IF(AND(Projects!$C$28&lt;=K$4,K$4&lt;=Projects!$C$28+Projects!$D$28-1),Projects!$B$28/Projects!$D$28,"")</f>
        <v/>
      </c>
      <c r="L34" s="194" t="str">
        <f aca="false">IF(AND(Projects!$C$28&lt;=L$4,L$4&lt;=Projects!$C$28+Projects!$D$28-1),Projects!$B$28/Projects!$D$28,"")</f>
        <v/>
      </c>
      <c r="M34" s="194" t="str">
        <f aca="false">IF(AND(Projects!$C$28&lt;=M$4,M$4&lt;=Projects!$C$28+Projects!$D$28-1),Projects!$B$28/Projects!$D$28,"")</f>
        <v/>
      </c>
      <c r="N34" s="194" t="str">
        <f aca="false">IF(AND(Projects!$C$28&lt;=N$4,N$4&lt;=Projects!$C$28+Projects!$D$28-1),Projects!$B$28/Projects!$D$28,"")</f>
        <v/>
      </c>
      <c r="O34" s="194" t="str">
        <f aca="false">IF(AND(Projects!$C$28&lt;=O$4,O$4&lt;=Projects!$C$28+Projects!$D$28-1),Projects!$B$28/Projects!$D$28,"")</f>
        <v/>
      </c>
      <c r="P34" s="194" t="str">
        <f aca="false">IF(AND(Projects!$C$28&lt;=P$4,P$4&lt;=Projects!$C$28+Projects!$D$28-1),Projects!$B$28/Projects!$D$28,"")</f>
        <v/>
      </c>
      <c r="Q34" s="194" t="str">
        <f aca="false">IF(AND(Projects!$C$28&lt;=Q$4,Q$4&lt;=Projects!$C$28+Projects!$D$28-1),Projects!$B$28/Projects!$D$28,"")</f>
        <v/>
      </c>
      <c r="R34" s="194" t="str">
        <f aca="false">IF(AND(Projects!$C$28&lt;=R$4,R$4&lt;=Projects!$C$28+Projects!$D$28-1),Projects!$B$28/Projects!$D$28,"")</f>
        <v/>
      </c>
      <c r="S34" s="194" t="str">
        <f aca="false">IF(AND(Projects!$C$28&lt;=S$4,S$4&lt;=Projects!$C$28+Projects!$D$28-1),Projects!$B$28/Projects!$D$28,"")</f>
        <v/>
      </c>
      <c r="T34" s="194" t="str">
        <f aca="false">IF(AND(Projects!$C$28&lt;=T$4,T$4&lt;=Projects!$C$28+Projects!$D$28-1),Projects!$B$28/Projects!$D$28,"")</f>
        <v/>
      </c>
      <c r="U34" s="194" t="str">
        <f aca="false">IF(AND(Projects!$C$28&lt;=U$4,U$4&lt;=Projects!$C$28+Projects!$D$28-1),Projects!$B$28/Projects!$D$28,"")</f>
        <v/>
      </c>
      <c r="V34" s="194" t="str">
        <f aca="false">IF(AND(Projects!$C$28&lt;=V$4,V$4&lt;=Projects!$C$28+Projects!$D$28-1),Projects!$B$28/Projects!$D$28,"")</f>
        <v/>
      </c>
      <c r="W34" s="194" t="str">
        <f aca="false">IF(AND(Projects!$C$28&lt;=W$4,W$4&lt;=Projects!$C$28+Projects!$D$28-1),Projects!$B$28/Projects!$D$28,"")</f>
        <v/>
      </c>
      <c r="X34" s="194" t="str">
        <f aca="false">IF(AND(Projects!$C$28&lt;=X$4,X$4&lt;=Projects!$C$28+Projects!$D$28-1),Projects!$B$28/Projects!$D$28,"")</f>
        <v/>
      </c>
      <c r="Y34" s="194" t="str">
        <f aca="false">IF(AND(Projects!$C$28&lt;=Y$4,Y$4&lt;=Projects!$C$28+Projects!$D$28-1),Projects!$B$28/Projects!$D$28,"")</f>
        <v/>
      </c>
      <c r="Z34" s="194" t="str">
        <f aca="false">IF(AND(Projects!$C$28&lt;=Z$4,Z$4&lt;=Projects!$C$28+Projects!$D$28-1),Projects!$B$28/Projects!$D$28,"")</f>
        <v/>
      </c>
      <c r="AA34" s="194" t="str">
        <f aca="false">IF(AND(Projects!$C$28&lt;=AA$4,AA$4&lt;=Projects!$C$28+Projects!$D$28-1),Projects!$B$28/Projects!$D$28,"")</f>
        <v/>
      </c>
      <c r="AB34" s="194" t="str">
        <f aca="false">IF(AND(Projects!$C$28&lt;=AB$4,AB$4&lt;=Projects!$C$28+Projects!$D$28-1),Projects!$B$28/Projects!$D$28,"")</f>
        <v/>
      </c>
      <c r="AC34" s="194" t="str">
        <f aca="false">IF(AND(Projects!$C$28&lt;=AC$4,AC$4&lt;=Projects!$C$28+Projects!$D$28-1),Projects!$B$28/Projects!$D$28,"")</f>
        <v/>
      </c>
      <c r="AD34" s="194" t="str">
        <f aca="false">IF(AND(Projects!$C$28&lt;=AD$4,AD$4&lt;=Projects!$C$28+Projects!$D$28-1),Projects!$B$28/Projects!$D$28,"")</f>
        <v/>
      </c>
      <c r="AE34" s="194" t="str">
        <f aca="false">IF(AND(Projects!$C$28&lt;=AE$4,AE$4&lt;=Projects!$C$28+Projects!$D$28-1),Projects!$B$28/Projects!$D$28,"")</f>
        <v/>
      </c>
      <c r="AF34" s="194" t="str">
        <f aca="false">IF(AND(Projects!$C$28&lt;=AF$4,AF$4&lt;=Projects!$C$28+Projects!$D$28-1),Projects!$B$28/Projects!$D$28,"")</f>
        <v/>
      </c>
      <c r="AG34" s="194" t="str">
        <f aca="false">IF(AND(Projects!$C$28&lt;=AG$4,AG$4&lt;=Projects!$C$28+Projects!$D$28-1),Projects!$B$28/Projects!$D$28,"")</f>
        <v/>
      </c>
      <c r="AH34" s="194" t="str">
        <f aca="false">IF(AND(Projects!$C$28&lt;=AH$4,AH$4&lt;=Projects!$C$28+Projects!$D$28-1),Projects!$B$28/Projects!$D$28,"")</f>
        <v/>
      </c>
      <c r="AI34" s="194" t="str">
        <f aca="false">IF(AND(Projects!$C$28&lt;=AI$4,AI$4&lt;=Projects!$C$28+Projects!$D$28-1),Projects!$B$28/Projects!$D$28,"")</f>
        <v/>
      </c>
      <c r="AJ34" s="194" t="str">
        <f aca="false">IF(AND(Projects!$C$28&lt;=AJ$4,AJ$4&lt;=Projects!$C$28+Projects!$D$28-1),Projects!$B$28/Projects!$D$28,"")</f>
        <v/>
      </c>
      <c r="AK34" s="194" t="str">
        <f aca="false">IF(AND(Projects!$C$28&lt;=AK$4,AK$4&lt;=Projects!$C$28+Projects!$D$28-1),Projects!$B$28/Projects!$D$28,"")</f>
        <v/>
      </c>
      <c r="AL34" s="194" t="str">
        <f aca="false">IF(AND(Projects!$C$28&lt;=AL$4,AL$4&lt;=Projects!$C$28+Projects!$D$28-1),Projects!$B$28/Projects!$D$28,"")</f>
        <v/>
      </c>
      <c r="AM34" s="194" t="str">
        <f aca="false">IF(AND(Projects!$C$28&lt;=AM$4,AM$4&lt;=Projects!$C$28+Projects!$D$28-1),Projects!$B$28/Projects!$D$28,"")</f>
        <v/>
      </c>
      <c r="AN34" s="194" t="str">
        <f aca="false">IF(AND(Projects!$C$28&lt;=AN$4,AN$4&lt;=Projects!$C$28+Projects!$D$28-1),Projects!$B$28/Projects!$D$28,"")</f>
        <v/>
      </c>
      <c r="AO34" s="194" t="str">
        <f aca="false">IF(AND(Projects!$C$28&lt;=AO$4,AO$4&lt;=Projects!$C$28+Projects!$D$28-1),Projects!$B$28/Projects!$D$28,"")</f>
        <v/>
      </c>
      <c r="AP34" s="194" t="str">
        <f aca="false">IF(AND(Projects!$C$28&lt;=AP$4,AP$4&lt;=Projects!$C$28+Projects!$D$28-1),Projects!$B$28/Projects!$D$28,"")</f>
        <v/>
      </c>
      <c r="AQ34" s="194" t="str">
        <f aca="false">IF(AND(Projects!$C$28&lt;=AQ$4,AQ$4&lt;=Projects!$C$28+Projects!$D$28-1),Projects!$B$28/Projects!$D$28,"")</f>
        <v/>
      </c>
      <c r="AR34" s="194" t="str">
        <f aca="false">IF(AND(Projects!$C$28&lt;=AR$4,AR$4&lt;=Projects!$C$28+Projects!$D$28-1),Projects!$B$28/Projects!$D$28,"")</f>
        <v/>
      </c>
      <c r="AS34" s="194" t="str">
        <f aca="false">IF(AND(Projects!$C$28&lt;=AS$4,AS$4&lt;=Projects!$C$28+Projects!$D$28-1),Projects!$B$28/Projects!$D$28,"")</f>
        <v/>
      </c>
      <c r="AT34" s="194" t="str">
        <f aca="false">IF(AND(Projects!$C$28&lt;=AT$4,AT$4&lt;=Projects!$C$28+Projects!$D$28-1),Projects!$B$28/Projects!$D$28,"")</f>
        <v/>
      </c>
      <c r="AU34" s="194" t="str">
        <f aca="false">IF(AND(Projects!$C$28&lt;=AU$4,AU$4&lt;=Projects!$C$28+Projects!$D$28-1),Projects!$B$28/Projects!$D$28,"")</f>
        <v/>
      </c>
      <c r="AV34" s="194" t="str">
        <f aca="false">IF(AND(Projects!$C$28&lt;=AV$4,AV$4&lt;=Projects!$C$28+Projects!$D$28-1),Projects!$B$28/Projects!$D$28,"")</f>
        <v/>
      </c>
      <c r="AW34" s="194" t="str">
        <f aca="false">IF(AND(Projects!$C$28&lt;=AW$4,AW$4&lt;=Projects!$C$28+Projects!$D$28-1),Projects!$B$28/Projects!$D$28,"")</f>
        <v/>
      </c>
      <c r="AX34" s="194" t="str">
        <f aca="false">IF(AND(Projects!$C$28&lt;=AX$4,AX$4&lt;=Projects!$C$28+Projects!$D$28-1),Projects!$B$28/Projects!$D$28,"")</f>
        <v/>
      </c>
      <c r="AY34" s="194" t="str">
        <f aca="false">IF(AND(Projects!$C$28&lt;=AY$4,AY$4&lt;=Projects!$C$28+Projects!$D$28-1),Projects!$B$28/Projects!$D$28,"")</f>
        <v/>
      </c>
      <c r="AZ34" s="194" t="n">
        <f aca="false">IF(AND(Projects!$C$28&lt;=AZ$4,AZ$4&lt;=Projects!$C$28+Projects!$D$28-1),Projects!$B$28/Projects!$D$28,"")</f>
        <v>789473.684210526</v>
      </c>
      <c r="BA34" s="194" t="n">
        <f aca="false">IF(AND(Projects!$C$28&lt;=BA$4,BA$4&lt;=Projects!$C$28+Projects!$D$28-1),Projects!$B$28/Projects!$D$28,"")</f>
        <v>789473.684210526</v>
      </c>
      <c r="BB34" s="194" t="n">
        <f aca="false">IF(AND(Projects!$C$28&lt;=BB$4,BB$4&lt;=Projects!$C$28+Projects!$D$28-1),Projects!$B$28/Projects!$D$28,"")</f>
        <v>789473.684210526</v>
      </c>
      <c r="BC34" s="194" t="n">
        <f aca="false">IF(AND(Projects!$C$28&lt;=BC$4,BC$4&lt;=Projects!$C$28+Projects!$D$28-1),Projects!$B$28/Projects!$D$28,"")</f>
        <v>789473.684210526</v>
      </c>
      <c r="BD34" s="194" t="n">
        <f aca="false">IF(AND(Projects!$C$28&lt;=BD$4,BD$4&lt;=Projects!$C$28+Projects!$D$28-1),Projects!$B$28/Projects!$D$28,"")</f>
        <v>789473.684210526</v>
      </c>
      <c r="BE34" s="194" t="n">
        <f aca="false">IF(AND(Projects!$C$28&lt;=BE$4,BE$4&lt;=Projects!$C$28+Projects!$D$28-1),Projects!$B$28/Projects!$D$28,"")</f>
        <v>789473.684210526</v>
      </c>
      <c r="BF34" s="194" t="n">
        <f aca="false">IF(AND(Projects!$C$28&lt;=BF$4,BF$4&lt;=Projects!$C$28+Projects!$D$28-1),Projects!$B$28/Projects!$D$28,"")</f>
        <v>789473.684210526</v>
      </c>
      <c r="BG34" s="194" t="n">
        <f aca="false">IF(AND(Projects!$C$28&lt;=BG$4,BG$4&lt;=Projects!$C$28+Projects!$D$28-1),Projects!$B$28/Projects!$D$28,"")</f>
        <v>789473.684210526</v>
      </c>
      <c r="BH34" s="194" t="n">
        <f aca="false">IF(AND(Projects!$C$28&lt;=BH$4,BH$4&lt;=Projects!$C$28+Projects!$D$28-1),Projects!$B$28/Projects!$D$28,"")</f>
        <v>789473.684210526</v>
      </c>
      <c r="BI34" s="194" t="n">
        <f aca="false">IF(AND(Projects!$C$28&lt;=BI$4,BI$4&lt;=Projects!$C$28+Projects!$D$28-1),Projects!$B$28/Projects!$D$28,"")</f>
        <v>789473.684210526</v>
      </c>
      <c r="BJ34" s="194" t="n">
        <f aca="false">IF(AND(Projects!$C$28&lt;=BJ$4,BJ$4&lt;=Projects!$C$28+Projects!$D$28-1),Projects!$B$28/Projects!$D$28,"")</f>
        <v>789473.684210526</v>
      </c>
      <c r="BK34" s="194" t="n">
        <f aca="false">IF(AND(Projects!$C$28&lt;=BK$4,BK$4&lt;=Projects!$C$28+Projects!$D$28-1),Projects!$B$28/Projects!$D$28,"")</f>
        <v>789473.684210526</v>
      </c>
      <c r="BL34" s="194" t="n">
        <f aca="false">IF(AND(Projects!$C$28&lt;=BL$4,BL$4&lt;=Projects!$C$28+Projects!$D$28-1),Projects!$B$28/Projects!$D$28,"")</f>
        <v>789473.684210526</v>
      </c>
      <c r="BM34" s="194" t="n">
        <f aca="false">IF(AND(Projects!$C$28&lt;=BM$4,BM$4&lt;=Projects!$C$28+Projects!$D$28-1),Projects!$B$28/Projects!$D$28,"")</f>
        <v>789473.684210526</v>
      </c>
      <c r="BN34" s="194" t="n">
        <f aca="false">IF(AND(Projects!$C$28&lt;=BN$4,BN$4&lt;=Projects!$C$28+Projects!$D$28-1),Projects!$B$28/Projects!$D$28,"")</f>
        <v>789473.684210526</v>
      </c>
      <c r="BO34" s="194" t="n">
        <f aca="false">IF(AND(Projects!$C$28&lt;=BO$4,BO$4&lt;=Projects!$C$28+Projects!$D$28-1),Projects!$B$28/Projects!$D$28,"")</f>
        <v>789473.684210526</v>
      </c>
      <c r="BP34" s="194" t="n">
        <f aca="false">IF(AND(Projects!$C$28&lt;=BP$4,BP$4&lt;=Projects!$C$28+Projects!$D$28-1),Projects!$B$28/Projects!$D$28,"")</f>
        <v>789473.684210526</v>
      </c>
      <c r="BQ34" s="194" t="n">
        <f aca="false">IF(AND(Projects!$C$28&lt;=BQ$4,BQ$4&lt;=Projects!$C$28+Projects!$D$28-1),Projects!$B$28/Projects!$D$28,"")</f>
        <v>789473.684210526</v>
      </c>
      <c r="BR34" s="194" t="n">
        <f aca="false">IF(AND(Projects!$C$28&lt;=BR$4,BR$4&lt;=Projects!$C$28+Projects!$D$28-1),Projects!$B$28/Projects!$D$28,"")</f>
        <v>789473.684210526</v>
      </c>
      <c r="BS34" s="194" t="str">
        <f aca="false">IF(AND(Projects!$C$28&lt;=BS$4,BS$4&lt;=Projects!$C$28+Projects!$D$28-1),Projects!$B$28/Projects!$D$28,"")</f>
        <v/>
      </c>
      <c r="BT34" s="194" t="str">
        <f aca="false">IF(AND(Projects!$C$28&lt;=BT$4,BT$4&lt;=Projects!$C$28+Projects!$D$28-1),Projects!$B$28/Projects!$D$28,"")</f>
        <v/>
      </c>
      <c r="BU34" s="194" t="str">
        <f aca="false">IF(AND(Projects!$C$28&lt;=BU$4,BU$4&lt;=Projects!$C$28+Projects!$D$28-1),Projects!$B$28/Projects!$D$28,"")</f>
        <v/>
      </c>
      <c r="BV34" s="194" t="str">
        <f aca="false">IF(AND(Projects!$C$28&lt;=BV$4,BV$4&lt;=Projects!$C$28+Projects!$D$28-1),Projects!$B$28/Projects!$D$28,"")</f>
        <v/>
      </c>
      <c r="BW34" s="194" t="str">
        <f aca="false">IF(AND(Projects!$C$28&lt;=BW$4,BW$4&lt;=Projects!$C$28+Projects!$D$28-1),Projects!$B$28/Projects!$D$28,"")</f>
        <v/>
      </c>
      <c r="BX34" s="194" t="str">
        <f aca="false">IF(AND(Projects!$C$28&lt;=BX$4,BX$4&lt;=Projects!$C$28+Projects!$D$28-1),Projects!$B$28/Projects!$D$28,"")</f>
        <v/>
      </c>
      <c r="BY34" s="194" t="str">
        <f aca="false">IF(AND(Projects!$C$28&lt;=BY$4,BY$4&lt;=Projects!$C$28+Projects!$D$28-1),Projects!$B$28/Projects!$D$28,"")</f>
        <v/>
      </c>
      <c r="BZ34" s="194" t="str">
        <f aca="false">IF(AND(Projects!$C$28&lt;=BZ$4,BZ$4&lt;=Projects!$C$28+Projects!$D$28-1),Projects!$B$28/Projects!$D$28,"")</f>
        <v/>
      </c>
      <c r="CA34" s="194" t="str">
        <f aca="false">IF(AND(Projects!$C$28&lt;=CA$4,CA$4&lt;=Projects!$C$28+Projects!$D$28-1),Projects!$B$28/Projects!$D$28,"")</f>
        <v/>
      </c>
      <c r="CB34" s="194" t="str">
        <f aca="false">IF(AND(Projects!$C$28&lt;=CB$4,CB$4&lt;=Projects!$C$28+Projects!$D$28-1),Projects!$B$28/Projects!$D$28,"")</f>
        <v/>
      </c>
      <c r="CC34" s="194" t="str">
        <f aca="false">IF(AND(Projects!$C$28&lt;=CC$4,CC$4&lt;=Projects!$C$28+Projects!$D$28-1),Projects!$B$28/Projects!$D$28,"")</f>
        <v/>
      </c>
      <c r="CD34" s="194" t="str">
        <f aca="false">IF(AND(Projects!$C$28&lt;=CD$4,CD$4&lt;=Projects!$C$28+Projects!$D$28-1),Projects!$B$28/Projects!$D$28,"")</f>
        <v/>
      </c>
      <c r="CE34" s="194" t="str">
        <f aca="false">IF(AND(Projects!$C$28&lt;=CE$4,CE$4&lt;=Projects!$C$28+Projects!$D$28-1),Projects!$B$28/Projects!$D$28,"")</f>
        <v/>
      </c>
      <c r="CF34" s="194" t="str">
        <f aca="false">IF(AND(Projects!$C$28&lt;=CF$4,CF$4&lt;=Projects!$C$28+Projects!$D$28-1),Projects!$B$28/Projects!$D$28,"")</f>
        <v/>
      </c>
      <c r="CG34" s="194" t="str">
        <f aca="false">IF(AND(Projects!$C$28&lt;=CG$4,CG$4&lt;=Projects!$C$28+Projects!$D$28-1),Projects!$B$28/Projects!$D$28,"")</f>
        <v/>
      </c>
      <c r="CH34" s="194" t="str">
        <f aca="false">IF(AND(Projects!$C$28&lt;=CH$4,CH$4&lt;=Projects!$C$28+Projects!$D$28-1),Projects!$B$28/Projects!$D$28,"")</f>
        <v/>
      </c>
      <c r="CI34" s="194" t="str">
        <f aca="false">IF(AND(Projects!$C$28&lt;=CI$4,CI$4&lt;=Projects!$C$28+Projects!$D$28-1),Projects!$B$28/Projects!$D$28,"")</f>
        <v/>
      </c>
      <c r="CJ34" s="194" t="str">
        <f aca="false">IF(AND(Projects!$C$28&lt;=CJ$4,CJ$4&lt;=Projects!$C$28+Projects!$D$28-1),Projects!$B$28/Projects!$D$28,"")</f>
        <v/>
      </c>
      <c r="CK34" s="194" t="str">
        <f aca="false">IF(AND(Projects!$C$28&lt;=CK$4,CK$4&lt;=Projects!$C$28+Projects!$D$28-1),Projects!$B$28/Projects!$D$28,"")</f>
        <v/>
      </c>
      <c r="CL34" s="194" t="str">
        <f aca="false">IF(AND(Projects!$C$28&lt;=CL$4,CL$4&lt;=Projects!$C$28+Projects!$D$28-1),Projects!$B$28/Projects!$D$28,"")</f>
        <v/>
      </c>
      <c r="CM34" s="194" t="str">
        <f aca="false">IF(AND(Projects!$C$28&lt;=CM$4,CM$4&lt;=Projects!$C$28+Projects!$D$28-1),Projects!$B$28/Projects!$D$28,"")</f>
        <v/>
      </c>
      <c r="CN34" s="194" t="str">
        <f aca="false">IF(AND(Projects!$C$28&lt;=CN$4,CN$4&lt;=Projects!$C$28+Projects!$D$28-1),Projects!$B$28/Projects!$D$28,"")</f>
        <v/>
      </c>
      <c r="CO34" s="194" t="str">
        <f aca="false">IF(AND(Projects!$C$28&lt;=CO$4,CO$4&lt;=Projects!$C$28+Projects!$D$28-1),Projects!$B$28/Projects!$D$28,"")</f>
        <v/>
      </c>
      <c r="CP34" s="194" t="str">
        <f aca="false">IF(AND(Projects!$C$28&lt;=CP$4,CP$4&lt;=Projects!$C$28+Projects!$D$28-1),Projects!$B$28/Projects!$D$28,"")</f>
        <v/>
      </c>
      <c r="CQ34" s="194" t="str">
        <f aca="false">IF(AND(Projects!$C$28&lt;=CQ$4,CQ$4&lt;=Projects!$C$28+Projects!$D$28-1),Projects!$B$28/Projects!$D$28,"")</f>
        <v/>
      </c>
      <c r="CR34" s="194" t="str">
        <f aca="false">IF(AND(Projects!$C$28&lt;=CR$4,CR$4&lt;=Projects!$C$28+Projects!$D$28-1),Projects!$B$28/Projects!$D$28,"")</f>
        <v/>
      </c>
      <c r="CS34" s="194" t="str">
        <f aca="false">IF(AND(Projects!$C$28&lt;=CS$4,CS$4&lt;=Projects!$C$28+Projects!$D$28-1),Projects!$B$28/Projects!$D$28,"")</f>
        <v/>
      </c>
      <c r="CT34" s="194" t="str">
        <f aca="false">IF(AND(Projects!$C$28&lt;=CT$4,CT$4&lt;=Projects!$C$28+Projects!$D$28-1),Projects!$B$28/Projects!$D$28,"")</f>
        <v/>
      </c>
      <c r="CU34" s="194" t="str">
        <f aca="false">IF(AND(Projects!$C$28&lt;=CU$4,CU$4&lt;=Projects!$C$28+Projects!$D$28-1),Projects!$B$28/Projects!$D$28,"")</f>
        <v/>
      </c>
      <c r="CV34" s="194" t="str">
        <f aca="false">IF(AND(Projects!$C$28&lt;=CV$4,CV$4&lt;=Projects!$C$28+Projects!$D$28-1),Projects!$B$28/Projects!$D$28,"")</f>
        <v/>
      </c>
      <c r="CW34" s="194" t="str">
        <f aca="false">IF(AND(Projects!$C$28&lt;=CW$4,CW$4&lt;=Projects!$C$28+Projects!$D$28-1),Projects!$B$28/Projects!$D$28,"")</f>
        <v/>
      </c>
      <c r="CX34" s="194" t="str">
        <f aca="false">IF(AND(Projects!$C$28&lt;=CX$4,CX$4&lt;=Projects!$C$28+Projects!$D$28-1),Projects!$B$28/Projects!$D$28,"")</f>
        <v/>
      </c>
      <c r="CY34" s="194" t="str">
        <f aca="false">IF(AND(Projects!$C$28&lt;=CY$4,CY$4&lt;=Projects!$C$28+Projects!$D$28-1),Projects!$B$28/Projects!$D$28,"")</f>
        <v/>
      </c>
      <c r="CZ34" s="194" t="str">
        <f aca="false">IF(AND(Projects!$C$28&lt;=CZ$4,CZ$4&lt;=Projects!$C$28+Projects!$D$28-1),Projects!$B$28/Projects!$D$28,"")</f>
        <v/>
      </c>
      <c r="DA34" s="194" t="str">
        <f aca="false">IF(AND(Projects!$C$28&lt;=DA$4,DA$4&lt;=Projects!$C$28+Projects!$D$28-1),Projects!$B$28/Projects!$D$28,"")</f>
        <v/>
      </c>
      <c r="DB34" s="194" t="str">
        <f aca="false">IF(AND(Projects!$C$28&lt;=DB$4,DB$4&lt;=Projects!$C$28+Projects!$D$28-1),Projects!$B$28/Projects!$D$28,"")</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Projects!$B$29/Projects!$D$29</f>
        <v>789473.684210526</v>
      </c>
      <c r="G35" s="194" t="str">
        <f aca="false">IF(AND(Projects!$C$29&lt;=G$4,G$4&lt;=Projects!$C$29+Projects!$D$29-1),Projects!$B$29/Projects!$D$29,"")</f>
        <v/>
      </c>
      <c r="H35" s="194" t="str">
        <f aca="false">IF(AND(Projects!$C$29&lt;=H$4,H$4&lt;=Projects!$C$29+Projects!$D$29-1),Projects!$B$29/Projects!$D$29,"")</f>
        <v/>
      </c>
      <c r="I35" s="194" t="str">
        <f aca="false">IF(AND(Projects!$C$29&lt;=I$4,I$4&lt;=Projects!$C$29+Projects!$D$29-1),Projects!$B$29/Projects!$D$29,"")</f>
        <v/>
      </c>
      <c r="J35" s="194" t="str">
        <f aca="false">IF(AND(Projects!$C$29&lt;=J$4,J$4&lt;=Projects!$C$29+Projects!$D$29-1),Projects!$B$29/Projects!$D$29,"")</f>
        <v/>
      </c>
      <c r="K35" s="194" t="str">
        <f aca="false">IF(AND(Projects!$C$29&lt;=K$4,K$4&lt;=Projects!$C$29+Projects!$D$29-1),Projects!$B$29/Projects!$D$29,"")</f>
        <v/>
      </c>
      <c r="L35" s="194" t="str">
        <f aca="false">IF(AND(Projects!$C$29&lt;=L$4,L$4&lt;=Projects!$C$29+Projects!$D$29-1),Projects!$B$29/Projects!$D$29,"")</f>
        <v/>
      </c>
      <c r="M35" s="194" t="str">
        <f aca="false">IF(AND(Projects!$C$29&lt;=M$4,M$4&lt;=Projects!$C$29+Projects!$D$29-1),Projects!$B$29/Projects!$D$29,"")</f>
        <v/>
      </c>
      <c r="N35" s="194" t="str">
        <f aca="false">IF(AND(Projects!$C$29&lt;=N$4,N$4&lt;=Projects!$C$29+Projects!$D$29-1),Projects!$B$29/Projects!$D$29,"")</f>
        <v/>
      </c>
      <c r="O35" s="194" t="str">
        <f aca="false">IF(AND(Projects!$C$29&lt;=O$4,O$4&lt;=Projects!$C$29+Projects!$D$29-1),Projects!$B$29/Projects!$D$29,"")</f>
        <v/>
      </c>
      <c r="P35" s="194" t="str">
        <f aca="false">IF(AND(Projects!$C$29&lt;=P$4,P$4&lt;=Projects!$C$29+Projects!$D$29-1),Projects!$B$29/Projects!$D$29,"")</f>
        <v/>
      </c>
      <c r="Q35" s="194" t="str">
        <f aca="false">IF(AND(Projects!$C$29&lt;=Q$4,Q$4&lt;=Projects!$C$29+Projects!$D$29-1),Projects!$B$29/Projects!$D$29,"")</f>
        <v/>
      </c>
      <c r="R35" s="194" t="str">
        <f aca="false">IF(AND(Projects!$C$29&lt;=R$4,R$4&lt;=Projects!$C$29+Projects!$D$29-1),Projects!$B$29/Projects!$D$29,"")</f>
        <v/>
      </c>
      <c r="S35" s="194" t="str">
        <f aca="false">IF(AND(Projects!$C$29&lt;=S$4,S$4&lt;=Projects!$C$29+Projects!$D$29-1),Projects!$B$29/Projects!$D$29,"")</f>
        <v/>
      </c>
      <c r="T35" s="194" t="str">
        <f aca="false">IF(AND(Projects!$C$29&lt;=T$4,T$4&lt;=Projects!$C$29+Projects!$D$29-1),Projects!$B$29/Projects!$D$29,"")</f>
        <v/>
      </c>
      <c r="U35" s="194" t="str">
        <f aca="false">IF(AND(Projects!$C$29&lt;=U$4,U$4&lt;=Projects!$C$29+Projects!$D$29-1),Projects!$B$29/Projects!$D$29,"")</f>
        <v/>
      </c>
      <c r="V35" s="194" t="str">
        <f aca="false">IF(AND(Projects!$C$29&lt;=V$4,V$4&lt;=Projects!$C$29+Projects!$D$29-1),Projects!$B$29/Projects!$D$29,"")</f>
        <v/>
      </c>
      <c r="W35" s="194" t="str">
        <f aca="false">IF(AND(Projects!$C$29&lt;=W$4,W$4&lt;=Projects!$C$29+Projects!$D$29-1),Projects!$B$29/Projects!$D$29,"")</f>
        <v/>
      </c>
      <c r="X35" s="194" t="str">
        <f aca="false">IF(AND(Projects!$C$29&lt;=X$4,X$4&lt;=Projects!$C$29+Projects!$D$29-1),Projects!$B$29/Projects!$D$29,"")</f>
        <v/>
      </c>
      <c r="Y35" s="194" t="str">
        <f aca="false">IF(AND(Projects!$C$29&lt;=Y$4,Y$4&lt;=Projects!$C$29+Projects!$D$29-1),Projects!$B$29/Projects!$D$29,"")</f>
        <v/>
      </c>
      <c r="Z35" s="194" t="str">
        <f aca="false">IF(AND(Projects!$C$29&lt;=Z$4,Z$4&lt;=Projects!$C$29+Projects!$D$29-1),Projects!$B$29/Projects!$D$29,"")</f>
        <v/>
      </c>
      <c r="AA35" s="194" t="str">
        <f aca="false">IF(AND(Projects!$C$29&lt;=AA$4,AA$4&lt;=Projects!$C$29+Projects!$D$29-1),Projects!$B$29/Projects!$D$29,"")</f>
        <v/>
      </c>
      <c r="AB35" s="194" t="str">
        <f aca="false">IF(AND(Projects!$C$29&lt;=AB$4,AB$4&lt;=Projects!$C$29+Projects!$D$29-1),Projects!$B$29/Projects!$D$29,"")</f>
        <v/>
      </c>
      <c r="AC35" s="194" t="str">
        <f aca="false">IF(AND(Projects!$C$29&lt;=AC$4,AC$4&lt;=Projects!$C$29+Projects!$D$29-1),Projects!$B$29/Projects!$D$29,"")</f>
        <v/>
      </c>
      <c r="AD35" s="194" t="str">
        <f aca="false">IF(AND(Projects!$C$29&lt;=AD$4,AD$4&lt;=Projects!$C$29+Projects!$D$29-1),Projects!$B$29/Projects!$D$29,"")</f>
        <v/>
      </c>
      <c r="AE35" s="194" t="str">
        <f aca="false">IF(AND(Projects!$C$29&lt;=AE$4,AE$4&lt;=Projects!$C$29+Projects!$D$29-1),Projects!$B$29/Projects!$D$29,"")</f>
        <v/>
      </c>
      <c r="AF35" s="194" t="str">
        <f aca="false">IF(AND(Projects!$C$29&lt;=AF$4,AF$4&lt;=Projects!$C$29+Projects!$D$29-1),Projects!$B$29/Projects!$D$29,"")</f>
        <v/>
      </c>
      <c r="AG35" s="194" t="str">
        <f aca="false">IF(AND(Projects!$C$29&lt;=AG$4,AG$4&lt;=Projects!$C$29+Projects!$D$29-1),Projects!$B$29/Projects!$D$29,"")</f>
        <v/>
      </c>
      <c r="AH35" s="194" t="str">
        <f aca="false">IF(AND(Projects!$C$29&lt;=AH$4,AH$4&lt;=Projects!$C$29+Projects!$D$29-1),Projects!$B$29/Projects!$D$29,"")</f>
        <v/>
      </c>
      <c r="AI35" s="194" t="str">
        <f aca="false">IF(AND(Projects!$C$29&lt;=AI$4,AI$4&lt;=Projects!$C$29+Projects!$D$29-1),Projects!$B$29/Projects!$D$29,"")</f>
        <v/>
      </c>
      <c r="AJ35" s="194" t="str">
        <f aca="false">IF(AND(Projects!$C$29&lt;=AJ$4,AJ$4&lt;=Projects!$C$29+Projects!$D$29-1),Projects!$B$29/Projects!$D$29,"")</f>
        <v/>
      </c>
      <c r="AK35" s="194" t="str">
        <f aca="false">IF(AND(Projects!$C$29&lt;=AK$4,AK$4&lt;=Projects!$C$29+Projects!$D$29-1),Projects!$B$29/Projects!$D$29,"")</f>
        <v/>
      </c>
      <c r="AL35" s="194" t="str">
        <f aca="false">IF(AND(Projects!$C$29&lt;=AL$4,AL$4&lt;=Projects!$C$29+Projects!$D$29-1),Projects!$B$29/Projects!$D$29,"")</f>
        <v/>
      </c>
      <c r="AM35" s="194" t="str">
        <f aca="false">IF(AND(Projects!$C$29&lt;=AM$4,AM$4&lt;=Projects!$C$29+Projects!$D$29-1),Projects!$B$29/Projects!$D$29,"")</f>
        <v/>
      </c>
      <c r="AN35" s="194" t="str">
        <f aca="false">IF(AND(Projects!$C$29&lt;=AN$4,AN$4&lt;=Projects!$C$29+Projects!$D$29-1),Projects!$B$29/Projects!$D$29,"")</f>
        <v/>
      </c>
      <c r="AO35" s="194" t="str">
        <f aca="false">IF(AND(Projects!$C$29&lt;=AO$4,AO$4&lt;=Projects!$C$29+Projects!$D$29-1),Projects!$B$29/Projects!$D$29,"")</f>
        <v/>
      </c>
      <c r="AP35" s="194" t="str">
        <f aca="false">IF(AND(Projects!$C$29&lt;=AP$4,AP$4&lt;=Projects!$C$29+Projects!$D$29-1),Projects!$B$29/Projects!$D$29,"")</f>
        <v/>
      </c>
      <c r="AQ35" s="194" t="str">
        <f aca="false">IF(AND(Projects!$C$29&lt;=AQ$4,AQ$4&lt;=Projects!$C$29+Projects!$D$29-1),Projects!$B$29/Projects!$D$29,"")</f>
        <v/>
      </c>
      <c r="AR35" s="194" t="str">
        <f aca="false">IF(AND(Projects!$C$29&lt;=AR$4,AR$4&lt;=Projects!$C$29+Projects!$D$29-1),Projects!$B$29/Projects!$D$29,"")</f>
        <v/>
      </c>
      <c r="AS35" s="194" t="str">
        <f aca="false">IF(AND(Projects!$C$29&lt;=AS$4,AS$4&lt;=Projects!$C$29+Projects!$D$29-1),Projects!$B$29/Projects!$D$29,"")</f>
        <v/>
      </c>
      <c r="AT35" s="194" t="str">
        <f aca="false">IF(AND(Projects!$C$29&lt;=AT$4,AT$4&lt;=Projects!$C$29+Projects!$D$29-1),Projects!$B$29/Projects!$D$29,"")</f>
        <v/>
      </c>
      <c r="AU35" s="194" t="str">
        <f aca="false">IF(AND(Projects!$C$29&lt;=AU$4,AU$4&lt;=Projects!$C$29+Projects!$D$29-1),Projects!$B$29/Projects!$D$29,"")</f>
        <v/>
      </c>
      <c r="AV35" s="194" t="str">
        <f aca="false">IF(AND(Projects!$C$29&lt;=AV$4,AV$4&lt;=Projects!$C$29+Projects!$D$29-1),Projects!$B$29/Projects!$D$29,"")</f>
        <v/>
      </c>
      <c r="AW35" s="194" t="str">
        <f aca="false">IF(AND(Projects!$C$29&lt;=AW$4,AW$4&lt;=Projects!$C$29+Projects!$D$29-1),Projects!$B$29/Projects!$D$29,"")</f>
        <v/>
      </c>
      <c r="AX35" s="194" t="str">
        <f aca="false">IF(AND(Projects!$C$29&lt;=AX$4,AX$4&lt;=Projects!$C$29+Projects!$D$29-1),Projects!$B$29/Projects!$D$29,"")</f>
        <v/>
      </c>
      <c r="AY35" s="194" t="str">
        <f aca="false">IF(AND(Projects!$C$29&lt;=AY$4,AY$4&lt;=Projects!$C$29+Projects!$D$29-1),Projects!$B$29/Projects!$D$29,"")</f>
        <v/>
      </c>
      <c r="AZ35" s="194" t="str">
        <f aca="false">IF(AND(Projects!$C$29&lt;=AZ$4,AZ$4&lt;=Projects!$C$29+Projects!$D$29-1),Projects!$B$29/Projects!$D$29,"")</f>
        <v/>
      </c>
      <c r="BA35" s="194" t="str">
        <f aca="false">IF(AND(Projects!$C$29&lt;=BA$4,BA$4&lt;=Projects!$C$29+Projects!$D$29-1),Projects!$B$29/Projects!$D$29,"")</f>
        <v/>
      </c>
      <c r="BB35" s="194" t="n">
        <f aca="false">IF(AND(Projects!$C$29&lt;=BB$4,BB$4&lt;=Projects!$C$29+Projects!$D$29-1),Projects!$B$29/Projects!$D$29,"")</f>
        <v>789473.684210526</v>
      </c>
      <c r="BC35" s="194" t="n">
        <f aca="false">IF(AND(Projects!$C$29&lt;=BC$4,BC$4&lt;=Projects!$C$29+Projects!$D$29-1),Projects!$B$29/Projects!$D$29,"")</f>
        <v>789473.684210526</v>
      </c>
      <c r="BD35" s="194" t="n">
        <f aca="false">IF(AND(Projects!$C$29&lt;=BD$4,BD$4&lt;=Projects!$C$29+Projects!$D$29-1),Projects!$B$29/Projects!$D$29,"")</f>
        <v>789473.684210526</v>
      </c>
      <c r="BE35" s="194" t="n">
        <f aca="false">IF(AND(Projects!$C$29&lt;=BE$4,BE$4&lt;=Projects!$C$29+Projects!$D$29-1),Projects!$B$29/Projects!$D$29,"")</f>
        <v>789473.684210526</v>
      </c>
      <c r="BF35" s="194" t="n">
        <f aca="false">IF(AND(Projects!$C$29&lt;=BF$4,BF$4&lt;=Projects!$C$29+Projects!$D$29-1),Projects!$B$29/Projects!$D$29,"")</f>
        <v>789473.684210526</v>
      </c>
      <c r="BG35" s="194" t="n">
        <f aca="false">IF(AND(Projects!$C$29&lt;=BG$4,BG$4&lt;=Projects!$C$29+Projects!$D$29-1),Projects!$B$29/Projects!$D$29,"")</f>
        <v>789473.684210526</v>
      </c>
      <c r="BH35" s="194" t="n">
        <f aca="false">IF(AND(Projects!$C$29&lt;=BH$4,BH$4&lt;=Projects!$C$29+Projects!$D$29-1),Projects!$B$29/Projects!$D$29,"")</f>
        <v>789473.684210526</v>
      </c>
      <c r="BI35" s="194" t="n">
        <f aca="false">IF(AND(Projects!$C$29&lt;=BI$4,BI$4&lt;=Projects!$C$29+Projects!$D$29-1),Projects!$B$29/Projects!$D$29,"")</f>
        <v>789473.684210526</v>
      </c>
      <c r="BJ35" s="194" t="n">
        <f aca="false">IF(AND(Projects!$C$29&lt;=BJ$4,BJ$4&lt;=Projects!$C$29+Projects!$D$29-1),Projects!$B$29/Projects!$D$29,"")</f>
        <v>789473.684210526</v>
      </c>
      <c r="BK35" s="194" t="n">
        <f aca="false">IF(AND(Projects!$C$29&lt;=BK$4,BK$4&lt;=Projects!$C$29+Projects!$D$29-1),Projects!$B$29/Projects!$D$29,"")</f>
        <v>789473.684210526</v>
      </c>
      <c r="BL35" s="194" t="n">
        <f aca="false">IF(AND(Projects!$C$29&lt;=BL$4,BL$4&lt;=Projects!$C$29+Projects!$D$29-1),Projects!$B$29/Projects!$D$29,"")</f>
        <v>789473.684210526</v>
      </c>
      <c r="BM35" s="194" t="n">
        <f aca="false">IF(AND(Projects!$C$29&lt;=BM$4,BM$4&lt;=Projects!$C$29+Projects!$D$29-1),Projects!$B$29/Projects!$D$29,"")</f>
        <v>789473.684210526</v>
      </c>
      <c r="BN35" s="194" t="n">
        <f aca="false">IF(AND(Projects!$C$29&lt;=BN$4,BN$4&lt;=Projects!$C$29+Projects!$D$29-1),Projects!$B$29/Projects!$D$29,"")</f>
        <v>789473.684210526</v>
      </c>
      <c r="BO35" s="194" t="n">
        <f aca="false">IF(AND(Projects!$C$29&lt;=BO$4,BO$4&lt;=Projects!$C$29+Projects!$D$29-1),Projects!$B$29/Projects!$D$29,"")</f>
        <v>789473.684210526</v>
      </c>
      <c r="BP35" s="194" t="n">
        <f aca="false">IF(AND(Projects!$C$29&lt;=BP$4,BP$4&lt;=Projects!$C$29+Projects!$D$29-1),Projects!$B$29/Projects!$D$29,"")</f>
        <v>789473.684210526</v>
      </c>
      <c r="BQ35" s="194" t="n">
        <f aca="false">IF(AND(Projects!$C$29&lt;=BQ$4,BQ$4&lt;=Projects!$C$29+Projects!$D$29-1),Projects!$B$29/Projects!$D$29,"")</f>
        <v>789473.684210526</v>
      </c>
      <c r="BR35" s="194" t="n">
        <f aca="false">IF(AND(Projects!$C$29&lt;=BR$4,BR$4&lt;=Projects!$C$29+Projects!$D$29-1),Projects!$B$29/Projects!$D$29,"")</f>
        <v>789473.684210526</v>
      </c>
      <c r="BS35" s="194" t="n">
        <f aca="false">IF(AND(Projects!$C$29&lt;=BS$4,BS$4&lt;=Projects!$C$29+Projects!$D$29-1),Projects!$B$29/Projects!$D$29,"")</f>
        <v>789473.684210526</v>
      </c>
      <c r="BT35" s="194" t="n">
        <f aca="false">IF(AND(Projects!$C$29&lt;=BT$4,BT$4&lt;=Projects!$C$29+Projects!$D$29-1),Projects!$B$29/Projects!$D$29,"")</f>
        <v>789473.684210526</v>
      </c>
      <c r="BU35" s="194" t="str">
        <f aca="false">IF(AND(Projects!$C$29&lt;=BU$4,BU$4&lt;=Projects!$C$29+Projects!$D$29-1),Projects!$B$29/Projects!$D$29,"")</f>
        <v/>
      </c>
      <c r="BV35" s="194" t="str">
        <f aca="false">IF(AND(Projects!$C$29&lt;=BV$4,BV$4&lt;=Projects!$C$29+Projects!$D$29-1),Projects!$B$29/Projects!$D$29,"")</f>
        <v/>
      </c>
      <c r="BW35" s="194" t="str">
        <f aca="false">IF(AND(Projects!$C$29&lt;=BW$4,BW$4&lt;=Projects!$C$29+Projects!$D$29-1),Projects!$B$29/Projects!$D$29,"")</f>
        <v/>
      </c>
      <c r="BX35" s="194" t="str">
        <f aca="false">IF(AND(Projects!$C$29&lt;=BX$4,BX$4&lt;=Projects!$C$29+Projects!$D$29-1),Projects!$B$29/Projects!$D$29,"")</f>
        <v/>
      </c>
      <c r="BY35" s="194" t="str">
        <f aca="false">IF(AND(Projects!$C$29&lt;=BY$4,BY$4&lt;=Projects!$C$29+Projects!$D$29-1),Projects!$B$29/Projects!$D$29,"")</f>
        <v/>
      </c>
      <c r="BZ35" s="194" t="str">
        <f aca="false">IF(AND(Projects!$C$29&lt;=BZ$4,BZ$4&lt;=Projects!$C$29+Projects!$D$29-1),Projects!$B$29/Projects!$D$29,"")</f>
        <v/>
      </c>
      <c r="CA35" s="194" t="str">
        <f aca="false">IF(AND(Projects!$C$29&lt;=CA$4,CA$4&lt;=Projects!$C$29+Projects!$D$29-1),Projects!$B$29/Projects!$D$29,"")</f>
        <v/>
      </c>
      <c r="CB35" s="194" t="str">
        <f aca="false">IF(AND(Projects!$C$29&lt;=CB$4,CB$4&lt;=Projects!$C$29+Projects!$D$29-1),Projects!$B$29/Projects!$D$29,"")</f>
        <v/>
      </c>
      <c r="CC35" s="194" t="str">
        <f aca="false">IF(AND(Projects!$C$29&lt;=CC$4,CC$4&lt;=Projects!$C$29+Projects!$D$29-1),Projects!$B$29/Projects!$D$29,"")</f>
        <v/>
      </c>
      <c r="CD35" s="194" t="str">
        <f aca="false">IF(AND(Projects!$C$29&lt;=CD$4,CD$4&lt;=Projects!$C$29+Projects!$D$29-1),Projects!$B$29/Projects!$D$29,"")</f>
        <v/>
      </c>
      <c r="CE35" s="194" t="str">
        <f aca="false">IF(AND(Projects!$C$29&lt;=CE$4,CE$4&lt;=Projects!$C$29+Projects!$D$29-1),Projects!$B$29/Projects!$D$29,"")</f>
        <v/>
      </c>
      <c r="CF35" s="194" t="str">
        <f aca="false">IF(AND(Projects!$C$29&lt;=CF$4,CF$4&lt;=Projects!$C$29+Projects!$D$29-1),Projects!$B$29/Projects!$D$29,"")</f>
        <v/>
      </c>
      <c r="CG35" s="194" t="str">
        <f aca="false">IF(AND(Projects!$C$29&lt;=CG$4,CG$4&lt;=Projects!$C$29+Projects!$D$29-1),Projects!$B$29/Projects!$D$29,"")</f>
        <v/>
      </c>
      <c r="CH35" s="194" t="str">
        <f aca="false">IF(AND(Projects!$C$29&lt;=CH$4,CH$4&lt;=Projects!$C$29+Projects!$D$29-1),Projects!$B$29/Projects!$D$29,"")</f>
        <v/>
      </c>
      <c r="CI35" s="194" t="str">
        <f aca="false">IF(AND(Projects!$C$29&lt;=CI$4,CI$4&lt;=Projects!$C$29+Projects!$D$29-1),Projects!$B$29/Projects!$D$29,"")</f>
        <v/>
      </c>
      <c r="CJ35" s="194" t="str">
        <f aca="false">IF(AND(Projects!$C$29&lt;=CJ$4,CJ$4&lt;=Projects!$C$29+Projects!$D$29-1),Projects!$B$29/Projects!$D$29,"")</f>
        <v/>
      </c>
      <c r="CK35" s="194" t="str">
        <f aca="false">IF(AND(Projects!$C$29&lt;=CK$4,CK$4&lt;=Projects!$C$29+Projects!$D$29-1),Projects!$B$29/Projects!$D$29,"")</f>
        <v/>
      </c>
      <c r="CL35" s="194" t="str">
        <f aca="false">IF(AND(Projects!$C$29&lt;=CL$4,CL$4&lt;=Projects!$C$29+Projects!$D$29-1),Projects!$B$29/Projects!$D$29,"")</f>
        <v/>
      </c>
      <c r="CM35" s="194" t="str">
        <f aca="false">IF(AND(Projects!$C$29&lt;=CM$4,CM$4&lt;=Projects!$C$29+Projects!$D$29-1),Projects!$B$29/Projects!$D$29,"")</f>
        <v/>
      </c>
      <c r="CN35" s="194" t="str">
        <f aca="false">IF(AND(Projects!$C$29&lt;=CN$4,CN$4&lt;=Projects!$C$29+Projects!$D$29-1),Projects!$B$29/Projects!$D$29,"")</f>
        <v/>
      </c>
      <c r="CO35" s="194" t="str">
        <f aca="false">IF(AND(Projects!$C$29&lt;=CO$4,CO$4&lt;=Projects!$C$29+Projects!$D$29-1),Projects!$B$29/Projects!$D$29,"")</f>
        <v/>
      </c>
      <c r="CP35" s="194" t="str">
        <f aca="false">IF(AND(Projects!$C$29&lt;=CP$4,CP$4&lt;=Projects!$C$29+Projects!$D$29-1),Projects!$B$29/Projects!$D$29,"")</f>
        <v/>
      </c>
      <c r="CQ35" s="194" t="str">
        <f aca="false">IF(AND(Projects!$C$29&lt;=CQ$4,CQ$4&lt;=Projects!$C$29+Projects!$D$29-1),Projects!$B$29/Projects!$D$29,"")</f>
        <v/>
      </c>
      <c r="CR35" s="194" t="str">
        <f aca="false">IF(AND(Projects!$C$29&lt;=CR$4,CR$4&lt;=Projects!$C$29+Projects!$D$29-1),Projects!$B$29/Projects!$D$29,"")</f>
        <v/>
      </c>
      <c r="CS35" s="194" t="str">
        <f aca="false">IF(AND(Projects!$C$29&lt;=CS$4,CS$4&lt;=Projects!$C$29+Projects!$D$29-1),Projects!$B$29/Projects!$D$29,"")</f>
        <v/>
      </c>
      <c r="CT35" s="194" t="str">
        <f aca="false">IF(AND(Projects!$C$29&lt;=CT$4,CT$4&lt;=Projects!$C$29+Projects!$D$29-1),Projects!$B$29/Projects!$D$29,"")</f>
        <v/>
      </c>
      <c r="CU35" s="194" t="str">
        <f aca="false">IF(AND(Projects!$C$29&lt;=CU$4,CU$4&lt;=Projects!$C$29+Projects!$D$29-1),Projects!$B$29/Projects!$D$29,"")</f>
        <v/>
      </c>
      <c r="CV35" s="194" t="str">
        <f aca="false">IF(AND(Projects!$C$29&lt;=CV$4,CV$4&lt;=Projects!$C$29+Projects!$D$29-1),Projects!$B$29/Projects!$D$29,"")</f>
        <v/>
      </c>
      <c r="CW35" s="194" t="str">
        <f aca="false">IF(AND(Projects!$C$29&lt;=CW$4,CW$4&lt;=Projects!$C$29+Projects!$D$29-1),Projects!$B$29/Projects!$D$29,"")</f>
        <v/>
      </c>
      <c r="CX35" s="194" t="str">
        <f aca="false">IF(AND(Projects!$C$29&lt;=CX$4,CX$4&lt;=Projects!$C$29+Projects!$D$29-1),Projects!$B$29/Projects!$D$29,"")</f>
        <v/>
      </c>
      <c r="CY35" s="194" t="str">
        <f aca="false">IF(AND(Projects!$C$29&lt;=CY$4,CY$4&lt;=Projects!$C$29+Projects!$D$29-1),Projects!$B$29/Projects!$D$29,"")</f>
        <v/>
      </c>
      <c r="CZ35" s="194" t="str">
        <f aca="false">IF(AND(Projects!$C$29&lt;=CZ$4,CZ$4&lt;=Projects!$C$29+Projects!$D$29-1),Projects!$B$29/Projects!$D$29,"")</f>
        <v/>
      </c>
      <c r="DA35" s="194" t="str">
        <f aca="false">IF(AND(Projects!$C$29&lt;=DA$4,DA$4&lt;=Projects!$C$29+Projects!$D$29-1),Projects!$B$29/Projects!$D$29,"")</f>
        <v/>
      </c>
      <c r="DB35" s="194" t="str">
        <f aca="false">IF(AND(Projects!$C$29&lt;=DB$4,DB$4&lt;=Projects!$C$29+Projects!$D$29-1),Projects!$B$29/Projects!$D$29,"")</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Projects!$B$30/Projects!$D$30</f>
        <v>789473.684210526</v>
      </c>
      <c r="G36" s="194" t="str">
        <f aca="false">IF(AND(Projects!$C$30&lt;=G$4,G$4&lt;=Projects!$C$30+Projects!$D$30-1),Projects!$B$30/Projects!$D$30,"")</f>
        <v/>
      </c>
      <c r="H36" s="194" t="str">
        <f aca="false">IF(AND(Projects!$C$30&lt;=H$4,H$4&lt;=Projects!$C$30+Projects!$D$30-1),Projects!$B$30/Projects!$D$30,"")</f>
        <v/>
      </c>
      <c r="I36" s="194" t="str">
        <f aca="false">IF(AND(Projects!$C$30&lt;=I$4,I$4&lt;=Projects!$C$30+Projects!$D$30-1),Projects!$B$30/Projects!$D$30,"")</f>
        <v/>
      </c>
      <c r="J36" s="194" t="str">
        <f aca="false">IF(AND(Projects!$C$30&lt;=J$4,J$4&lt;=Projects!$C$30+Projects!$D$30-1),Projects!$B$30/Projects!$D$30,"")</f>
        <v/>
      </c>
      <c r="K36" s="194" t="str">
        <f aca="false">IF(AND(Projects!$C$30&lt;=K$4,K$4&lt;=Projects!$C$30+Projects!$D$30-1),Projects!$B$30/Projects!$D$30,"")</f>
        <v/>
      </c>
      <c r="L36" s="194" t="str">
        <f aca="false">IF(AND(Projects!$C$30&lt;=L$4,L$4&lt;=Projects!$C$30+Projects!$D$30-1),Projects!$B$30/Projects!$D$30,"")</f>
        <v/>
      </c>
      <c r="M36" s="194" t="str">
        <f aca="false">IF(AND(Projects!$C$30&lt;=M$4,M$4&lt;=Projects!$C$30+Projects!$D$30-1),Projects!$B$30/Projects!$D$30,"")</f>
        <v/>
      </c>
      <c r="N36" s="194" t="str">
        <f aca="false">IF(AND(Projects!$C$30&lt;=N$4,N$4&lt;=Projects!$C$30+Projects!$D$30-1),Projects!$B$30/Projects!$D$30,"")</f>
        <v/>
      </c>
      <c r="O36" s="194" t="str">
        <f aca="false">IF(AND(Projects!$C$30&lt;=O$4,O$4&lt;=Projects!$C$30+Projects!$D$30-1),Projects!$B$30/Projects!$D$30,"")</f>
        <v/>
      </c>
      <c r="P36" s="194" t="str">
        <f aca="false">IF(AND(Projects!$C$30&lt;=P$4,P$4&lt;=Projects!$C$30+Projects!$D$30-1),Projects!$B$30/Projects!$D$30,"")</f>
        <v/>
      </c>
      <c r="Q36" s="194" t="str">
        <f aca="false">IF(AND(Projects!$C$30&lt;=Q$4,Q$4&lt;=Projects!$C$30+Projects!$D$30-1),Projects!$B$30/Projects!$D$30,"")</f>
        <v/>
      </c>
      <c r="R36" s="194" t="str">
        <f aca="false">IF(AND(Projects!$C$30&lt;=R$4,R$4&lt;=Projects!$C$30+Projects!$D$30-1),Projects!$B$30/Projects!$D$30,"")</f>
        <v/>
      </c>
      <c r="S36" s="194" t="str">
        <f aca="false">IF(AND(Projects!$C$30&lt;=S$4,S$4&lt;=Projects!$C$30+Projects!$D$30-1),Projects!$B$30/Projects!$D$30,"")</f>
        <v/>
      </c>
      <c r="T36" s="194" t="str">
        <f aca="false">IF(AND(Projects!$C$30&lt;=T$4,T$4&lt;=Projects!$C$30+Projects!$D$30-1),Projects!$B$30/Projects!$D$30,"")</f>
        <v/>
      </c>
      <c r="U36" s="194" t="str">
        <f aca="false">IF(AND(Projects!$C$30&lt;=U$4,U$4&lt;=Projects!$C$30+Projects!$D$30-1),Projects!$B$30/Projects!$D$30,"")</f>
        <v/>
      </c>
      <c r="V36" s="194" t="str">
        <f aca="false">IF(AND(Projects!$C$30&lt;=V$4,V$4&lt;=Projects!$C$30+Projects!$D$30-1),Projects!$B$30/Projects!$D$30,"")</f>
        <v/>
      </c>
      <c r="W36" s="194" t="str">
        <f aca="false">IF(AND(Projects!$C$30&lt;=W$4,W$4&lt;=Projects!$C$30+Projects!$D$30-1),Projects!$B$30/Projects!$D$30,"")</f>
        <v/>
      </c>
      <c r="X36" s="194" t="str">
        <f aca="false">IF(AND(Projects!$C$30&lt;=X$4,X$4&lt;=Projects!$C$30+Projects!$D$30-1),Projects!$B$30/Projects!$D$30,"")</f>
        <v/>
      </c>
      <c r="Y36" s="194" t="str">
        <f aca="false">IF(AND(Projects!$C$30&lt;=Y$4,Y$4&lt;=Projects!$C$30+Projects!$D$30-1),Projects!$B$30/Projects!$D$30,"")</f>
        <v/>
      </c>
      <c r="Z36" s="194" t="str">
        <f aca="false">IF(AND(Projects!$C$30&lt;=Z$4,Z$4&lt;=Projects!$C$30+Projects!$D$30-1),Projects!$B$30/Projects!$D$30,"")</f>
        <v/>
      </c>
      <c r="AA36" s="194" t="str">
        <f aca="false">IF(AND(Projects!$C$30&lt;=AA$4,AA$4&lt;=Projects!$C$30+Projects!$D$30-1),Projects!$B$30/Projects!$D$30,"")</f>
        <v/>
      </c>
      <c r="AB36" s="194" t="str">
        <f aca="false">IF(AND(Projects!$C$30&lt;=AB$4,AB$4&lt;=Projects!$C$30+Projects!$D$30-1),Projects!$B$30/Projects!$D$30,"")</f>
        <v/>
      </c>
      <c r="AC36" s="194" t="str">
        <f aca="false">IF(AND(Projects!$C$30&lt;=AC$4,AC$4&lt;=Projects!$C$30+Projects!$D$30-1),Projects!$B$30/Projects!$D$30,"")</f>
        <v/>
      </c>
      <c r="AD36" s="194" t="str">
        <f aca="false">IF(AND(Projects!$C$30&lt;=AD$4,AD$4&lt;=Projects!$C$30+Projects!$D$30-1),Projects!$B$30/Projects!$D$30,"")</f>
        <v/>
      </c>
      <c r="AE36" s="194" t="str">
        <f aca="false">IF(AND(Projects!$C$30&lt;=AE$4,AE$4&lt;=Projects!$C$30+Projects!$D$30-1),Projects!$B$30/Projects!$D$30,"")</f>
        <v/>
      </c>
      <c r="AF36" s="194" t="str">
        <f aca="false">IF(AND(Projects!$C$30&lt;=AF$4,AF$4&lt;=Projects!$C$30+Projects!$D$30-1),Projects!$B$30/Projects!$D$30,"")</f>
        <v/>
      </c>
      <c r="AG36" s="194" t="str">
        <f aca="false">IF(AND(Projects!$C$30&lt;=AG$4,AG$4&lt;=Projects!$C$30+Projects!$D$30-1),Projects!$B$30/Projects!$D$30,"")</f>
        <v/>
      </c>
      <c r="AH36" s="194" t="str">
        <f aca="false">IF(AND(Projects!$C$30&lt;=AH$4,AH$4&lt;=Projects!$C$30+Projects!$D$30-1),Projects!$B$30/Projects!$D$30,"")</f>
        <v/>
      </c>
      <c r="AI36" s="194" t="str">
        <f aca="false">IF(AND(Projects!$C$30&lt;=AI$4,AI$4&lt;=Projects!$C$30+Projects!$D$30-1),Projects!$B$30/Projects!$D$30,"")</f>
        <v/>
      </c>
      <c r="AJ36" s="194" t="str">
        <f aca="false">IF(AND(Projects!$C$30&lt;=AJ$4,AJ$4&lt;=Projects!$C$30+Projects!$D$30-1),Projects!$B$30/Projects!$D$30,"")</f>
        <v/>
      </c>
      <c r="AK36" s="194" t="str">
        <f aca="false">IF(AND(Projects!$C$30&lt;=AK$4,AK$4&lt;=Projects!$C$30+Projects!$D$30-1),Projects!$B$30/Projects!$D$30,"")</f>
        <v/>
      </c>
      <c r="AL36" s="194" t="str">
        <f aca="false">IF(AND(Projects!$C$30&lt;=AL$4,AL$4&lt;=Projects!$C$30+Projects!$D$30-1),Projects!$B$30/Projects!$D$30,"")</f>
        <v/>
      </c>
      <c r="AM36" s="194" t="str">
        <f aca="false">IF(AND(Projects!$C$30&lt;=AM$4,AM$4&lt;=Projects!$C$30+Projects!$D$30-1),Projects!$B$30/Projects!$D$30,"")</f>
        <v/>
      </c>
      <c r="AN36" s="194" t="str">
        <f aca="false">IF(AND(Projects!$C$30&lt;=AN$4,AN$4&lt;=Projects!$C$30+Projects!$D$30-1),Projects!$B$30/Projects!$D$30,"")</f>
        <v/>
      </c>
      <c r="AO36" s="194" t="str">
        <f aca="false">IF(AND(Projects!$C$30&lt;=AO$4,AO$4&lt;=Projects!$C$30+Projects!$D$30-1),Projects!$B$30/Projects!$D$30,"")</f>
        <v/>
      </c>
      <c r="AP36" s="194" t="str">
        <f aca="false">IF(AND(Projects!$C$30&lt;=AP$4,AP$4&lt;=Projects!$C$30+Projects!$D$30-1),Projects!$B$30/Projects!$D$30,"")</f>
        <v/>
      </c>
      <c r="AQ36" s="194" t="str">
        <f aca="false">IF(AND(Projects!$C$30&lt;=AQ$4,AQ$4&lt;=Projects!$C$30+Projects!$D$30-1),Projects!$B$30/Projects!$D$30,"")</f>
        <v/>
      </c>
      <c r="AR36" s="194" t="str">
        <f aca="false">IF(AND(Projects!$C$30&lt;=AR$4,AR$4&lt;=Projects!$C$30+Projects!$D$30-1),Projects!$B$30/Projects!$D$30,"")</f>
        <v/>
      </c>
      <c r="AS36" s="194" t="str">
        <f aca="false">IF(AND(Projects!$C$30&lt;=AS$4,AS$4&lt;=Projects!$C$30+Projects!$D$30-1),Projects!$B$30/Projects!$D$30,"")</f>
        <v/>
      </c>
      <c r="AT36" s="194" t="str">
        <f aca="false">IF(AND(Projects!$C$30&lt;=AT$4,AT$4&lt;=Projects!$C$30+Projects!$D$30-1),Projects!$B$30/Projects!$D$30,"")</f>
        <v/>
      </c>
      <c r="AU36" s="194" t="str">
        <f aca="false">IF(AND(Projects!$C$30&lt;=AU$4,AU$4&lt;=Projects!$C$30+Projects!$D$30-1),Projects!$B$30/Projects!$D$30,"")</f>
        <v/>
      </c>
      <c r="AV36" s="194" t="str">
        <f aca="false">IF(AND(Projects!$C$30&lt;=AV$4,AV$4&lt;=Projects!$C$30+Projects!$D$30-1),Projects!$B$30/Projects!$D$30,"")</f>
        <v/>
      </c>
      <c r="AW36" s="194" t="str">
        <f aca="false">IF(AND(Projects!$C$30&lt;=AW$4,AW$4&lt;=Projects!$C$30+Projects!$D$30-1),Projects!$B$30/Projects!$D$30,"")</f>
        <v/>
      </c>
      <c r="AX36" s="194" t="str">
        <f aca="false">IF(AND(Projects!$C$30&lt;=AX$4,AX$4&lt;=Projects!$C$30+Projects!$D$30-1),Projects!$B$30/Projects!$D$30,"")</f>
        <v/>
      </c>
      <c r="AY36" s="194" t="str">
        <f aca="false">IF(AND(Projects!$C$30&lt;=AY$4,AY$4&lt;=Projects!$C$30+Projects!$D$30-1),Projects!$B$30/Projects!$D$30,"")</f>
        <v/>
      </c>
      <c r="AZ36" s="194" t="str">
        <f aca="false">IF(AND(Projects!$C$30&lt;=AZ$4,AZ$4&lt;=Projects!$C$30+Projects!$D$30-1),Projects!$B$30/Projects!$D$30,"")</f>
        <v/>
      </c>
      <c r="BA36" s="194" t="str">
        <f aca="false">IF(AND(Projects!$C$30&lt;=BA$4,BA$4&lt;=Projects!$C$30+Projects!$D$30-1),Projects!$B$30/Projects!$D$30,"")</f>
        <v/>
      </c>
      <c r="BB36" s="194" t="str">
        <f aca="false">IF(AND(Projects!$C$30&lt;=BB$4,BB$4&lt;=Projects!$C$30+Projects!$D$30-1),Projects!$B$30/Projects!$D$30,"")</f>
        <v/>
      </c>
      <c r="BC36" s="194" t="str">
        <f aca="false">IF(AND(Projects!$C$30&lt;=BC$4,BC$4&lt;=Projects!$C$30+Projects!$D$30-1),Projects!$B$30/Projects!$D$30,"")</f>
        <v/>
      </c>
      <c r="BD36" s="194" t="n">
        <f aca="false">IF(AND(Projects!$C$30&lt;=BD$4,BD$4&lt;=Projects!$C$30+Projects!$D$30-1),Projects!$B$30/Projects!$D$30,"")</f>
        <v>789473.684210526</v>
      </c>
      <c r="BE36" s="194" t="n">
        <f aca="false">IF(AND(Projects!$C$30&lt;=BE$4,BE$4&lt;=Projects!$C$30+Projects!$D$30-1),Projects!$B$30/Projects!$D$30,"")</f>
        <v>789473.684210526</v>
      </c>
      <c r="BF36" s="194" t="n">
        <f aca="false">IF(AND(Projects!$C$30&lt;=BF$4,BF$4&lt;=Projects!$C$30+Projects!$D$30-1),Projects!$B$30/Projects!$D$30,"")</f>
        <v>789473.684210526</v>
      </c>
      <c r="BG36" s="194" t="n">
        <f aca="false">IF(AND(Projects!$C$30&lt;=BG$4,BG$4&lt;=Projects!$C$30+Projects!$D$30-1),Projects!$B$30/Projects!$D$30,"")</f>
        <v>789473.684210526</v>
      </c>
      <c r="BH36" s="194" t="n">
        <f aca="false">IF(AND(Projects!$C$30&lt;=BH$4,BH$4&lt;=Projects!$C$30+Projects!$D$30-1),Projects!$B$30/Projects!$D$30,"")</f>
        <v>789473.684210526</v>
      </c>
      <c r="BI36" s="194" t="n">
        <f aca="false">IF(AND(Projects!$C$30&lt;=BI$4,BI$4&lt;=Projects!$C$30+Projects!$D$30-1),Projects!$B$30/Projects!$D$30,"")</f>
        <v>789473.684210526</v>
      </c>
      <c r="BJ36" s="194" t="n">
        <f aca="false">IF(AND(Projects!$C$30&lt;=BJ$4,BJ$4&lt;=Projects!$C$30+Projects!$D$30-1),Projects!$B$30/Projects!$D$30,"")</f>
        <v>789473.684210526</v>
      </c>
      <c r="BK36" s="194" t="n">
        <f aca="false">IF(AND(Projects!$C$30&lt;=BK$4,BK$4&lt;=Projects!$C$30+Projects!$D$30-1),Projects!$B$30/Projects!$D$30,"")</f>
        <v>789473.684210526</v>
      </c>
      <c r="BL36" s="194" t="n">
        <f aca="false">IF(AND(Projects!$C$30&lt;=BL$4,BL$4&lt;=Projects!$C$30+Projects!$D$30-1),Projects!$B$30/Projects!$D$30,"")</f>
        <v>789473.684210526</v>
      </c>
      <c r="BM36" s="194" t="n">
        <f aca="false">IF(AND(Projects!$C$30&lt;=BM$4,BM$4&lt;=Projects!$C$30+Projects!$D$30-1),Projects!$B$30/Projects!$D$30,"")</f>
        <v>789473.684210526</v>
      </c>
      <c r="BN36" s="194" t="n">
        <f aca="false">IF(AND(Projects!$C$30&lt;=BN$4,BN$4&lt;=Projects!$C$30+Projects!$D$30-1),Projects!$B$30/Projects!$D$30,"")</f>
        <v>789473.684210526</v>
      </c>
      <c r="BO36" s="194" t="n">
        <f aca="false">IF(AND(Projects!$C$30&lt;=BO$4,BO$4&lt;=Projects!$C$30+Projects!$D$30-1),Projects!$B$30/Projects!$D$30,"")</f>
        <v>789473.684210526</v>
      </c>
      <c r="BP36" s="194" t="n">
        <f aca="false">IF(AND(Projects!$C$30&lt;=BP$4,BP$4&lt;=Projects!$C$30+Projects!$D$30-1),Projects!$B$30/Projects!$D$30,"")</f>
        <v>789473.684210526</v>
      </c>
      <c r="BQ36" s="194" t="n">
        <f aca="false">IF(AND(Projects!$C$30&lt;=BQ$4,BQ$4&lt;=Projects!$C$30+Projects!$D$30-1),Projects!$B$30/Projects!$D$30,"")</f>
        <v>789473.684210526</v>
      </c>
      <c r="BR36" s="194" t="n">
        <f aca="false">IF(AND(Projects!$C$30&lt;=BR$4,BR$4&lt;=Projects!$C$30+Projects!$D$30-1),Projects!$B$30/Projects!$D$30,"")</f>
        <v>789473.684210526</v>
      </c>
      <c r="BS36" s="194" t="n">
        <f aca="false">IF(AND(Projects!$C$30&lt;=BS$4,BS$4&lt;=Projects!$C$30+Projects!$D$30-1),Projects!$B$30/Projects!$D$30,"")</f>
        <v>789473.684210526</v>
      </c>
      <c r="BT36" s="194" t="n">
        <f aca="false">IF(AND(Projects!$C$30&lt;=BT$4,BT$4&lt;=Projects!$C$30+Projects!$D$30-1),Projects!$B$30/Projects!$D$30,"")</f>
        <v>789473.684210526</v>
      </c>
      <c r="BU36" s="194" t="n">
        <f aca="false">IF(AND(Projects!$C$30&lt;=BU$4,BU$4&lt;=Projects!$C$30+Projects!$D$30-1),Projects!$B$30/Projects!$D$30,"")</f>
        <v>789473.684210526</v>
      </c>
      <c r="BV36" s="194" t="n">
        <f aca="false">IF(AND(Projects!$C$30&lt;=BV$4,BV$4&lt;=Projects!$C$30+Projects!$D$30-1),Projects!$B$30/Projects!$D$30,"")</f>
        <v>789473.684210526</v>
      </c>
      <c r="BW36" s="194" t="str">
        <f aca="false">IF(AND(Projects!$C$30&lt;=BW$4,BW$4&lt;=Projects!$C$30+Projects!$D$30-1),Projects!$B$30/Projects!$D$30,"")</f>
        <v/>
      </c>
      <c r="BX36" s="194" t="str">
        <f aca="false">IF(AND(Projects!$C$30&lt;=BX$4,BX$4&lt;=Projects!$C$30+Projects!$D$30-1),Projects!$B$30/Projects!$D$30,"")</f>
        <v/>
      </c>
      <c r="BY36" s="194" t="str">
        <f aca="false">IF(AND(Projects!$C$30&lt;=BY$4,BY$4&lt;=Projects!$C$30+Projects!$D$30-1),Projects!$B$30/Projects!$D$30,"")</f>
        <v/>
      </c>
      <c r="BZ36" s="194" t="str">
        <f aca="false">IF(AND(Projects!$C$30&lt;=BZ$4,BZ$4&lt;=Projects!$C$30+Projects!$D$30-1),Projects!$B$30/Projects!$D$30,"")</f>
        <v/>
      </c>
      <c r="CA36" s="194" t="str">
        <f aca="false">IF(AND(Projects!$C$30&lt;=CA$4,CA$4&lt;=Projects!$C$30+Projects!$D$30-1),Projects!$B$30/Projects!$D$30,"")</f>
        <v/>
      </c>
      <c r="CB36" s="194" t="str">
        <f aca="false">IF(AND(Projects!$C$30&lt;=CB$4,CB$4&lt;=Projects!$C$30+Projects!$D$30-1),Projects!$B$30/Projects!$D$30,"")</f>
        <v/>
      </c>
      <c r="CC36" s="194" t="str">
        <f aca="false">IF(AND(Projects!$C$30&lt;=CC$4,CC$4&lt;=Projects!$C$30+Projects!$D$30-1),Projects!$B$30/Projects!$D$30,"")</f>
        <v/>
      </c>
      <c r="CD36" s="194" t="str">
        <f aca="false">IF(AND(Projects!$C$30&lt;=CD$4,CD$4&lt;=Projects!$C$30+Projects!$D$30-1),Projects!$B$30/Projects!$D$30,"")</f>
        <v/>
      </c>
      <c r="CE36" s="194" t="str">
        <f aca="false">IF(AND(Projects!$C$30&lt;=CE$4,CE$4&lt;=Projects!$C$30+Projects!$D$30-1),Projects!$B$30/Projects!$D$30,"")</f>
        <v/>
      </c>
      <c r="CF36" s="194" t="str">
        <f aca="false">IF(AND(Projects!$C$30&lt;=CF$4,CF$4&lt;=Projects!$C$30+Projects!$D$30-1),Projects!$B$30/Projects!$D$30,"")</f>
        <v/>
      </c>
      <c r="CG36" s="194" t="str">
        <f aca="false">IF(AND(Projects!$C$30&lt;=CG$4,CG$4&lt;=Projects!$C$30+Projects!$D$30-1),Projects!$B$30/Projects!$D$30,"")</f>
        <v/>
      </c>
      <c r="CH36" s="194" t="str">
        <f aca="false">IF(AND(Projects!$C$30&lt;=CH$4,CH$4&lt;=Projects!$C$30+Projects!$D$30-1),Projects!$B$30/Projects!$D$30,"")</f>
        <v/>
      </c>
      <c r="CI36" s="194" t="str">
        <f aca="false">IF(AND(Projects!$C$30&lt;=CI$4,CI$4&lt;=Projects!$C$30+Projects!$D$30-1),Projects!$B$30/Projects!$D$30,"")</f>
        <v/>
      </c>
      <c r="CJ36" s="194" t="str">
        <f aca="false">IF(AND(Projects!$C$30&lt;=CJ$4,CJ$4&lt;=Projects!$C$30+Projects!$D$30-1),Projects!$B$30/Projects!$D$30,"")</f>
        <v/>
      </c>
      <c r="CK36" s="194" t="str">
        <f aca="false">IF(AND(Projects!$C$30&lt;=CK$4,CK$4&lt;=Projects!$C$30+Projects!$D$30-1),Projects!$B$30/Projects!$D$30,"")</f>
        <v/>
      </c>
      <c r="CL36" s="194" t="str">
        <f aca="false">IF(AND(Projects!$C$30&lt;=CL$4,CL$4&lt;=Projects!$C$30+Projects!$D$30-1),Projects!$B$30/Projects!$D$30,"")</f>
        <v/>
      </c>
      <c r="CM36" s="194" t="str">
        <f aca="false">IF(AND(Projects!$C$30&lt;=CM$4,CM$4&lt;=Projects!$C$30+Projects!$D$30-1),Projects!$B$30/Projects!$D$30,"")</f>
        <v/>
      </c>
      <c r="CN36" s="194" t="str">
        <f aca="false">IF(AND(Projects!$C$30&lt;=CN$4,CN$4&lt;=Projects!$C$30+Projects!$D$30-1),Projects!$B$30/Projects!$D$30,"")</f>
        <v/>
      </c>
      <c r="CO36" s="194" t="str">
        <f aca="false">IF(AND(Projects!$C$30&lt;=CO$4,CO$4&lt;=Projects!$C$30+Projects!$D$30-1),Projects!$B$30/Projects!$D$30,"")</f>
        <v/>
      </c>
      <c r="CP36" s="194" t="str">
        <f aca="false">IF(AND(Projects!$C$30&lt;=CP$4,CP$4&lt;=Projects!$C$30+Projects!$D$30-1),Projects!$B$30/Projects!$D$30,"")</f>
        <v/>
      </c>
      <c r="CQ36" s="194" t="str">
        <f aca="false">IF(AND(Projects!$C$30&lt;=CQ$4,CQ$4&lt;=Projects!$C$30+Projects!$D$30-1),Projects!$B$30/Projects!$D$30,"")</f>
        <v/>
      </c>
      <c r="CR36" s="194" t="str">
        <f aca="false">IF(AND(Projects!$C$30&lt;=CR$4,CR$4&lt;=Projects!$C$30+Projects!$D$30-1),Projects!$B$30/Projects!$D$30,"")</f>
        <v/>
      </c>
      <c r="CS36" s="194" t="str">
        <f aca="false">IF(AND(Projects!$C$30&lt;=CS$4,CS$4&lt;=Projects!$C$30+Projects!$D$30-1),Projects!$B$30/Projects!$D$30,"")</f>
        <v/>
      </c>
      <c r="CT36" s="194" t="str">
        <f aca="false">IF(AND(Projects!$C$30&lt;=CT$4,CT$4&lt;=Projects!$C$30+Projects!$D$30-1),Projects!$B$30/Projects!$D$30,"")</f>
        <v/>
      </c>
      <c r="CU36" s="194" t="str">
        <f aca="false">IF(AND(Projects!$C$30&lt;=CU$4,CU$4&lt;=Projects!$C$30+Projects!$D$30-1),Projects!$B$30/Projects!$D$30,"")</f>
        <v/>
      </c>
      <c r="CV36" s="194" t="str">
        <f aca="false">IF(AND(Projects!$C$30&lt;=CV$4,CV$4&lt;=Projects!$C$30+Projects!$D$30-1),Projects!$B$30/Projects!$D$30,"")</f>
        <v/>
      </c>
      <c r="CW36" s="194" t="str">
        <f aca="false">IF(AND(Projects!$C$30&lt;=CW$4,CW$4&lt;=Projects!$C$30+Projects!$D$30-1),Projects!$B$30/Projects!$D$30,"")</f>
        <v/>
      </c>
      <c r="CX36" s="194" t="str">
        <f aca="false">IF(AND(Projects!$C$30&lt;=CX$4,CX$4&lt;=Projects!$C$30+Projects!$D$30-1),Projects!$B$30/Projects!$D$30,"")</f>
        <v/>
      </c>
      <c r="CY36" s="194" t="str">
        <f aca="false">IF(AND(Projects!$C$30&lt;=CY$4,CY$4&lt;=Projects!$C$30+Projects!$D$30-1),Projects!$B$30/Projects!$D$30,"")</f>
        <v/>
      </c>
      <c r="CZ36" s="194" t="str">
        <f aca="false">IF(AND(Projects!$C$30&lt;=CZ$4,CZ$4&lt;=Projects!$C$30+Projects!$D$30-1),Projects!$B$30/Projects!$D$30,"")</f>
        <v/>
      </c>
      <c r="DA36" s="194" t="str">
        <f aca="false">IF(AND(Projects!$C$30&lt;=DA$4,DA$4&lt;=Projects!$C$30+Projects!$D$30-1),Projects!$B$30/Projects!$D$30,"")</f>
        <v/>
      </c>
      <c r="DB36" s="194" t="str">
        <f aca="false">IF(AND(Projects!$C$30&lt;=DB$4,DB$4&lt;=Projects!$C$30+Projects!$D$30-1),Projects!$B$30/Projects!$D$30,"")</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Projects!$B$31/Projects!$D$31</f>
        <v>947368.421052632</v>
      </c>
      <c r="G37" s="194" t="str">
        <f aca="false">IF(AND(Projects!$C$31&lt;=G$4,G$4&lt;=Projects!$C$31+Projects!$D$31-1),Projects!$B$31/Projects!$D$31,"")</f>
        <v/>
      </c>
      <c r="H37" s="194" t="str">
        <f aca="false">IF(AND(Projects!$C$31&lt;=H$4,H$4&lt;=Projects!$C$31+Projects!$D$31-1),Projects!$B$31/Projects!$D$31,"")</f>
        <v/>
      </c>
      <c r="I37" s="194" t="str">
        <f aca="false">IF(AND(Projects!$C$31&lt;=I$4,I$4&lt;=Projects!$C$31+Projects!$D$31-1),Projects!$B$31/Projects!$D$31,"")</f>
        <v/>
      </c>
      <c r="J37" s="194" t="str">
        <f aca="false">IF(AND(Projects!$C$31&lt;=J$4,J$4&lt;=Projects!$C$31+Projects!$D$31-1),Projects!$B$31/Projects!$D$31,"")</f>
        <v/>
      </c>
      <c r="K37" s="194" t="str">
        <f aca="false">IF(AND(Projects!$C$31&lt;=K$4,K$4&lt;=Projects!$C$31+Projects!$D$31-1),Projects!$B$31/Projects!$D$31,"")</f>
        <v/>
      </c>
      <c r="L37" s="194" t="str">
        <f aca="false">IF(AND(Projects!$C$31&lt;=L$4,L$4&lt;=Projects!$C$31+Projects!$D$31-1),Projects!$B$31/Projects!$D$31,"")</f>
        <v/>
      </c>
      <c r="M37" s="194" t="str">
        <f aca="false">IF(AND(Projects!$C$31&lt;=M$4,M$4&lt;=Projects!$C$31+Projects!$D$31-1),Projects!$B$31/Projects!$D$31,"")</f>
        <v/>
      </c>
      <c r="N37" s="194" t="str">
        <f aca="false">IF(AND(Projects!$C$31&lt;=N$4,N$4&lt;=Projects!$C$31+Projects!$D$31-1),Projects!$B$31/Projects!$D$31,"")</f>
        <v/>
      </c>
      <c r="O37" s="194" t="str">
        <f aca="false">IF(AND(Projects!$C$31&lt;=O$4,O$4&lt;=Projects!$C$31+Projects!$D$31-1),Projects!$B$31/Projects!$D$31,"")</f>
        <v/>
      </c>
      <c r="P37" s="194" t="str">
        <f aca="false">IF(AND(Projects!$C$31&lt;=P$4,P$4&lt;=Projects!$C$31+Projects!$D$31-1),Projects!$B$31/Projects!$D$31,"")</f>
        <v/>
      </c>
      <c r="Q37" s="194" t="str">
        <f aca="false">IF(AND(Projects!$C$31&lt;=Q$4,Q$4&lt;=Projects!$C$31+Projects!$D$31-1),Projects!$B$31/Projects!$D$31,"")</f>
        <v/>
      </c>
      <c r="R37" s="194" t="str">
        <f aca="false">IF(AND(Projects!$C$31&lt;=R$4,R$4&lt;=Projects!$C$31+Projects!$D$31-1),Projects!$B$31/Projects!$D$31,"")</f>
        <v/>
      </c>
      <c r="S37" s="194" t="str">
        <f aca="false">IF(AND(Projects!$C$31&lt;=S$4,S$4&lt;=Projects!$C$31+Projects!$D$31-1),Projects!$B$31/Projects!$D$31,"")</f>
        <v/>
      </c>
      <c r="T37" s="194" t="str">
        <f aca="false">IF(AND(Projects!$C$31&lt;=T$4,T$4&lt;=Projects!$C$31+Projects!$D$31-1),Projects!$B$31/Projects!$D$31,"")</f>
        <v/>
      </c>
      <c r="U37" s="194" t="str">
        <f aca="false">IF(AND(Projects!$C$31&lt;=U$4,U$4&lt;=Projects!$C$31+Projects!$D$31-1),Projects!$B$31/Projects!$D$31,"")</f>
        <v/>
      </c>
      <c r="V37" s="194" t="str">
        <f aca="false">IF(AND(Projects!$C$31&lt;=V$4,V$4&lt;=Projects!$C$31+Projects!$D$31-1),Projects!$B$31/Projects!$D$31,"")</f>
        <v/>
      </c>
      <c r="W37" s="194" t="str">
        <f aca="false">IF(AND(Projects!$C$31&lt;=W$4,W$4&lt;=Projects!$C$31+Projects!$D$31-1),Projects!$B$31/Projects!$D$31,"")</f>
        <v/>
      </c>
      <c r="X37" s="194" t="str">
        <f aca="false">IF(AND(Projects!$C$31&lt;=X$4,X$4&lt;=Projects!$C$31+Projects!$D$31-1),Projects!$B$31/Projects!$D$31,"")</f>
        <v/>
      </c>
      <c r="Y37" s="194" t="str">
        <f aca="false">IF(AND(Projects!$C$31&lt;=Y$4,Y$4&lt;=Projects!$C$31+Projects!$D$31-1),Projects!$B$31/Projects!$D$31,"")</f>
        <v/>
      </c>
      <c r="Z37" s="194" t="str">
        <f aca="false">IF(AND(Projects!$C$31&lt;=Z$4,Z$4&lt;=Projects!$C$31+Projects!$D$31-1),Projects!$B$31/Projects!$D$31,"")</f>
        <v/>
      </c>
      <c r="AA37" s="194" t="str">
        <f aca="false">IF(AND(Projects!$C$31&lt;=AA$4,AA$4&lt;=Projects!$C$31+Projects!$D$31-1),Projects!$B$31/Projects!$D$31,"")</f>
        <v/>
      </c>
      <c r="AB37" s="194" t="str">
        <f aca="false">IF(AND(Projects!$C$31&lt;=AB$4,AB$4&lt;=Projects!$C$31+Projects!$D$31-1),Projects!$B$31/Projects!$D$31,"")</f>
        <v/>
      </c>
      <c r="AC37" s="194" t="str">
        <f aca="false">IF(AND(Projects!$C$31&lt;=AC$4,AC$4&lt;=Projects!$C$31+Projects!$D$31-1),Projects!$B$31/Projects!$D$31,"")</f>
        <v/>
      </c>
      <c r="AD37" s="194" t="str">
        <f aca="false">IF(AND(Projects!$C$31&lt;=AD$4,AD$4&lt;=Projects!$C$31+Projects!$D$31-1),Projects!$B$31/Projects!$D$31,"")</f>
        <v/>
      </c>
      <c r="AE37" s="194" t="str">
        <f aca="false">IF(AND(Projects!$C$31&lt;=AE$4,AE$4&lt;=Projects!$C$31+Projects!$D$31-1),Projects!$B$31/Projects!$D$31,"")</f>
        <v/>
      </c>
      <c r="AF37" s="194" t="str">
        <f aca="false">IF(AND(Projects!$C$31&lt;=AF$4,AF$4&lt;=Projects!$C$31+Projects!$D$31-1),Projects!$B$31/Projects!$D$31,"")</f>
        <v/>
      </c>
      <c r="AG37" s="194" t="str">
        <f aca="false">IF(AND(Projects!$C$31&lt;=AG$4,AG$4&lt;=Projects!$C$31+Projects!$D$31-1),Projects!$B$31/Projects!$D$31,"")</f>
        <v/>
      </c>
      <c r="AH37" s="194" t="str">
        <f aca="false">IF(AND(Projects!$C$31&lt;=AH$4,AH$4&lt;=Projects!$C$31+Projects!$D$31-1),Projects!$B$31/Projects!$D$31,"")</f>
        <v/>
      </c>
      <c r="AI37" s="194" t="str">
        <f aca="false">IF(AND(Projects!$C$31&lt;=AI$4,AI$4&lt;=Projects!$C$31+Projects!$D$31-1),Projects!$B$31/Projects!$D$31,"")</f>
        <v/>
      </c>
      <c r="AJ37" s="194" t="str">
        <f aca="false">IF(AND(Projects!$C$31&lt;=AJ$4,AJ$4&lt;=Projects!$C$31+Projects!$D$31-1),Projects!$B$31/Projects!$D$31,"")</f>
        <v/>
      </c>
      <c r="AK37" s="194" t="str">
        <f aca="false">IF(AND(Projects!$C$31&lt;=AK$4,AK$4&lt;=Projects!$C$31+Projects!$D$31-1),Projects!$B$31/Projects!$D$31,"")</f>
        <v/>
      </c>
      <c r="AL37" s="194" t="str">
        <f aca="false">IF(AND(Projects!$C$31&lt;=AL$4,AL$4&lt;=Projects!$C$31+Projects!$D$31-1),Projects!$B$31/Projects!$D$31,"")</f>
        <v/>
      </c>
      <c r="AM37" s="194" t="str">
        <f aca="false">IF(AND(Projects!$C$31&lt;=AM$4,AM$4&lt;=Projects!$C$31+Projects!$D$31-1),Projects!$B$31/Projects!$D$31,"")</f>
        <v/>
      </c>
      <c r="AN37" s="194" t="str">
        <f aca="false">IF(AND(Projects!$C$31&lt;=AN$4,AN$4&lt;=Projects!$C$31+Projects!$D$31-1),Projects!$B$31/Projects!$D$31,"")</f>
        <v/>
      </c>
      <c r="AO37" s="194" t="str">
        <f aca="false">IF(AND(Projects!$C$31&lt;=AO$4,AO$4&lt;=Projects!$C$31+Projects!$D$31-1),Projects!$B$31/Projects!$D$31,"")</f>
        <v/>
      </c>
      <c r="AP37" s="194" t="str">
        <f aca="false">IF(AND(Projects!$C$31&lt;=AP$4,AP$4&lt;=Projects!$C$31+Projects!$D$31-1),Projects!$B$31/Projects!$D$31,"")</f>
        <v/>
      </c>
      <c r="AQ37" s="194" t="str">
        <f aca="false">IF(AND(Projects!$C$31&lt;=AQ$4,AQ$4&lt;=Projects!$C$31+Projects!$D$31-1),Projects!$B$31/Projects!$D$31,"")</f>
        <v/>
      </c>
      <c r="AR37" s="194" t="str">
        <f aca="false">IF(AND(Projects!$C$31&lt;=AR$4,AR$4&lt;=Projects!$C$31+Projects!$D$31-1),Projects!$B$31/Projects!$D$31,"")</f>
        <v/>
      </c>
      <c r="AS37" s="194" t="str">
        <f aca="false">IF(AND(Projects!$C$31&lt;=AS$4,AS$4&lt;=Projects!$C$31+Projects!$D$31-1),Projects!$B$31/Projects!$D$31,"")</f>
        <v/>
      </c>
      <c r="AT37" s="194" t="str">
        <f aca="false">IF(AND(Projects!$C$31&lt;=AT$4,AT$4&lt;=Projects!$C$31+Projects!$D$31-1),Projects!$B$31/Projects!$D$31,"")</f>
        <v/>
      </c>
      <c r="AU37" s="194" t="str">
        <f aca="false">IF(AND(Projects!$C$31&lt;=AU$4,AU$4&lt;=Projects!$C$31+Projects!$D$31-1),Projects!$B$31/Projects!$D$31,"")</f>
        <v/>
      </c>
      <c r="AV37" s="194" t="str">
        <f aca="false">IF(AND(Projects!$C$31&lt;=AV$4,AV$4&lt;=Projects!$C$31+Projects!$D$31-1),Projects!$B$31/Projects!$D$31,"")</f>
        <v/>
      </c>
      <c r="AW37" s="194" t="str">
        <f aca="false">IF(AND(Projects!$C$31&lt;=AW$4,AW$4&lt;=Projects!$C$31+Projects!$D$31-1),Projects!$B$31/Projects!$D$31,"")</f>
        <v/>
      </c>
      <c r="AX37" s="194" t="str">
        <f aca="false">IF(AND(Projects!$C$31&lt;=AX$4,AX$4&lt;=Projects!$C$31+Projects!$D$31-1),Projects!$B$31/Projects!$D$31,"")</f>
        <v/>
      </c>
      <c r="AY37" s="194" t="str">
        <f aca="false">IF(AND(Projects!$C$31&lt;=AY$4,AY$4&lt;=Projects!$C$31+Projects!$D$31-1),Projects!$B$31/Projects!$D$31,"")</f>
        <v/>
      </c>
      <c r="AZ37" s="194" t="str">
        <f aca="false">IF(AND(Projects!$C$31&lt;=AZ$4,AZ$4&lt;=Projects!$C$31+Projects!$D$31-1),Projects!$B$31/Projects!$D$31,"")</f>
        <v/>
      </c>
      <c r="BA37" s="194" t="str">
        <f aca="false">IF(AND(Projects!$C$31&lt;=BA$4,BA$4&lt;=Projects!$C$31+Projects!$D$31-1),Projects!$B$31/Projects!$D$31,"")</f>
        <v/>
      </c>
      <c r="BB37" s="194" t="str">
        <f aca="false">IF(AND(Projects!$C$31&lt;=BB$4,BB$4&lt;=Projects!$C$31+Projects!$D$31-1),Projects!$B$31/Projects!$D$31,"")</f>
        <v/>
      </c>
      <c r="BC37" s="194" t="str">
        <f aca="false">IF(AND(Projects!$C$31&lt;=BC$4,BC$4&lt;=Projects!$C$31+Projects!$D$31-1),Projects!$B$31/Projects!$D$31,"")</f>
        <v/>
      </c>
      <c r="BD37" s="194" t="str">
        <f aca="false">IF(AND(Projects!$C$31&lt;=BD$4,BD$4&lt;=Projects!$C$31+Projects!$D$31-1),Projects!$B$31/Projects!$D$31,"")</f>
        <v/>
      </c>
      <c r="BE37" s="194" t="str">
        <f aca="false">IF(AND(Projects!$C$31&lt;=BE$4,BE$4&lt;=Projects!$C$31+Projects!$D$31-1),Projects!$B$31/Projects!$D$31,"")</f>
        <v/>
      </c>
      <c r="BF37" s="194" t="n">
        <f aca="false">IF(AND(Projects!$C$31&lt;=BF$4,BF$4&lt;=Projects!$C$31+Projects!$D$31-1),Projects!$B$31/Projects!$D$31,"")</f>
        <v>947368.421052632</v>
      </c>
      <c r="BG37" s="194" t="n">
        <f aca="false">IF(AND(Projects!$C$31&lt;=BG$4,BG$4&lt;=Projects!$C$31+Projects!$D$31-1),Projects!$B$31/Projects!$D$31,"")</f>
        <v>947368.421052632</v>
      </c>
      <c r="BH37" s="194" t="n">
        <f aca="false">IF(AND(Projects!$C$31&lt;=BH$4,BH$4&lt;=Projects!$C$31+Projects!$D$31-1),Projects!$B$31/Projects!$D$31,"")</f>
        <v>947368.421052632</v>
      </c>
      <c r="BI37" s="194" t="n">
        <f aca="false">IF(AND(Projects!$C$31&lt;=BI$4,BI$4&lt;=Projects!$C$31+Projects!$D$31-1),Projects!$B$31/Projects!$D$31,"")</f>
        <v>947368.421052632</v>
      </c>
      <c r="BJ37" s="194" t="n">
        <f aca="false">IF(AND(Projects!$C$31&lt;=BJ$4,BJ$4&lt;=Projects!$C$31+Projects!$D$31-1),Projects!$B$31/Projects!$D$31,"")</f>
        <v>947368.421052632</v>
      </c>
      <c r="BK37" s="194" t="n">
        <f aca="false">IF(AND(Projects!$C$31&lt;=BK$4,BK$4&lt;=Projects!$C$31+Projects!$D$31-1),Projects!$B$31/Projects!$D$31,"")</f>
        <v>947368.421052632</v>
      </c>
      <c r="BL37" s="194" t="n">
        <f aca="false">IF(AND(Projects!$C$31&lt;=BL$4,BL$4&lt;=Projects!$C$31+Projects!$D$31-1),Projects!$B$31/Projects!$D$31,"")</f>
        <v>947368.421052632</v>
      </c>
      <c r="BM37" s="194" t="n">
        <f aca="false">IF(AND(Projects!$C$31&lt;=BM$4,BM$4&lt;=Projects!$C$31+Projects!$D$31-1),Projects!$B$31/Projects!$D$31,"")</f>
        <v>947368.421052632</v>
      </c>
      <c r="BN37" s="194" t="n">
        <f aca="false">IF(AND(Projects!$C$31&lt;=BN$4,BN$4&lt;=Projects!$C$31+Projects!$D$31-1),Projects!$B$31/Projects!$D$31,"")</f>
        <v>947368.421052632</v>
      </c>
      <c r="BO37" s="194" t="n">
        <f aca="false">IF(AND(Projects!$C$31&lt;=BO$4,BO$4&lt;=Projects!$C$31+Projects!$D$31-1),Projects!$B$31/Projects!$D$31,"")</f>
        <v>947368.421052632</v>
      </c>
      <c r="BP37" s="194" t="n">
        <f aca="false">IF(AND(Projects!$C$31&lt;=BP$4,BP$4&lt;=Projects!$C$31+Projects!$D$31-1),Projects!$B$31/Projects!$D$31,"")</f>
        <v>947368.421052632</v>
      </c>
      <c r="BQ37" s="194" t="n">
        <f aca="false">IF(AND(Projects!$C$31&lt;=BQ$4,BQ$4&lt;=Projects!$C$31+Projects!$D$31-1),Projects!$B$31/Projects!$D$31,"")</f>
        <v>947368.421052632</v>
      </c>
      <c r="BR37" s="194" t="n">
        <f aca="false">IF(AND(Projects!$C$31&lt;=BR$4,BR$4&lt;=Projects!$C$31+Projects!$D$31-1),Projects!$B$31/Projects!$D$31,"")</f>
        <v>947368.421052632</v>
      </c>
      <c r="BS37" s="194" t="n">
        <f aca="false">IF(AND(Projects!$C$31&lt;=BS$4,BS$4&lt;=Projects!$C$31+Projects!$D$31-1),Projects!$B$31/Projects!$D$31,"")</f>
        <v>947368.421052632</v>
      </c>
      <c r="BT37" s="194" t="n">
        <f aca="false">IF(AND(Projects!$C$31&lt;=BT$4,BT$4&lt;=Projects!$C$31+Projects!$D$31-1),Projects!$B$31/Projects!$D$31,"")</f>
        <v>947368.421052632</v>
      </c>
      <c r="BU37" s="194" t="n">
        <f aca="false">IF(AND(Projects!$C$31&lt;=BU$4,BU$4&lt;=Projects!$C$31+Projects!$D$31-1),Projects!$B$31/Projects!$D$31,"")</f>
        <v>947368.421052632</v>
      </c>
      <c r="BV37" s="194" t="n">
        <f aca="false">IF(AND(Projects!$C$31&lt;=BV$4,BV$4&lt;=Projects!$C$31+Projects!$D$31-1),Projects!$B$31/Projects!$D$31,"")</f>
        <v>947368.421052632</v>
      </c>
      <c r="BW37" s="194" t="n">
        <f aca="false">IF(AND(Projects!$C$31&lt;=BW$4,BW$4&lt;=Projects!$C$31+Projects!$D$31-1),Projects!$B$31/Projects!$D$31,"")</f>
        <v>947368.421052632</v>
      </c>
      <c r="BX37" s="194" t="n">
        <f aca="false">IF(AND(Projects!$C$31&lt;=BX$4,BX$4&lt;=Projects!$C$31+Projects!$D$31-1),Projects!$B$31/Projects!$D$31,"")</f>
        <v>947368.421052632</v>
      </c>
      <c r="BY37" s="194" t="str">
        <f aca="false">IF(AND(Projects!$C$31&lt;=BY$4,BY$4&lt;=Projects!$C$31+Projects!$D$31-1),Projects!$B$31/Projects!$D$31,"")</f>
        <v/>
      </c>
      <c r="BZ37" s="194" t="str">
        <f aca="false">IF(AND(Projects!$C$31&lt;=BZ$4,BZ$4&lt;=Projects!$C$31+Projects!$D$31-1),Projects!$B$31/Projects!$D$31,"")</f>
        <v/>
      </c>
      <c r="CA37" s="194" t="str">
        <f aca="false">IF(AND(Projects!$C$31&lt;=CA$4,CA$4&lt;=Projects!$C$31+Projects!$D$31-1),Projects!$B$31/Projects!$D$31,"")</f>
        <v/>
      </c>
      <c r="CB37" s="194" t="str">
        <f aca="false">IF(AND(Projects!$C$31&lt;=CB$4,CB$4&lt;=Projects!$C$31+Projects!$D$31-1),Projects!$B$31/Projects!$D$31,"")</f>
        <v/>
      </c>
      <c r="CC37" s="194" t="str">
        <f aca="false">IF(AND(Projects!$C$31&lt;=CC$4,CC$4&lt;=Projects!$C$31+Projects!$D$31-1),Projects!$B$31/Projects!$D$31,"")</f>
        <v/>
      </c>
      <c r="CD37" s="194" t="str">
        <f aca="false">IF(AND(Projects!$C$31&lt;=CD$4,CD$4&lt;=Projects!$C$31+Projects!$D$31-1),Projects!$B$31/Projects!$D$31,"")</f>
        <v/>
      </c>
      <c r="CE37" s="194" t="str">
        <f aca="false">IF(AND(Projects!$C$31&lt;=CE$4,CE$4&lt;=Projects!$C$31+Projects!$D$31-1),Projects!$B$31/Projects!$D$31,"")</f>
        <v/>
      </c>
      <c r="CF37" s="194" t="str">
        <f aca="false">IF(AND(Projects!$C$31&lt;=CF$4,CF$4&lt;=Projects!$C$31+Projects!$D$31-1),Projects!$B$31/Projects!$D$31,"")</f>
        <v/>
      </c>
      <c r="CG37" s="194" t="str">
        <f aca="false">IF(AND(Projects!$C$31&lt;=CG$4,CG$4&lt;=Projects!$C$31+Projects!$D$31-1),Projects!$B$31/Projects!$D$31,"")</f>
        <v/>
      </c>
      <c r="CH37" s="194" t="str">
        <f aca="false">IF(AND(Projects!$C$31&lt;=CH$4,CH$4&lt;=Projects!$C$31+Projects!$D$31-1),Projects!$B$31/Projects!$D$31,"")</f>
        <v/>
      </c>
      <c r="CI37" s="194" t="str">
        <f aca="false">IF(AND(Projects!$C$31&lt;=CI$4,CI$4&lt;=Projects!$C$31+Projects!$D$31-1),Projects!$B$31/Projects!$D$31,"")</f>
        <v/>
      </c>
      <c r="CJ37" s="194" t="str">
        <f aca="false">IF(AND(Projects!$C$31&lt;=CJ$4,CJ$4&lt;=Projects!$C$31+Projects!$D$31-1),Projects!$B$31/Projects!$D$31,"")</f>
        <v/>
      </c>
      <c r="CK37" s="194" t="str">
        <f aca="false">IF(AND(Projects!$C$31&lt;=CK$4,CK$4&lt;=Projects!$C$31+Projects!$D$31-1),Projects!$B$31/Projects!$D$31,"")</f>
        <v/>
      </c>
      <c r="CL37" s="194" t="str">
        <f aca="false">IF(AND(Projects!$C$31&lt;=CL$4,CL$4&lt;=Projects!$C$31+Projects!$D$31-1),Projects!$B$31/Projects!$D$31,"")</f>
        <v/>
      </c>
      <c r="CM37" s="194" t="str">
        <f aca="false">IF(AND(Projects!$C$31&lt;=CM$4,CM$4&lt;=Projects!$C$31+Projects!$D$31-1),Projects!$B$31/Projects!$D$31,"")</f>
        <v/>
      </c>
      <c r="CN37" s="194" t="str">
        <f aca="false">IF(AND(Projects!$C$31&lt;=CN$4,CN$4&lt;=Projects!$C$31+Projects!$D$31-1),Projects!$B$31/Projects!$D$31,"")</f>
        <v/>
      </c>
      <c r="CO37" s="194" t="str">
        <f aca="false">IF(AND(Projects!$C$31&lt;=CO$4,CO$4&lt;=Projects!$C$31+Projects!$D$31-1),Projects!$B$31/Projects!$D$31,"")</f>
        <v/>
      </c>
      <c r="CP37" s="194" t="str">
        <f aca="false">IF(AND(Projects!$C$31&lt;=CP$4,CP$4&lt;=Projects!$C$31+Projects!$D$31-1),Projects!$B$31/Projects!$D$31,"")</f>
        <v/>
      </c>
      <c r="CQ37" s="194" t="str">
        <f aca="false">IF(AND(Projects!$C$31&lt;=CQ$4,CQ$4&lt;=Projects!$C$31+Projects!$D$31-1),Projects!$B$31/Projects!$D$31,"")</f>
        <v/>
      </c>
      <c r="CR37" s="194" t="str">
        <f aca="false">IF(AND(Projects!$C$31&lt;=CR$4,CR$4&lt;=Projects!$C$31+Projects!$D$31-1),Projects!$B$31/Projects!$D$31,"")</f>
        <v/>
      </c>
      <c r="CS37" s="194" t="str">
        <f aca="false">IF(AND(Projects!$C$31&lt;=CS$4,CS$4&lt;=Projects!$C$31+Projects!$D$31-1),Projects!$B$31/Projects!$D$31,"")</f>
        <v/>
      </c>
      <c r="CT37" s="194" t="str">
        <f aca="false">IF(AND(Projects!$C$31&lt;=CT$4,CT$4&lt;=Projects!$C$31+Projects!$D$31-1),Projects!$B$31/Projects!$D$31,"")</f>
        <v/>
      </c>
      <c r="CU37" s="194" t="str">
        <f aca="false">IF(AND(Projects!$C$31&lt;=CU$4,CU$4&lt;=Projects!$C$31+Projects!$D$31-1),Projects!$B$31/Projects!$D$31,"")</f>
        <v/>
      </c>
      <c r="CV37" s="194" t="str">
        <f aca="false">IF(AND(Projects!$C$31&lt;=CV$4,CV$4&lt;=Projects!$C$31+Projects!$D$31-1),Projects!$B$31/Projects!$D$31,"")</f>
        <v/>
      </c>
      <c r="CW37" s="194" t="str">
        <f aca="false">IF(AND(Projects!$C$31&lt;=CW$4,CW$4&lt;=Projects!$C$31+Projects!$D$31-1),Projects!$B$31/Projects!$D$31,"")</f>
        <v/>
      </c>
      <c r="CX37" s="194" t="str">
        <f aca="false">IF(AND(Projects!$C$31&lt;=CX$4,CX$4&lt;=Projects!$C$31+Projects!$D$31-1),Projects!$B$31/Projects!$D$31,"")</f>
        <v/>
      </c>
      <c r="CY37" s="194" t="str">
        <f aca="false">IF(AND(Projects!$C$31&lt;=CY$4,CY$4&lt;=Projects!$C$31+Projects!$D$31-1),Projects!$B$31/Projects!$D$31,"")</f>
        <v/>
      </c>
      <c r="CZ37" s="194" t="str">
        <f aca="false">IF(AND(Projects!$C$31&lt;=CZ$4,CZ$4&lt;=Projects!$C$31+Projects!$D$31-1),Projects!$B$31/Projects!$D$31,"")</f>
        <v/>
      </c>
      <c r="DA37" s="194" t="str">
        <f aca="false">IF(AND(Projects!$C$31&lt;=DA$4,DA$4&lt;=Projects!$C$31+Projects!$D$31-1),Projects!$B$31/Projects!$D$31,"")</f>
        <v/>
      </c>
      <c r="DB37" s="194" t="str">
        <f aca="false">IF(AND(Projects!$C$31&lt;=DB$4,DB$4&lt;=Projects!$C$31+Projects!$D$31-1),Projects!$B$31/Projects!$D$31,"")</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Projects!$B$32/Projects!$D$32</f>
        <v>789473.684210526</v>
      </c>
      <c r="G38" s="194" t="str">
        <f aca="false">IF(AND(Projects!$C$32&lt;=G$4,G$4&lt;=Projects!$C$32+Projects!$D$32-1),Projects!$B$32/Projects!$D$32,"")</f>
        <v/>
      </c>
      <c r="H38" s="194" t="str">
        <f aca="false">IF(AND(Projects!$C$32&lt;=H$4,H$4&lt;=Projects!$C$32+Projects!$D$32-1),Projects!$B$32/Projects!$D$32,"")</f>
        <v/>
      </c>
      <c r="I38" s="194" t="str">
        <f aca="false">IF(AND(Projects!$C$32&lt;=I$4,I$4&lt;=Projects!$C$32+Projects!$D$32-1),Projects!$B$32/Projects!$D$32,"")</f>
        <v/>
      </c>
      <c r="J38" s="194" t="str">
        <f aca="false">IF(AND(Projects!$C$32&lt;=J$4,J$4&lt;=Projects!$C$32+Projects!$D$32-1),Projects!$B$32/Projects!$D$32,"")</f>
        <v/>
      </c>
      <c r="K38" s="194" t="str">
        <f aca="false">IF(AND(Projects!$C$32&lt;=K$4,K$4&lt;=Projects!$C$32+Projects!$D$32-1),Projects!$B$32/Projects!$D$32,"")</f>
        <v/>
      </c>
      <c r="L38" s="194" t="str">
        <f aca="false">IF(AND(Projects!$C$32&lt;=L$4,L$4&lt;=Projects!$C$32+Projects!$D$32-1),Projects!$B$32/Projects!$D$32,"")</f>
        <v/>
      </c>
      <c r="M38" s="194" t="str">
        <f aca="false">IF(AND(Projects!$C$32&lt;=M$4,M$4&lt;=Projects!$C$32+Projects!$D$32-1),Projects!$B$32/Projects!$D$32,"")</f>
        <v/>
      </c>
      <c r="N38" s="194" t="str">
        <f aca="false">IF(AND(Projects!$C$32&lt;=N$4,N$4&lt;=Projects!$C$32+Projects!$D$32-1),Projects!$B$32/Projects!$D$32,"")</f>
        <v/>
      </c>
      <c r="O38" s="194" t="str">
        <f aca="false">IF(AND(Projects!$C$32&lt;=O$4,O$4&lt;=Projects!$C$32+Projects!$D$32-1),Projects!$B$32/Projects!$D$32,"")</f>
        <v/>
      </c>
      <c r="P38" s="194" t="str">
        <f aca="false">IF(AND(Projects!$C$32&lt;=P$4,P$4&lt;=Projects!$C$32+Projects!$D$32-1),Projects!$B$32/Projects!$D$32,"")</f>
        <v/>
      </c>
      <c r="Q38" s="194" t="str">
        <f aca="false">IF(AND(Projects!$C$32&lt;=Q$4,Q$4&lt;=Projects!$C$32+Projects!$D$32-1),Projects!$B$32/Projects!$D$32,"")</f>
        <v/>
      </c>
      <c r="R38" s="194" t="str">
        <f aca="false">IF(AND(Projects!$C$32&lt;=R$4,R$4&lt;=Projects!$C$32+Projects!$D$32-1),Projects!$B$32/Projects!$D$32,"")</f>
        <v/>
      </c>
      <c r="S38" s="194" t="str">
        <f aca="false">IF(AND(Projects!$C$32&lt;=S$4,S$4&lt;=Projects!$C$32+Projects!$D$32-1),Projects!$B$32/Projects!$D$32,"")</f>
        <v/>
      </c>
      <c r="T38" s="194" t="str">
        <f aca="false">IF(AND(Projects!$C$32&lt;=T$4,T$4&lt;=Projects!$C$32+Projects!$D$32-1),Projects!$B$32/Projects!$D$32,"")</f>
        <v/>
      </c>
      <c r="U38" s="194" t="str">
        <f aca="false">IF(AND(Projects!$C$32&lt;=U$4,U$4&lt;=Projects!$C$32+Projects!$D$32-1),Projects!$B$32/Projects!$D$32,"")</f>
        <v/>
      </c>
      <c r="V38" s="194" t="str">
        <f aca="false">IF(AND(Projects!$C$32&lt;=V$4,V$4&lt;=Projects!$C$32+Projects!$D$32-1),Projects!$B$32/Projects!$D$32,"")</f>
        <v/>
      </c>
      <c r="W38" s="194" t="str">
        <f aca="false">IF(AND(Projects!$C$32&lt;=W$4,W$4&lt;=Projects!$C$32+Projects!$D$32-1),Projects!$B$32/Projects!$D$32,"")</f>
        <v/>
      </c>
      <c r="X38" s="194" t="str">
        <f aca="false">IF(AND(Projects!$C$32&lt;=X$4,X$4&lt;=Projects!$C$32+Projects!$D$32-1),Projects!$B$32/Projects!$D$32,"")</f>
        <v/>
      </c>
      <c r="Y38" s="194" t="str">
        <f aca="false">IF(AND(Projects!$C$32&lt;=Y$4,Y$4&lt;=Projects!$C$32+Projects!$D$32-1),Projects!$B$32/Projects!$D$32,"")</f>
        <v/>
      </c>
      <c r="Z38" s="194" t="str">
        <f aca="false">IF(AND(Projects!$C$32&lt;=Z$4,Z$4&lt;=Projects!$C$32+Projects!$D$32-1),Projects!$B$32/Projects!$D$32,"")</f>
        <v/>
      </c>
      <c r="AA38" s="194" t="str">
        <f aca="false">IF(AND(Projects!$C$32&lt;=AA$4,AA$4&lt;=Projects!$C$32+Projects!$D$32-1),Projects!$B$32/Projects!$D$32,"")</f>
        <v/>
      </c>
      <c r="AB38" s="194" t="str">
        <f aca="false">IF(AND(Projects!$C$32&lt;=AB$4,AB$4&lt;=Projects!$C$32+Projects!$D$32-1),Projects!$B$32/Projects!$D$32,"")</f>
        <v/>
      </c>
      <c r="AC38" s="194" t="str">
        <f aca="false">IF(AND(Projects!$C$32&lt;=AC$4,AC$4&lt;=Projects!$C$32+Projects!$D$32-1),Projects!$B$32/Projects!$D$32,"")</f>
        <v/>
      </c>
      <c r="AD38" s="194" t="str">
        <f aca="false">IF(AND(Projects!$C$32&lt;=AD$4,AD$4&lt;=Projects!$C$32+Projects!$D$32-1),Projects!$B$32/Projects!$D$32,"")</f>
        <v/>
      </c>
      <c r="AE38" s="194" t="str">
        <f aca="false">IF(AND(Projects!$C$32&lt;=AE$4,AE$4&lt;=Projects!$C$32+Projects!$D$32-1),Projects!$B$32/Projects!$D$32,"")</f>
        <v/>
      </c>
      <c r="AF38" s="194" t="str">
        <f aca="false">IF(AND(Projects!$C$32&lt;=AF$4,AF$4&lt;=Projects!$C$32+Projects!$D$32-1),Projects!$B$32/Projects!$D$32,"")</f>
        <v/>
      </c>
      <c r="AG38" s="194" t="str">
        <f aca="false">IF(AND(Projects!$C$32&lt;=AG$4,AG$4&lt;=Projects!$C$32+Projects!$D$32-1),Projects!$B$32/Projects!$D$32,"")</f>
        <v/>
      </c>
      <c r="AH38" s="194" t="str">
        <f aca="false">IF(AND(Projects!$C$32&lt;=AH$4,AH$4&lt;=Projects!$C$32+Projects!$D$32-1),Projects!$B$32/Projects!$D$32,"")</f>
        <v/>
      </c>
      <c r="AI38" s="194" t="str">
        <f aca="false">IF(AND(Projects!$C$32&lt;=AI$4,AI$4&lt;=Projects!$C$32+Projects!$D$32-1),Projects!$B$32/Projects!$D$32,"")</f>
        <v/>
      </c>
      <c r="AJ38" s="194" t="str">
        <f aca="false">IF(AND(Projects!$C$32&lt;=AJ$4,AJ$4&lt;=Projects!$C$32+Projects!$D$32-1),Projects!$B$32/Projects!$D$32,"")</f>
        <v/>
      </c>
      <c r="AK38" s="194" t="str">
        <f aca="false">IF(AND(Projects!$C$32&lt;=AK$4,AK$4&lt;=Projects!$C$32+Projects!$D$32-1),Projects!$B$32/Projects!$D$32,"")</f>
        <v/>
      </c>
      <c r="AL38" s="194" t="str">
        <f aca="false">IF(AND(Projects!$C$32&lt;=AL$4,AL$4&lt;=Projects!$C$32+Projects!$D$32-1),Projects!$B$32/Projects!$D$32,"")</f>
        <v/>
      </c>
      <c r="AM38" s="194" t="str">
        <f aca="false">IF(AND(Projects!$C$32&lt;=AM$4,AM$4&lt;=Projects!$C$32+Projects!$D$32-1),Projects!$B$32/Projects!$D$32,"")</f>
        <v/>
      </c>
      <c r="AN38" s="194" t="str">
        <f aca="false">IF(AND(Projects!$C$32&lt;=AN$4,AN$4&lt;=Projects!$C$32+Projects!$D$32-1),Projects!$B$32/Projects!$D$32,"")</f>
        <v/>
      </c>
      <c r="AO38" s="194" t="str">
        <f aca="false">IF(AND(Projects!$C$32&lt;=AO$4,AO$4&lt;=Projects!$C$32+Projects!$D$32-1),Projects!$B$32/Projects!$D$32,"")</f>
        <v/>
      </c>
      <c r="AP38" s="194" t="str">
        <f aca="false">IF(AND(Projects!$C$32&lt;=AP$4,AP$4&lt;=Projects!$C$32+Projects!$D$32-1),Projects!$B$32/Projects!$D$32,"")</f>
        <v/>
      </c>
      <c r="AQ38" s="194" t="str">
        <f aca="false">IF(AND(Projects!$C$32&lt;=AQ$4,AQ$4&lt;=Projects!$C$32+Projects!$D$32-1),Projects!$B$32/Projects!$D$32,"")</f>
        <v/>
      </c>
      <c r="AR38" s="194" t="str">
        <f aca="false">IF(AND(Projects!$C$32&lt;=AR$4,AR$4&lt;=Projects!$C$32+Projects!$D$32-1),Projects!$B$32/Projects!$D$32,"")</f>
        <v/>
      </c>
      <c r="AS38" s="194" t="str">
        <f aca="false">IF(AND(Projects!$C$32&lt;=AS$4,AS$4&lt;=Projects!$C$32+Projects!$D$32-1),Projects!$B$32/Projects!$D$32,"")</f>
        <v/>
      </c>
      <c r="AT38" s="194" t="str">
        <f aca="false">IF(AND(Projects!$C$32&lt;=AT$4,AT$4&lt;=Projects!$C$32+Projects!$D$32-1),Projects!$B$32/Projects!$D$32,"")</f>
        <v/>
      </c>
      <c r="AU38" s="194" t="str">
        <f aca="false">IF(AND(Projects!$C$32&lt;=AU$4,AU$4&lt;=Projects!$C$32+Projects!$D$32-1),Projects!$B$32/Projects!$D$32,"")</f>
        <v/>
      </c>
      <c r="AV38" s="194" t="str">
        <f aca="false">IF(AND(Projects!$C$32&lt;=AV$4,AV$4&lt;=Projects!$C$32+Projects!$D$32-1),Projects!$B$32/Projects!$D$32,"")</f>
        <v/>
      </c>
      <c r="AW38" s="194" t="str">
        <f aca="false">IF(AND(Projects!$C$32&lt;=AW$4,AW$4&lt;=Projects!$C$32+Projects!$D$32-1),Projects!$B$32/Projects!$D$32,"")</f>
        <v/>
      </c>
      <c r="AX38" s="194" t="str">
        <f aca="false">IF(AND(Projects!$C$32&lt;=AX$4,AX$4&lt;=Projects!$C$32+Projects!$D$32-1),Projects!$B$32/Projects!$D$32,"")</f>
        <v/>
      </c>
      <c r="AY38" s="194" t="str">
        <f aca="false">IF(AND(Projects!$C$32&lt;=AY$4,AY$4&lt;=Projects!$C$32+Projects!$D$32-1),Projects!$B$32/Projects!$D$32,"")</f>
        <v/>
      </c>
      <c r="AZ38" s="194" t="str">
        <f aca="false">IF(AND(Projects!$C$32&lt;=AZ$4,AZ$4&lt;=Projects!$C$32+Projects!$D$32-1),Projects!$B$32/Projects!$D$32,"")</f>
        <v/>
      </c>
      <c r="BA38" s="194" t="str">
        <f aca="false">IF(AND(Projects!$C$32&lt;=BA$4,BA$4&lt;=Projects!$C$32+Projects!$D$32-1),Projects!$B$32/Projects!$D$32,"")</f>
        <v/>
      </c>
      <c r="BB38" s="194" t="str">
        <f aca="false">IF(AND(Projects!$C$32&lt;=BB$4,BB$4&lt;=Projects!$C$32+Projects!$D$32-1),Projects!$B$32/Projects!$D$32,"")</f>
        <v/>
      </c>
      <c r="BC38" s="194" t="str">
        <f aca="false">IF(AND(Projects!$C$32&lt;=BC$4,BC$4&lt;=Projects!$C$32+Projects!$D$32-1),Projects!$B$32/Projects!$D$32,"")</f>
        <v/>
      </c>
      <c r="BD38" s="194" t="str">
        <f aca="false">IF(AND(Projects!$C$32&lt;=BD$4,BD$4&lt;=Projects!$C$32+Projects!$D$32-1),Projects!$B$32/Projects!$D$32,"")</f>
        <v/>
      </c>
      <c r="BE38" s="194" t="str">
        <f aca="false">IF(AND(Projects!$C$32&lt;=BE$4,BE$4&lt;=Projects!$C$32+Projects!$D$32-1),Projects!$B$32/Projects!$D$32,"")</f>
        <v/>
      </c>
      <c r="BF38" s="194" t="str">
        <f aca="false">IF(AND(Projects!$C$32&lt;=BF$4,BF$4&lt;=Projects!$C$32+Projects!$D$32-1),Projects!$B$32/Projects!$D$32,"")</f>
        <v/>
      </c>
      <c r="BG38" s="194" t="str">
        <f aca="false">IF(AND(Projects!$C$32&lt;=BG$4,BG$4&lt;=Projects!$C$32+Projects!$D$32-1),Projects!$B$32/Projects!$D$32,"")</f>
        <v/>
      </c>
      <c r="BH38" s="194" t="n">
        <f aca="false">IF(AND(Projects!$C$32&lt;=BH$4,BH$4&lt;=Projects!$C$32+Projects!$D$32-1),Projects!$B$32/Projects!$D$32,"")</f>
        <v>789473.684210526</v>
      </c>
      <c r="BI38" s="194" t="n">
        <f aca="false">IF(AND(Projects!$C$32&lt;=BI$4,BI$4&lt;=Projects!$C$32+Projects!$D$32-1),Projects!$B$32/Projects!$D$32,"")</f>
        <v>789473.684210526</v>
      </c>
      <c r="BJ38" s="194" t="n">
        <f aca="false">IF(AND(Projects!$C$32&lt;=BJ$4,BJ$4&lt;=Projects!$C$32+Projects!$D$32-1),Projects!$B$32/Projects!$D$32,"")</f>
        <v>789473.684210526</v>
      </c>
      <c r="BK38" s="194" t="n">
        <f aca="false">IF(AND(Projects!$C$32&lt;=BK$4,BK$4&lt;=Projects!$C$32+Projects!$D$32-1),Projects!$B$32/Projects!$D$32,"")</f>
        <v>789473.684210526</v>
      </c>
      <c r="BL38" s="194" t="n">
        <f aca="false">IF(AND(Projects!$C$32&lt;=BL$4,BL$4&lt;=Projects!$C$32+Projects!$D$32-1),Projects!$B$32/Projects!$D$32,"")</f>
        <v>789473.684210526</v>
      </c>
      <c r="BM38" s="194" t="n">
        <f aca="false">IF(AND(Projects!$C$32&lt;=BM$4,BM$4&lt;=Projects!$C$32+Projects!$D$32-1),Projects!$B$32/Projects!$D$32,"")</f>
        <v>789473.684210526</v>
      </c>
      <c r="BN38" s="194" t="n">
        <f aca="false">IF(AND(Projects!$C$32&lt;=BN$4,BN$4&lt;=Projects!$C$32+Projects!$D$32-1),Projects!$B$32/Projects!$D$32,"")</f>
        <v>789473.684210526</v>
      </c>
      <c r="BO38" s="194" t="n">
        <f aca="false">IF(AND(Projects!$C$32&lt;=BO$4,BO$4&lt;=Projects!$C$32+Projects!$D$32-1),Projects!$B$32/Projects!$D$32,"")</f>
        <v>789473.684210526</v>
      </c>
      <c r="BP38" s="194" t="n">
        <f aca="false">IF(AND(Projects!$C$32&lt;=BP$4,BP$4&lt;=Projects!$C$32+Projects!$D$32-1),Projects!$B$32/Projects!$D$32,"")</f>
        <v>789473.684210526</v>
      </c>
      <c r="BQ38" s="194" t="n">
        <f aca="false">IF(AND(Projects!$C$32&lt;=BQ$4,BQ$4&lt;=Projects!$C$32+Projects!$D$32-1),Projects!$B$32/Projects!$D$32,"")</f>
        <v>789473.684210526</v>
      </c>
      <c r="BR38" s="194" t="n">
        <f aca="false">IF(AND(Projects!$C$32&lt;=BR$4,BR$4&lt;=Projects!$C$32+Projects!$D$32-1),Projects!$B$32/Projects!$D$32,"")</f>
        <v>789473.684210526</v>
      </c>
      <c r="BS38" s="194" t="n">
        <f aca="false">IF(AND(Projects!$C$32&lt;=BS$4,BS$4&lt;=Projects!$C$32+Projects!$D$32-1),Projects!$B$32/Projects!$D$32,"")</f>
        <v>789473.684210526</v>
      </c>
      <c r="BT38" s="194" t="n">
        <f aca="false">IF(AND(Projects!$C$32&lt;=BT$4,BT$4&lt;=Projects!$C$32+Projects!$D$32-1),Projects!$B$32/Projects!$D$32,"")</f>
        <v>789473.684210526</v>
      </c>
      <c r="BU38" s="194" t="n">
        <f aca="false">IF(AND(Projects!$C$32&lt;=BU$4,BU$4&lt;=Projects!$C$32+Projects!$D$32-1),Projects!$B$32/Projects!$D$32,"")</f>
        <v>789473.684210526</v>
      </c>
      <c r="BV38" s="194" t="n">
        <f aca="false">IF(AND(Projects!$C$32&lt;=BV$4,BV$4&lt;=Projects!$C$32+Projects!$D$32-1),Projects!$B$32/Projects!$D$32,"")</f>
        <v>789473.684210526</v>
      </c>
      <c r="BW38" s="194" t="n">
        <f aca="false">IF(AND(Projects!$C$32&lt;=BW$4,BW$4&lt;=Projects!$C$32+Projects!$D$32-1),Projects!$B$32/Projects!$D$32,"")</f>
        <v>789473.684210526</v>
      </c>
      <c r="BX38" s="194" t="n">
        <f aca="false">IF(AND(Projects!$C$32&lt;=BX$4,BX$4&lt;=Projects!$C$32+Projects!$D$32-1),Projects!$B$32/Projects!$D$32,"")</f>
        <v>789473.684210526</v>
      </c>
      <c r="BY38" s="194" t="n">
        <f aca="false">IF(AND(Projects!$C$32&lt;=BY$4,BY$4&lt;=Projects!$C$32+Projects!$D$32-1),Projects!$B$32/Projects!$D$32,"")</f>
        <v>789473.684210526</v>
      </c>
      <c r="BZ38" s="194" t="n">
        <f aca="false">IF(AND(Projects!$C$32&lt;=BZ$4,BZ$4&lt;=Projects!$C$32+Projects!$D$32-1),Projects!$B$32/Projects!$D$32,"")</f>
        <v>789473.684210526</v>
      </c>
      <c r="CA38" s="194" t="str">
        <f aca="false">IF(AND(Projects!$C$32&lt;=CA$4,CA$4&lt;=Projects!$C$32+Projects!$D$32-1),Projects!$B$32/Projects!$D$32,"")</f>
        <v/>
      </c>
      <c r="CB38" s="194" t="str">
        <f aca="false">IF(AND(Projects!$C$32&lt;=CB$4,CB$4&lt;=Projects!$C$32+Projects!$D$32-1),Projects!$B$32/Projects!$D$32,"")</f>
        <v/>
      </c>
      <c r="CC38" s="194" t="str">
        <f aca="false">IF(AND(Projects!$C$32&lt;=CC$4,CC$4&lt;=Projects!$C$32+Projects!$D$32-1),Projects!$B$32/Projects!$D$32,"")</f>
        <v/>
      </c>
      <c r="CD38" s="194" t="str">
        <f aca="false">IF(AND(Projects!$C$32&lt;=CD$4,CD$4&lt;=Projects!$C$32+Projects!$D$32-1),Projects!$B$32/Projects!$D$32,"")</f>
        <v/>
      </c>
      <c r="CE38" s="194" t="str">
        <f aca="false">IF(AND(Projects!$C$32&lt;=CE$4,CE$4&lt;=Projects!$C$32+Projects!$D$32-1),Projects!$B$32/Projects!$D$32,"")</f>
        <v/>
      </c>
      <c r="CF38" s="194" t="str">
        <f aca="false">IF(AND(Projects!$C$32&lt;=CF$4,CF$4&lt;=Projects!$C$32+Projects!$D$32-1),Projects!$B$32/Projects!$D$32,"")</f>
        <v/>
      </c>
      <c r="CG38" s="194" t="str">
        <f aca="false">IF(AND(Projects!$C$32&lt;=CG$4,CG$4&lt;=Projects!$C$32+Projects!$D$32-1),Projects!$B$32/Projects!$D$32,"")</f>
        <v/>
      </c>
      <c r="CH38" s="194" t="str">
        <f aca="false">IF(AND(Projects!$C$32&lt;=CH$4,CH$4&lt;=Projects!$C$32+Projects!$D$32-1),Projects!$B$32/Projects!$D$32,"")</f>
        <v/>
      </c>
      <c r="CI38" s="194" t="str">
        <f aca="false">IF(AND(Projects!$C$32&lt;=CI$4,CI$4&lt;=Projects!$C$32+Projects!$D$32-1),Projects!$B$32/Projects!$D$32,"")</f>
        <v/>
      </c>
      <c r="CJ38" s="194" t="str">
        <f aca="false">IF(AND(Projects!$C$32&lt;=CJ$4,CJ$4&lt;=Projects!$C$32+Projects!$D$32-1),Projects!$B$32/Projects!$D$32,"")</f>
        <v/>
      </c>
      <c r="CK38" s="194" t="str">
        <f aca="false">IF(AND(Projects!$C$32&lt;=CK$4,CK$4&lt;=Projects!$C$32+Projects!$D$32-1),Projects!$B$32/Projects!$D$32,"")</f>
        <v/>
      </c>
      <c r="CL38" s="194" t="str">
        <f aca="false">IF(AND(Projects!$C$32&lt;=CL$4,CL$4&lt;=Projects!$C$32+Projects!$D$32-1),Projects!$B$32/Projects!$D$32,"")</f>
        <v/>
      </c>
      <c r="CM38" s="194" t="str">
        <f aca="false">IF(AND(Projects!$C$32&lt;=CM$4,CM$4&lt;=Projects!$C$32+Projects!$D$32-1),Projects!$B$32/Projects!$D$32,"")</f>
        <v/>
      </c>
      <c r="CN38" s="194" t="str">
        <f aca="false">IF(AND(Projects!$C$32&lt;=CN$4,CN$4&lt;=Projects!$C$32+Projects!$D$32-1),Projects!$B$32/Projects!$D$32,"")</f>
        <v/>
      </c>
      <c r="CO38" s="194" t="str">
        <f aca="false">IF(AND(Projects!$C$32&lt;=CO$4,CO$4&lt;=Projects!$C$32+Projects!$D$32-1),Projects!$B$32/Projects!$D$32,"")</f>
        <v/>
      </c>
      <c r="CP38" s="194" t="str">
        <f aca="false">IF(AND(Projects!$C$32&lt;=CP$4,CP$4&lt;=Projects!$C$32+Projects!$D$32-1),Projects!$B$32/Projects!$D$32,"")</f>
        <v/>
      </c>
      <c r="CQ38" s="194" t="str">
        <f aca="false">IF(AND(Projects!$C$32&lt;=CQ$4,CQ$4&lt;=Projects!$C$32+Projects!$D$32-1),Projects!$B$32/Projects!$D$32,"")</f>
        <v/>
      </c>
      <c r="CR38" s="194" t="str">
        <f aca="false">IF(AND(Projects!$C$32&lt;=CR$4,CR$4&lt;=Projects!$C$32+Projects!$D$32-1),Projects!$B$32/Projects!$D$32,"")</f>
        <v/>
      </c>
      <c r="CS38" s="194" t="str">
        <f aca="false">IF(AND(Projects!$C$32&lt;=CS$4,CS$4&lt;=Projects!$C$32+Projects!$D$32-1),Projects!$B$32/Projects!$D$32,"")</f>
        <v/>
      </c>
      <c r="CT38" s="194" t="str">
        <f aca="false">IF(AND(Projects!$C$32&lt;=CT$4,CT$4&lt;=Projects!$C$32+Projects!$D$32-1),Projects!$B$32/Projects!$D$32,"")</f>
        <v/>
      </c>
      <c r="CU38" s="194" t="str">
        <f aca="false">IF(AND(Projects!$C$32&lt;=CU$4,CU$4&lt;=Projects!$C$32+Projects!$D$32-1),Projects!$B$32/Projects!$D$32,"")</f>
        <v/>
      </c>
      <c r="CV38" s="194" t="str">
        <f aca="false">IF(AND(Projects!$C$32&lt;=CV$4,CV$4&lt;=Projects!$C$32+Projects!$D$32-1),Projects!$B$32/Projects!$D$32,"")</f>
        <v/>
      </c>
      <c r="CW38" s="194" t="str">
        <f aca="false">IF(AND(Projects!$C$32&lt;=CW$4,CW$4&lt;=Projects!$C$32+Projects!$D$32-1),Projects!$B$32/Projects!$D$32,"")</f>
        <v/>
      </c>
      <c r="CX38" s="194" t="str">
        <f aca="false">IF(AND(Projects!$C$32&lt;=CX$4,CX$4&lt;=Projects!$C$32+Projects!$D$32-1),Projects!$B$32/Projects!$D$32,"")</f>
        <v/>
      </c>
      <c r="CY38" s="194" t="str">
        <f aca="false">IF(AND(Projects!$C$32&lt;=CY$4,CY$4&lt;=Projects!$C$32+Projects!$D$32-1),Projects!$B$32/Projects!$D$32,"")</f>
        <v/>
      </c>
      <c r="CZ38" s="194" t="str">
        <f aca="false">IF(AND(Projects!$C$32&lt;=CZ$4,CZ$4&lt;=Projects!$C$32+Projects!$D$32-1),Projects!$B$32/Projects!$D$32,"")</f>
        <v/>
      </c>
      <c r="DA38" s="194" t="str">
        <f aca="false">IF(AND(Projects!$C$32&lt;=DA$4,DA$4&lt;=Projects!$C$32+Projects!$D$32-1),Projects!$B$32/Projects!$D$32,"")</f>
        <v/>
      </c>
      <c r="DB38" s="194" t="str">
        <f aca="false">IF(AND(Projects!$C$32&lt;=DB$4,DB$4&lt;=Projects!$C$32+Projects!$D$32-1),Projects!$B$32/Projects!$D$32,"")</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Projects!$B$33/Projects!$D$33</f>
        <v>789473.684210526</v>
      </c>
      <c r="G39" s="194" t="str">
        <f aca="false">IF(AND(Projects!$C$33&lt;=G$4,G$4&lt;=Projects!$C$33+Projects!$D$33-1),Projects!$B$33/Projects!$D$33,"")</f>
        <v/>
      </c>
      <c r="H39" s="194" t="str">
        <f aca="false">IF(AND(Projects!$C$33&lt;=H$4,H$4&lt;=Projects!$C$33+Projects!$D$33-1),Projects!$B$33/Projects!$D$33,"")</f>
        <v/>
      </c>
      <c r="I39" s="194" t="str">
        <f aca="false">IF(AND(Projects!$C$33&lt;=I$4,I$4&lt;=Projects!$C$33+Projects!$D$33-1),Projects!$B$33/Projects!$D$33,"")</f>
        <v/>
      </c>
      <c r="J39" s="194" t="str">
        <f aca="false">IF(AND(Projects!$C$33&lt;=J$4,J$4&lt;=Projects!$C$33+Projects!$D$33-1),Projects!$B$33/Projects!$D$33,"")</f>
        <v/>
      </c>
      <c r="K39" s="194" t="str">
        <f aca="false">IF(AND(Projects!$C$33&lt;=K$4,K$4&lt;=Projects!$C$33+Projects!$D$33-1),Projects!$B$33/Projects!$D$33,"")</f>
        <v/>
      </c>
      <c r="L39" s="194" t="str">
        <f aca="false">IF(AND(Projects!$C$33&lt;=L$4,L$4&lt;=Projects!$C$33+Projects!$D$33-1),Projects!$B$33/Projects!$D$33,"")</f>
        <v/>
      </c>
      <c r="M39" s="194" t="str">
        <f aca="false">IF(AND(Projects!$C$33&lt;=M$4,M$4&lt;=Projects!$C$33+Projects!$D$33-1),Projects!$B$33/Projects!$D$33,"")</f>
        <v/>
      </c>
      <c r="N39" s="194" t="str">
        <f aca="false">IF(AND(Projects!$C$33&lt;=N$4,N$4&lt;=Projects!$C$33+Projects!$D$33-1),Projects!$B$33/Projects!$D$33,"")</f>
        <v/>
      </c>
      <c r="O39" s="194" t="str">
        <f aca="false">IF(AND(Projects!$C$33&lt;=O$4,O$4&lt;=Projects!$C$33+Projects!$D$33-1),Projects!$B$33/Projects!$D$33,"")</f>
        <v/>
      </c>
      <c r="P39" s="194" t="str">
        <f aca="false">IF(AND(Projects!$C$33&lt;=P$4,P$4&lt;=Projects!$C$33+Projects!$D$33-1),Projects!$B$33/Projects!$D$33,"")</f>
        <v/>
      </c>
      <c r="Q39" s="194" t="str">
        <f aca="false">IF(AND(Projects!$C$33&lt;=Q$4,Q$4&lt;=Projects!$C$33+Projects!$D$33-1),Projects!$B$33/Projects!$D$33,"")</f>
        <v/>
      </c>
      <c r="R39" s="194" t="str">
        <f aca="false">IF(AND(Projects!$C$33&lt;=R$4,R$4&lt;=Projects!$C$33+Projects!$D$33-1),Projects!$B$33/Projects!$D$33,"")</f>
        <v/>
      </c>
      <c r="S39" s="194" t="str">
        <f aca="false">IF(AND(Projects!$C$33&lt;=S$4,S$4&lt;=Projects!$C$33+Projects!$D$33-1),Projects!$B$33/Projects!$D$33,"")</f>
        <v/>
      </c>
      <c r="T39" s="194" t="str">
        <f aca="false">IF(AND(Projects!$C$33&lt;=T$4,T$4&lt;=Projects!$C$33+Projects!$D$33-1),Projects!$B$33/Projects!$D$33,"")</f>
        <v/>
      </c>
      <c r="U39" s="194" t="str">
        <f aca="false">IF(AND(Projects!$C$33&lt;=U$4,U$4&lt;=Projects!$C$33+Projects!$D$33-1),Projects!$B$33/Projects!$D$33,"")</f>
        <v/>
      </c>
      <c r="V39" s="194" t="str">
        <f aca="false">IF(AND(Projects!$C$33&lt;=V$4,V$4&lt;=Projects!$C$33+Projects!$D$33-1),Projects!$B$33/Projects!$D$33,"")</f>
        <v/>
      </c>
      <c r="W39" s="194" t="str">
        <f aca="false">IF(AND(Projects!$C$33&lt;=W$4,W$4&lt;=Projects!$C$33+Projects!$D$33-1),Projects!$B$33/Projects!$D$33,"")</f>
        <v/>
      </c>
      <c r="X39" s="194" t="str">
        <f aca="false">IF(AND(Projects!$C$33&lt;=X$4,X$4&lt;=Projects!$C$33+Projects!$D$33-1),Projects!$B$33/Projects!$D$33,"")</f>
        <v/>
      </c>
      <c r="Y39" s="194" t="str">
        <f aca="false">IF(AND(Projects!$C$33&lt;=Y$4,Y$4&lt;=Projects!$C$33+Projects!$D$33-1),Projects!$B$33/Projects!$D$33,"")</f>
        <v/>
      </c>
      <c r="Z39" s="194" t="str">
        <f aca="false">IF(AND(Projects!$C$33&lt;=Z$4,Z$4&lt;=Projects!$C$33+Projects!$D$33-1),Projects!$B$33/Projects!$D$33,"")</f>
        <v/>
      </c>
      <c r="AA39" s="194" t="str">
        <f aca="false">IF(AND(Projects!$C$33&lt;=AA$4,AA$4&lt;=Projects!$C$33+Projects!$D$33-1),Projects!$B$33/Projects!$D$33,"")</f>
        <v/>
      </c>
      <c r="AB39" s="194" t="str">
        <f aca="false">IF(AND(Projects!$C$33&lt;=AB$4,AB$4&lt;=Projects!$C$33+Projects!$D$33-1),Projects!$B$33/Projects!$D$33,"")</f>
        <v/>
      </c>
      <c r="AC39" s="194" t="str">
        <f aca="false">IF(AND(Projects!$C$33&lt;=AC$4,AC$4&lt;=Projects!$C$33+Projects!$D$33-1),Projects!$B$33/Projects!$D$33,"")</f>
        <v/>
      </c>
      <c r="AD39" s="194" t="str">
        <f aca="false">IF(AND(Projects!$C$33&lt;=AD$4,AD$4&lt;=Projects!$C$33+Projects!$D$33-1),Projects!$B$33/Projects!$D$33,"")</f>
        <v/>
      </c>
      <c r="AE39" s="194" t="str">
        <f aca="false">IF(AND(Projects!$C$33&lt;=AE$4,AE$4&lt;=Projects!$C$33+Projects!$D$33-1),Projects!$B$33/Projects!$D$33,"")</f>
        <v/>
      </c>
      <c r="AF39" s="194" t="str">
        <f aca="false">IF(AND(Projects!$C$33&lt;=AF$4,AF$4&lt;=Projects!$C$33+Projects!$D$33-1),Projects!$B$33/Projects!$D$33,"")</f>
        <v/>
      </c>
      <c r="AG39" s="194" t="str">
        <f aca="false">IF(AND(Projects!$C$33&lt;=AG$4,AG$4&lt;=Projects!$C$33+Projects!$D$33-1),Projects!$B$33/Projects!$D$33,"")</f>
        <v/>
      </c>
      <c r="AH39" s="194" t="str">
        <f aca="false">IF(AND(Projects!$C$33&lt;=AH$4,AH$4&lt;=Projects!$C$33+Projects!$D$33-1),Projects!$B$33/Projects!$D$33,"")</f>
        <v/>
      </c>
      <c r="AI39" s="194" t="str">
        <f aca="false">IF(AND(Projects!$C$33&lt;=AI$4,AI$4&lt;=Projects!$C$33+Projects!$D$33-1),Projects!$B$33/Projects!$D$33,"")</f>
        <v/>
      </c>
      <c r="AJ39" s="194" t="str">
        <f aca="false">IF(AND(Projects!$C$33&lt;=AJ$4,AJ$4&lt;=Projects!$C$33+Projects!$D$33-1),Projects!$B$33/Projects!$D$33,"")</f>
        <v/>
      </c>
      <c r="AK39" s="194" t="str">
        <f aca="false">IF(AND(Projects!$C$33&lt;=AK$4,AK$4&lt;=Projects!$C$33+Projects!$D$33-1),Projects!$B$33/Projects!$D$33,"")</f>
        <v/>
      </c>
      <c r="AL39" s="194" t="str">
        <f aca="false">IF(AND(Projects!$C$33&lt;=AL$4,AL$4&lt;=Projects!$C$33+Projects!$D$33-1),Projects!$B$33/Projects!$D$33,"")</f>
        <v/>
      </c>
      <c r="AM39" s="194" t="str">
        <f aca="false">IF(AND(Projects!$C$33&lt;=AM$4,AM$4&lt;=Projects!$C$33+Projects!$D$33-1),Projects!$B$33/Projects!$D$33,"")</f>
        <v/>
      </c>
      <c r="AN39" s="194" t="str">
        <f aca="false">IF(AND(Projects!$C$33&lt;=AN$4,AN$4&lt;=Projects!$C$33+Projects!$D$33-1),Projects!$B$33/Projects!$D$33,"")</f>
        <v/>
      </c>
      <c r="AO39" s="194" t="str">
        <f aca="false">IF(AND(Projects!$C$33&lt;=AO$4,AO$4&lt;=Projects!$C$33+Projects!$D$33-1),Projects!$B$33/Projects!$D$33,"")</f>
        <v/>
      </c>
      <c r="AP39" s="194" t="str">
        <f aca="false">IF(AND(Projects!$C$33&lt;=AP$4,AP$4&lt;=Projects!$C$33+Projects!$D$33-1),Projects!$B$33/Projects!$D$33,"")</f>
        <v/>
      </c>
      <c r="AQ39" s="194" t="str">
        <f aca="false">IF(AND(Projects!$C$33&lt;=AQ$4,AQ$4&lt;=Projects!$C$33+Projects!$D$33-1),Projects!$B$33/Projects!$D$33,"")</f>
        <v/>
      </c>
      <c r="AR39" s="194" t="str">
        <f aca="false">IF(AND(Projects!$C$33&lt;=AR$4,AR$4&lt;=Projects!$C$33+Projects!$D$33-1),Projects!$B$33/Projects!$D$33,"")</f>
        <v/>
      </c>
      <c r="AS39" s="194" t="str">
        <f aca="false">IF(AND(Projects!$C$33&lt;=AS$4,AS$4&lt;=Projects!$C$33+Projects!$D$33-1),Projects!$B$33/Projects!$D$33,"")</f>
        <v/>
      </c>
      <c r="AT39" s="194" t="str">
        <f aca="false">IF(AND(Projects!$C$33&lt;=AT$4,AT$4&lt;=Projects!$C$33+Projects!$D$33-1),Projects!$B$33/Projects!$D$33,"")</f>
        <v/>
      </c>
      <c r="AU39" s="194" t="str">
        <f aca="false">IF(AND(Projects!$C$33&lt;=AU$4,AU$4&lt;=Projects!$C$33+Projects!$D$33-1),Projects!$B$33/Projects!$D$33,"")</f>
        <v/>
      </c>
      <c r="AV39" s="194" t="str">
        <f aca="false">IF(AND(Projects!$C$33&lt;=AV$4,AV$4&lt;=Projects!$C$33+Projects!$D$33-1),Projects!$B$33/Projects!$D$33,"")</f>
        <v/>
      </c>
      <c r="AW39" s="194" t="str">
        <f aca="false">IF(AND(Projects!$C$33&lt;=AW$4,AW$4&lt;=Projects!$C$33+Projects!$D$33-1),Projects!$B$33/Projects!$D$33,"")</f>
        <v/>
      </c>
      <c r="AX39" s="194" t="str">
        <f aca="false">IF(AND(Projects!$C$33&lt;=AX$4,AX$4&lt;=Projects!$C$33+Projects!$D$33-1),Projects!$B$33/Projects!$D$33,"")</f>
        <v/>
      </c>
      <c r="AY39" s="194" t="str">
        <f aca="false">IF(AND(Projects!$C$33&lt;=AY$4,AY$4&lt;=Projects!$C$33+Projects!$D$33-1),Projects!$B$33/Projects!$D$33,"")</f>
        <v/>
      </c>
      <c r="AZ39" s="194" t="str">
        <f aca="false">IF(AND(Projects!$C$33&lt;=AZ$4,AZ$4&lt;=Projects!$C$33+Projects!$D$33-1),Projects!$B$33/Projects!$D$33,"")</f>
        <v/>
      </c>
      <c r="BA39" s="194" t="str">
        <f aca="false">IF(AND(Projects!$C$33&lt;=BA$4,BA$4&lt;=Projects!$C$33+Projects!$D$33-1),Projects!$B$33/Projects!$D$33,"")</f>
        <v/>
      </c>
      <c r="BB39" s="194" t="str">
        <f aca="false">IF(AND(Projects!$C$33&lt;=BB$4,BB$4&lt;=Projects!$C$33+Projects!$D$33-1),Projects!$B$33/Projects!$D$33,"")</f>
        <v/>
      </c>
      <c r="BC39" s="194" t="str">
        <f aca="false">IF(AND(Projects!$C$33&lt;=BC$4,BC$4&lt;=Projects!$C$33+Projects!$D$33-1),Projects!$B$33/Projects!$D$33,"")</f>
        <v/>
      </c>
      <c r="BD39" s="194" t="str">
        <f aca="false">IF(AND(Projects!$C$33&lt;=BD$4,BD$4&lt;=Projects!$C$33+Projects!$D$33-1),Projects!$B$33/Projects!$D$33,"")</f>
        <v/>
      </c>
      <c r="BE39" s="194" t="str">
        <f aca="false">IF(AND(Projects!$C$33&lt;=BE$4,BE$4&lt;=Projects!$C$33+Projects!$D$33-1),Projects!$B$33/Projects!$D$33,"")</f>
        <v/>
      </c>
      <c r="BF39" s="194" t="str">
        <f aca="false">IF(AND(Projects!$C$33&lt;=BF$4,BF$4&lt;=Projects!$C$33+Projects!$D$33-1),Projects!$B$33/Projects!$D$33,"")</f>
        <v/>
      </c>
      <c r="BG39" s="194" t="str">
        <f aca="false">IF(AND(Projects!$C$33&lt;=BG$4,BG$4&lt;=Projects!$C$33+Projects!$D$33-1),Projects!$B$33/Projects!$D$33,"")</f>
        <v/>
      </c>
      <c r="BH39" s="194" t="str">
        <f aca="false">IF(AND(Projects!$C$33&lt;=BH$4,BH$4&lt;=Projects!$C$33+Projects!$D$33-1),Projects!$B$33/Projects!$D$33,"")</f>
        <v/>
      </c>
      <c r="BI39" s="194" t="str">
        <f aca="false">IF(AND(Projects!$C$33&lt;=BI$4,BI$4&lt;=Projects!$C$33+Projects!$D$33-1),Projects!$B$33/Projects!$D$33,"")</f>
        <v/>
      </c>
      <c r="BJ39" s="194" t="n">
        <f aca="false">IF(AND(Projects!$C$33&lt;=BJ$4,BJ$4&lt;=Projects!$C$33+Projects!$D$33-1),Projects!$B$33/Projects!$D$33,"")</f>
        <v>789473.684210526</v>
      </c>
      <c r="BK39" s="194" t="n">
        <f aca="false">IF(AND(Projects!$C$33&lt;=BK$4,BK$4&lt;=Projects!$C$33+Projects!$D$33-1),Projects!$B$33/Projects!$D$33,"")</f>
        <v>789473.684210526</v>
      </c>
      <c r="BL39" s="194" t="n">
        <f aca="false">IF(AND(Projects!$C$33&lt;=BL$4,BL$4&lt;=Projects!$C$33+Projects!$D$33-1),Projects!$B$33/Projects!$D$33,"")</f>
        <v>789473.684210526</v>
      </c>
      <c r="BM39" s="194" t="n">
        <f aca="false">IF(AND(Projects!$C$33&lt;=BM$4,BM$4&lt;=Projects!$C$33+Projects!$D$33-1),Projects!$B$33/Projects!$D$33,"")</f>
        <v>789473.684210526</v>
      </c>
      <c r="BN39" s="194" t="n">
        <f aca="false">IF(AND(Projects!$C$33&lt;=BN$4,BN$4&lt;=Projects!$C$33+Projects!$D$33-1),Projects!$B$33/Projects!$D$33,"")</f>
        <v>789473.684210526</v>
      </c>
      <c r="BO39" s="194" t="n">
        <f aca="false">IF(AND(Projects!$C$33&lt;=BO$4,BO$4&lt;=Projects!$C$33+Projects!$D$33-1),Projects!$B$33/Projects!$D$33,"")</f>
        <v>789473.684210526</v>
      </c>
      <c r="BP39" s="194" t="n">
        <f aca="false">IF(AND(Projects!$C$33&lt;=BP$4,BP$4&lt;=Projects!$C$33+Projects!$D$33-1),Projects!$B$33/Projects!$D$33,"")</f>
        <v>789473.684210526</v>
      </c>
      <c r="BQ39" s="194" t="n">
        <f aca="false">IF(AND(Projects!$C$33&lt;=BQ$4,BQ$4&lt;=Projects!$C$33+Projects!$D$33-1),Projects!$B$33/Projects!$D$33,"")</f>
        <v>789473.684210526</v>
      </c>
      <c r="BR39" s="194" t="n">
        <f aca="false">IF(AND(Projects!$C$33&lt;=BR$4,BR$4&lt;=Projects!$C$33+Projects!$D$33-1),Projects!$B$33/Projects!$D$33,"")</f>
        <v>789473.684210526</v>
      </c>
      <c r="BS39" s="194" t="n">
        <f aca="false">IF(AND(Projects!$C$33&lt;=BS$4,BS$4&lt;=Projects!$C$33+Projects!$D$33-1),Projects!$B$33/Projects!$D$33,"")</f>
        <v>789473.684210526</v>
      </c>
      <c r="BT39" s="194" t="n">
        <f aca="false">IF(AND(Projects!$C$33&lt;=BT$4,BT$4&lt;=Projects!$C$33+Projects!$D$33-1),Projects!$B$33/Projects!$D$33,"")</f>
        <v>789473.684210526</v>
      </c>
      <c r="BU39" s="194" t="n">
        <f aca="false">IF(AND(Projects!$C$33&lt;=BU$4,BU$4&lt;=Projects!$C$33+Projects!$D$33-1),Projects!$B$33/Projects!$D$33,"")</f>
        <v>789473.684210526</v>
      </c>
      <c r="BV39" s="194" t="n">
        <f aca="false">IF(AND(Projects!$C$33&lt;=BV$4,BV$4&lt;=Projects!$C$33+Projects!$D$33-1),Projects!$B$33/Projects!$D$33,"")</f>
        <v>789473.684210526</v>
      </c>
      <c r="BW39" s="194" t="n">
        <f aca="false">IF(AND(Projects!$C$33&lt;=BW$4,BW$4&lt;=Projects!$C$33+Projects!$D$33-1),Projects!$B$33/Projects!$D$33,"")</f>
        <v>789473.684210526</v>
      </c>
      <c r="BX39" s="194" t="n">
        <f aca="false">IF(AND(Projects!$C$33&lt;=BX$4,BX$4&lt;=Projects!$C$33+Projects!$D$33-1),Projects!$B$33/Projects!$D$33,"")</f>
        <v>789473.684210526</v>
      </c>
      <c r="BY39" s="194" t="n">
        <f aca="false">IF(AND(Projects!$C$33&lt;=BY$4,BY$4&lt;=Projects!$C$33+Projects!$D$33-1),Projects!$B$33/Projects!$D$33,"")</f>
        <v>789473.684210526</v>
      </c>
      <c r="BZ39" s="194" t="n">
        <f aca="false">IF(AND(Projects!$C$33&lt;=BZ$4,BZ$4&lt;=Projects!$C$33+Projects!$D$33-1),Projects!$B$33/Projects!$D$33,"")</f>
        <v>789473.684210526</v>
      </c>
      <c r="CA39" s="194" t="n">
        <f aca="false">IF(AND(Projects!$C$33&lt;=CA$4,CA$4&lt;=Projects!$C$33+Projects!$D$33-1),Projects!$B$33/Projects!$D$33,"")</f>
        <v>789473.684210526</v>
      </c>
      <c r="CB39" s="194" t="n">
        <f aca="false">IF(AND(Projects!$C$33&lt;=CB$4,CB$4&lt;=Projects!$C$33+Projects!$D$33-1),Projects!$B$33/Projects!$D$33,"")</f>
        <v>789473.684210526</v>
      </c>
      <c r="CC39" s="194" t="str">
        <f aca="false">IF(AND(Projects!$C$33&lt;=CC$4,CC$4&lt;=Projects!$C$33+Projects!$D$33-1),Projects!$B$33/Projects!$D$33,"")</f>
        <v/>
      </c>
      <c r="CD39" s="194" t="str">
        <f aca="false">IF(AND(Projects!$C$33&lt;=CD$4,CD$4&lt;=Projects!$C$33+Projects!$D$33-1),Projects!$B$33/Projects!$D$33,"")</f>
        <v/>
      </c>
      <c r="CE39" s="194" t="str">
        <f aca="false">IF(AND(Projects!$C$33&lt;=CE$4,CE$4&lt;=Projects!$C$33+Projects!$D$33-1),Projects!$B$33/Projects!$D$33,"")</f>
        <v/>
      </c>
      <c r="CF39" s="194" t="str">
        <f aca="false">IF(AND(Projects!$C$33&lt;=CF$4,CF$4&lt;=Projects!$C$33+Projects!$D$33-1),Projects!$B$33/Projects!$D$33,"")</f>
        <v/>
      </c>
      <c r="CG39" s="194" t="str">
        <f aca="false">IF(AND(Projects!$C$33&lt;=CG$4,CG$4&lt;=Projects!$C$33+Projects!$D$33-1),Projects!$B$33/Projects!$D$33,"")</f>
        <v/>
      </c>
      <c r="CH39" s="194" t="str">
        <f aca="false">IF(AND(Projects!$C$33&lt;=CH$4,CH$4&lt;=Projects!$C$33+Projects!$D$33-1),Projects!$B$33/Projects!$D$33,"")</f>
        <v/>
      </c>
      <c r="CI39" s="194" t="str">
        <f aca="false">IF(AND(Projects!$C$33&lt;=CI$4,CI$4&lt;=Projects!$C$33+Projects!$D$33-1),Projects!$B$33/Projects!$D$33,"")</f>
        <v/>
      </c>
      <c r="CJ39" s="194" t="str">
        <f aca="false">IF(AND(Projects!$C$33&lt;=CJ$4,CJ$4&lt;=Projects!$C$33+Projects!$D$33-1),Projects!$B$33/Projects!$D$33,"")</f>
        <v/>
      </c>
      <c r="CK39" s="194" t="str">
        <f aca="false">IF(AND(Projects!$C$33&lt;=CK$4,CK$4&lt;=Projects!$C$33+Projects!$D$33-1),Projects!$B$33/Projects!$D$33,"")</f>
        <v/>
      </c>
      <c r="CL39" s="194" t="str">
        <f aca="false">IF(AND(Projects!$C$33&lt;=CL$4,CL$4&lt;=Projects!$C$33+Projects!$D$33-1),Projects!$B$33/Projects!$D$33,"")</f>
        <v/>
      </c>
      <c r="CM39" s="194" t="str">
        <f aca="false">IF(AND(Projects!$C$33&lt;=CM$4,CM$4&lt;=Projects!$C$33+Projects!$D$33-1),Projects!$B$33/Projects!$D$33,"")</f>
        <v/>
      </c>
      <c r="CN39" s="194" t="str">
        <f aca="false">IF(AND(Projects!$C$33&lt;=CN$4,CN$4&lt;=Projects!$C$33+Projects!$D$33-1),Projects!$B$33/Projects!$D$33,"")</f>
        <v/>
      </c>
      <c r="CO39" s="194" t="str">
        <f aca="false">IF(AND(Projects!$C$33&lt;=CO$4,CO$4&lt;=Projects!$C$33+Projects!$D$33-1),Projects!$B$33/Projects!$D$33,"")</f>
        <v/>
      </c>
      <c r="CP39" s="194" t="str">
        <f aca="false">IF(AND(Projects!$C$33&lt;=CP$4,CP$4&lt;=Projects!$C$33+Projects!$D$33-1),Projects!$B$33/Projects!$D$33,"")</f>
        <v/>
      </c>
      <c r="CQ39" s="194" t="str">
        <f aca="false">IF(AND(Projects!$C$33&lt;=CQ$4,CQ$4&lt;=Projects!$C$33+Projects!$D$33-1),Projects!$B$33/Projects!$D$33,"")</f>
        <v/>
      </c>
      <c r="CR39" s="194" t="str">
        <f aca="false">IF(AND(Projects!$C$33&lt;=CR$4,CR$4&lt;=Projects!$C$33+Projects!$D$33-1),Projects!$B$33/Projects!$D$33,"")</f>
        <v/>
      </c>
      <c r="CS39" s="194" t="str">
        <f aca="false">IF(AND(Projects!$C$33&lt;=CS$4,CS$4&lt;=Projects!$C$33+Projects!$D$33-1),Projects!$B$33/Projects!$D$33,"")</f>
        <v/>
      </c>
      <c r="CT39" s="194" t="str">
        <f aca="false">IF(AND(Projects!$C$33&lt;=CT$4,CT$4&lt;=Projects!$C$33+Projects!$D$33-1),Projects!$B$33/Projects!$D$33,"")</f>
        <v/>
      </c>
      <c r="CU39" s="194" t="str">
        <f aca="false">IF(AND(Projects!$C$33&lt;=CU$4,CU$4&lt;=Projects!$C$33+Projects!$D$33-1),Projects!$B$33/Projects!$D$33,"")</f>
        <v/>
      </c>
      <c r="CV39" s="194" t="str">
        <f aca="false">IF(AND(Projects!$C$33&lt;=CV$4,CV$4&lt;=Projects!$C$33+Projects!$D$33-1),Projects!$B$33/Projects!$D$33,"")</f>
        <v/>
      </c>
      <c r="CW39" s="194" t="str">
        <f aca="false">IF(AND(Projects!$C$33&lt;=CW$4,CW$4&lt;=Projects!$C$33+Projects!$D$33-1),Projects!$B$33/Projects!$D$33,"")</f>
        <v/>
      </c>
      <c r="CX39" s="194" t="str">
        <f aca="false">IF(AND(Projects!$C$33&lt;=CX$4,CX$4&lt;=Projects!$C$33+Projects!$D$33-1),Projects!$B$33/Projects!$D$33,"")</f>
        <v/>
      </c>
      <c r="CY39" s="194" t="str">
        <f aca="false">IF(AND(Projects!$C$33&lt;=CY$4,CY$4&lt;=Projects!$C$33+Projects!$D$33-1),Projects!$B$33/Projects!$D$33,"")</f>
        <v/>
      </c>
      <c r="CZ39" s="194" t="str">
        <f aca="false">IF(AND(Projects!$C$33&lt;=CZ$4,CZ$4&lt;=Projects!$C$33+Projects!$D$33-1),Projects!$B$33/Projects!$D$33,"")</f>
        <v/>
      </c>
      <c r="DA39" s="194" t="str">
        <f aca="false">IF(AND(Projects!$C$33&lt;=DA$4,DA$4&lt;=Projects!$C$33+Projects!$D$33-1),Projects!$B$33/Projects!$D$33,"")</f>
        <v/>
      </c>
      <c r="DB39" s="194" t="str">
        <f aca="false">IF(AND(Projects!$C$33&lt;=DB$4,DB$4&lt;=Projects!$C$33+Projects!$D$33-1),Projects!$B$33/Projects!$D$33,"")</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Projects!$B$34/Projects!$D$34</f>
        <v>947368.421052632</v>
      </c>
      <c r="G40" s="194" t="str">
        <f aca="false">IF(AND(Projects!$C$34&lt;=G$4,G$4&lt;=Projects!$C$34+Projects!$D$34-1),Projects!$B$34/Projects!$D$34,"")</f>
        <v/>
      </c>
      <c r="H40" s="194" t="str">
        <f aca="false">IF(AND(Projects!$C$34&lt;=H$4,H$4&lt;=Projects!$C$34+Projects!$D$34-1),Projects!$B$34/Projects!$D$34,"")</f>
        <v/>
      </c>
      <c r="I40" s="194" t="str">
        <f aca="false">IF(AND(Projects!$C$34&lt;=I$4,I$4&lt;=Projects!$C$34+Projects!$D$34-1),Projects!$B$34/Projects!$D$34,"")</f>
        <v/>
      </c>
      <c r="J40" s="194" t="str">
        <f aca="false">IF(AND(Projects!$C$34&lt;=J$4,J$4&lt;=Projects!$C$34+Projects!$D$34-1),Projects!$B$34/Projects!$D$34,"")</f>
        <v/>
      </c>
      <c r="K40" s="194" t="str">
        <f aca="false">IF(AND(Projects!$C$34&lt;=K$4,K$4&lt;=Projects!$C$34+Projects!$D$34-1),Projects!$B$34/Projects!$D$34,"")</f>
        <v/>
      </c>
      <c r="L40" s="194" t="str">
        <f aca="false">IF(AND(Projects!$C$34&lt;=L$4,L$4&lt;=Projects!$C$34+Projects!$D$34-1),Projects!$B$34/Projects!$D$34,"")</f>
        <v/>
      </c>
      <c r="M40" s="194" t="str">
        <f aca="false">IF(AND(Projects!$C$34&lt;=M$4,M$4&lt;=Projects!$C$34+Projects!$D$34-1),Projects!$B$34/Projects!$D$34,"")</f>
        <v/>
      </c>
      <c r="N40" s="194" t="str">
        <f aca="false">IF(AND(Projects!$C$34&lt;=N$4,N$4&lt;=Projects!$C$34+Projects!$D$34-1),Projects!$B$34/Projects!$D$34,"")</f>
        <v/>
      </c>
      <c r="O40" s="194" t="str">
        <f aca="false">IF(AND(Projects!$C$34&lt;=O$4,O$4&lt;=Projects!$C$34+Projects!$D$34-1),Projects!$B$34/Projects!$D$34,"")</f>
        <v/>
      </c>
      <c r="P40" s="194" t="str">
        <f aca="false">IF(AND(Projects!$C$34&lt;=P$4,P$4&lt;=Projects!$C$34+Projects!$D$34-1),Projects!$B$34/Projects!$D$34,"")</f>
        <v/>
      </c>
      <c r="Q40" s="194" t="str">
        <f aca="false">IF(AND(Projects!$C$34&lt;=Q$4,Q$4&lt;=Projects!$C$34+Projects!$D$34-1),Projects!$B$34/Projects!$D$34,"")</f>
        <v/>
      </c>
      <c r="R40" s="194" t="str">
        <f aca="false">IF(AND(Projects!$C$34&lt;=R$4,R$4&lt;=Projects!$C$34+Projects!$D$34-1),Projects!$B$34/Projects!$D$34,"")</f>
        <v/>
      </c>
      <c r="S40" s="194" t="str">
        <f aca="false">IF(AND(Projects!$C$34&lt;=S$4,S$4&lt;=Projects!$C$34+Projects!$D$34-1),Projects!$B$34/Projects!$D$34,"")</f>
        <v/>
      </c>
      <c r="T40" s="194" t="str">
        <f aca="false">IF(AND(Projects!$C$34&lt;=T$4,T$4&lt;=Projects!$C$34+Projects!$D$34-1),Projects!$B$34/Projects!$D$34,"")</f>
        <v/>
      </c>
      <c r="U40" s="194" t="str">
        <f aca="false">IF(AND(Projects!$C$34&lt;=U$4,U$4&lt;=Projects!$C$34+Projects!$D$34-1),Projects!$B$34/Projects!$D$34,"")</f>
        <v/>
      </c>
      <c r="V40" s="194" t="str">
        <f aca="false">IF(AND(Projects!$C$34&lt;=V$4,V$4&lt;=Projects!$C$34+Projects!$D$34-1),Projects!$B$34/Projects!$D$34,"")</f>
        <v/>
      </c>
      <c r="W40" s="194" t="str">
        <f aca="false">IF(AND(Projects!$C$34&lt;=W$4,W$4&lt;=Projects!$C$34+Projects!$D$34-1),Projects!$B$34/Projects!$D$34,"")</f>
        <v/>
      </c>
      <c r="X40" s="194" t="str">
        <f aca="false">IF(AND(Projects!$C$34&lt;=X$4,X$4&lt;=Projects!$C$34+Projects!$D$34-1),Projects!$B$34/Projects!$D$34,"")</f>
        <v/>
      </c>
      <c r="Y40" s="194" t="str">
        <f aca="false">IF(AND(Projects!$C$34&lt;=Y$4,Y$4&lt;=Projects!$C$34+Projects!$D$34-1),Projects!$B$34/Projects!$D$34,"")</f>
        <v/>
      </c>
      <c r="Z40" s="194" t="str">
        <f aca="false">IF(AND(Projects!$C$34&lt;=Z$4,Z$4&lt;=Projects!$C$34+Projects!$D$34-1),Projects!$B$34/Projects!$D$34,"")</f>
        <v/>
      </c>
      <c r="AA40" s="194" t="str">
        <f aca="false">IF(AND(Projects!$C$34&lt;=AA$4,AA$4&lt;=Projects!$C$34+Projects!$D$34-1),Projects!$B$34/Projects!$D$34,"")</f>
        <v/>
      </c>
      <c r="AB40" s="194" t="str">
        <f aca="false">IF(AND(Projects!$C$34&lt;=AB$4,AB$4&lt;=Projects!$C$34+Projects!$D$34-1),Projects!$B$34/Projects!$D$34,"")</f>
        <v/>
      </c>
      <c r="AC40" s="194" t="str">
        <f aca="false">IF(AND(Projects!$C$34&lt;=AC$4,AC$4&lt;=Projects!$C$34+Projects!$D$34-1),Projects!$B$34/Projects!$D$34,"")</f>
        <v/>
      </c>
      <c r="AD40" s="194" t="str">
        <f aca="false">IF(AND(Projects!$C$34&lt;=AD$4,AD$4&lt;=Projects!$C$34+Projects!$D$34-1),Projects!$B$34/Projects!$D$34,"")</f>
        <v/>
      </c>
      <c r="AE40" s="194" t="str">
        <f aca="false">IF(AND(Projects!$C$34&lt;=AE$4,AE$4&lt;=Projects!$C$34+Projects!$D$34-1),Projects!$B$34/Projects!$D$34,"")</f>
        <v/>
      </c>
      <c r="AF40" s="194" t="str">
        <f aca="false">IF(AND(Projects!$C$34&lt;=AF$4,AF$4&lt;=Projects!$C$34+Projects!$D$34-1),Projects!$B$34/Projects!$D$34,"")</f>
        <v/>
      </c>
      <c r="AG40" s="194" t="str">
        <f aca="false">IF(AND(Projects!$C$34&lt;=AG$4,AG$4&lt;=Projects!$C$34+Projects!$D$34-1),Projects!$B$34/Projects!$D$34,"")</f>
        <v/>
      </c>
      <c r="AH40" s="194" t="str">
        <f aca="false">IF(AND(Projects!$C$34&lt;=AH$4,AH$4&lt;=Projects!$C$34+Projects!$D$34-1),Projects!$B$34/Projects!$D$34,"")</f>
        <v/>
      </c>
      <c r="AI40" s="194" t="str">
        <f aca="false">IF(AND(Projects!$C$34&lt;=AI$4,AI$4&lt;=Projects!$C$34+Projects!$D$34-1),Projects!$B$34/Projects!$D$34,"")</f>
        <v/>
      </c>
      <c r="AJ40" s="194" t="str">
        <f aca="false">IF(AND(Projects!$C$34&lt;=AJ$4,AJ$4&lt;=Projects!$C$34+Projects!$D$34-1),Projects!$B$34/Projects!$D$34,"")</f>
        <v/>
      </c>
      <c r="AK40" s="194" t="str">
        <f aca="false">IF(AND(Projects!$C$34&lt;=AK$4,AK$4&lt;=Projects!$C$34+Projects!$D$34-1),Projects!$B$34/Projects!$D$34,"")</f>
        <v/>
      </c>
      <c r="AL40" s="194" t="str">
        <f aca="false">IF(AND(Projects!$C$34&lt;=AL$4,AL$4&lt;=Projects!$C$34+Projects!$D$34-1),Projects!$B$34/Projects!$D$34,"")</f>
        <v/>
      </c>
      <c r="AM40" s="194" t="str">
        <f aca="false">IF(AND(Projects!$C$34&lt;=AM$4,AM$4&lt;=Projects!$C$34+Projects!$D$34-1),Projects!$B$34/Projects!$D$34,"")</f>
        <v/>
      </c>
      <c r="AN40" s="194" t="str">
        <f aca="false">IF(AND(Projects!$C$34&lt;=AN$4,AN$4&lt;=Projects!$C$34+Projects!$D$34-1),Projects!$B$34/Projects!$D$34,"")</f>
        <v/>
      </c>
      <c r="AO40" s="194" t="str">
        <f aca="false">IF(AND(Projects!$C$34&lt;=AO$4,AO$4&lt;=Projects!$C$34+Projects!$D$34-1),Projects!$B$34/Projects!$D$34,"")</f>
        <v/>
      </c>
      <c r="AP40" s="194" t="str">
        <f aca="false">IF(AND(Projects!$C$34&lt;=AP$4,AP$4&lt;=Projects!$C$34+Projects!$D$34-1),Projects!$B$34/Projects!$D$34,"")</f>
        <v/>
      </c>
      <c r="AQ40" s="194" t="str">
        <f aca="false">IF(AND(Projects!$C$34&lt;=AQ$4,AQ$4&lt;=Projects!$C$34+Projects!$D$34-1),Projects!$B$34/Projects!$D$34,"")</f>
        <v/>
      </c>
      <c r="AR40" s="194" t="str">
        <f aca="false">IF(AND(Projects!$C$34&lt;=AR$4,AR$4&lt;=Projects!$C$34+Projects!$D$34-1),Projects!$B$34/Projects!$D$34,"")</f>
        <v/>
      </c>
      <c r="AS40" s="194" t="str">
        <f aca="false">IF(AND(Projects!$C$34&lt;=AS$4,AS$4&lt;=Projects!$C$34+Projects!$D$34-1),Projects!$B$34/Projects!$D$34,"")</f>
        <v/>
      </c>
      <c r="AT40" s="194" t="str">
        <f aca="false">IF(AND(Projects!$C$34&lt;=AT$4,AT$4&lt;=Projects!$C$34+Projects!$D$34-1),Projects!$B$34/Projects!$D$34,"")</f>
        <v/>
      </c>
      <c r="AU40" s="194" t="str">
        <f aca="false">IF(AND(Projects!$C$34&lt;=AU$4,AU$4&lt;=Projects!$C$34+Projects!$D$34-1),Projects!$B$34/Projects!$D$34,"")</f>
        <v/>
      </c>
      <c r="AV40" s="194" t="str">
        <f aca="false">IF(AND(Projects!$C$34&lt;=AV$4,AV$4&lt;=Projects!$C$34+Projects!$D$34-1),Projects!$B$34/Projects!$D$34,"")</f>
        <v/>
      </c>
      <c r="AW40" s="194" t="str">
        <f aca="false">IF(AND(Projects!$C$34&lt;=AW$4,AW$4&lt;=Projects!$C$34+Projects!$D$34-1),Projects!$B$34/Projects!$D$34,"")</f>
        <v/>
      </c>
      <c r="AX40" s="194" t="str">
        <f aca="false">IF(AND(Projects!$C$34&lt;=AX$4,AX$4&lt;=Projects!$C$34+Projects!$D$34-1),Projects!$B$34/Projects!$D$34,"")</f>
        <v/>
      </c>
      <c r="AY40" s="194" t="str">
        <f aca="false">IF(AND(Projects!$C$34&lt;=AY$4,AY$4&lt;=Projects!$C$34+Projects!$D$34-1),Projects!$B$34/Projects!$D$34,"")</f>
        <v/>
      </c>
      <c r="AZ40" s="194" t="str">
        <f aca="false">IF(AND(Projects!$C$34&lt;=AZ$4,AZ$4&lt;=Projects!$C$34+Projects!$D$34-1),Projects!$B$34/Projects!$D$34,"")</f>
        <v/>
      </c>
      <c r="BA40" s="194" t="str">
        <f aca="false">IF(AND(Projects!$C$34&lt;=BA$4,BA$4&lt;=Projects!$C$34+Projects!$D$34-1),Projects!$B$34/Projects!$D$34,"")</f>
        <v/>
      </c>
      <c r="BB40" s="194" t="str">
        <f aca="false">IF(AND(Projects!$C$34&lt;=BB$4,BB$4&lt;=Projects!$C$34+Projects!$D$34-1),Projects!$B$34/Projects!$D$34,"")</f>
        <v/>
      </c>
      <c r="BC40" s="194" t="str">
        <f aca="false">IF(AND(Projects!$C$34&lt;=BC$4,BC$4&lt;=Projects!$C$34+Projects!$D$34-1),Projects!$B$34/Projects!$D$34,"")</f>
        <v/>
      </c>
      <c r="BD40" s="194" t="str">
        <f aca="false">IF(AND(Projects!$C$34&lt;=BD$4,BD$4&lt;=Projects!$C$34+Projects!$D$34-1),Projects!$B$34/Projects!$D$34,"")</f>
        <v/>
      </c>
      <c r="BE40" s="194" t="str">
        <f aca="false">IF(AND(Projects!$C$34&lt;=BE$4,BE$4&lt;=Projects!$C$34+Projects!$D$34-1),Projects!$B$34/Projects!$D$34,"")</f>
        <v/>
      </c>
      <c r="BF40" s="194" t="str">
        <f aca="false">IF(AND(Projects!$C$34&lt;=BF$4,BF$4&lt;=Projects!$C$34+Projects!$D$34-1),Projects!$B$34/Projects!$D$34,"")</f>
        <v/>
      </c>
      <c r="BG40" s="194" t="str">
        <f aca="false">IF(AND(Projects!$C$34&lt;=BG$4,BG$4&lt;=Projects!$C$34+Projects!$D$34-1),Projects!$B$34/Projects!$D$34,"")</f>
        <v/>
      </c>
      <c r="BH40" s="194" t="str">
        <f aca="false">IF(AND(Projects!$C$34&lt;=BH$4,BH$4&lt;=Projects!$C$34+Projects!$D$34-1),Projects!$B$34/Projects!$D$34,"")</f>
        <v/>
      </c>
      <c r="BI40" s="194" t="str">
        <f aca="false">IF(AND(Projects!$C$34&lt;=BI$4,BI$4&lt;=Projects!$C$34+Projects!$D$34-1),Projects!$B$34/Projects!$D$34,"")</f>
        <v/>
      </c>
      <c r="BJ40" s="194" t="str">
        <f aca="false">IF(AND(Projects!$C$34&lt;=BJ$4,BJ$4&lt;=Projects!$C$34+Projects!$D$34-1),Projects!$B$34/Projects!$D$34,"")</f>
        <v/>
      </c>
      <c r="BK40" s="194" t="str">
        <f aca="false">IF(AND(Projects!$C$34&lt;=BK$4,BK$4&lt;=Projects!$C$34+Projects!$D$34-1),Projects!$B$34/Projects!$D$34,"")</f>
        <v/>
      </c>
      <c r="BL40" s="194" t="n">
        <f aca="false">IF(AND(Projects!$C$34&lt;=BL$4,BL$4&lt;=Projects!$C$34+Projects!$D$34-1),Projects!$B$34/Projects!$D$34,"")</f>
        <v>947368.421052632</v>
      </c>
      <c r="BM40" s="194" t="n">
        <f aca="false">IF(AND(Projects!$C$34&lt;=BM$4,BM$4&lt;=Projects!$C$34+Projects!$D$34-1),Projects!$B$34/Projects!$D$34,"")</f>
        <v>947368.421052632</v>
      </c>
      <c r="BN40" s="194" t="n">
        <f aca="false">IF(AND(Projects!$C$34&lt;=BN$4,BN$4&lt;=Projects!$C$34+Projects!$D$34-1),Projects!$B$34/Projects!$D$34,"")</f>
        <v>947368.421052632</v>
      </c>
      <c r="BO40" s="194" t="n">
        <f aca="false">IF(AND(Projects!$C$34&lt;=BO$4,BO$4&lt;=Projects!$C$34+Projects!$D$34-1),Projects!$B$34/Projects!$D$34,"")</f>
        <v>947368.421052632</v>
      </c>
      <c r="BP40" s="194" t="n">
        <f aca="false">IF(AND(Projects!$C$34&lt;=BP$4,BP$4&lt;=Projects!$C$34+Projects!$D$34-1),Projects!$B$34/Projects!$D$34,"")</f>
        <v>947368.421052632</v>
      </c>
      <c r="BQ40" s="194" t="n">
        <f aca="false">IF(AND(Projects!$C$34&lt;=BQ$4,BQ$4&lt;=Projects!$C$34+Projects!$D$34-1),Projects!$B$34/Projects!$D$34,"")</f>
        <v>947368.421052632</v>
      </c>
      <c r="BR40" s="194" t="n">
        <f aca="false">IF(AND(Projects!$C$34&lt;=BR$4,BR$4&lt;=Projects!$C$34+Projects!$D$34-1),Projects!$B$34/Projects!$D$34,"")</f>
        <v>947368.421052632</v>
      </c>
      <c r="BS40" s="194" t="n">
        <f aca="false">IF(AND(Projects!$C$34&lt;=BS$4,BS$4&lt;=Projects!$C$34+Projects!$D$34-1),Projects!$B$34/Projects!$D$34,"")</f>
        <v>947368.421052632</v>
      </c>
      <c r="BT40" s="194" t="n">
        <f aca="false">IF(AND(Projects!$C$34&lt;=BT$4,BT$4&lt;=Projects!$C$34+Projects!$D$34-1),Projects!$B$34/Projects!$D$34,"")</f>
        <v>947368.421052632</v>
      </c>
      <c r="BU40" s="194" t="n">
        <f aca="false">IF(AND(Projects!$C$34&lt;=BU$4,BU$4&lt;=Projects!$C$34+Projects!$D$34-1),Projects!$B$34/Projects!$D$34,"")</f>
        <v>947368.421052632</v>
      </c>
      <c r="BV40" s="194" t="n">
        <f aca="false">IF(AND(Projects!$C$34&lt;=BV$4,BV$4&lt;=Projects!$C$34+Projects!$D$34-1),Projects!$B$34/Projects!$D$34,"")</f>
        <v>947368.421052632</v>
      </c>
      <c r="BW40" s="194" t="n">
        <f aca="false">IF(AND(Projects!$C$34&lt;=BW$4,BW$4&lt;=Projects!$C$34+Projects!$D$34-1),Projects!$B$34/Projects!$D$34,"")</f>
        <v>947368.421052632</v>
      </c>
      <c r="BX40" s="194" t="n">
        <f aca="false">IF(AND(Projects!$C$34&lt;=BX$4,BX$4&lt;=Projects!$C$34+Projects!$D$34-1),Projects!$B$34/Projects!$D$34,"")</f>
        <v>947368.421052632</v>
      </c>
      <c r="BY40" s="194" t="n">
        <f aca="false">IF(AND(Projects!$C$34&lt;=BY$4,BY$4&lt;=Projects!$C$34+Projects!$D$34-1),Projects!$B$34/Projects!$D$34,"")</f>
        <v>947368.421052632</v>
      </c>
      <c r="BZ40" s="194" t="n">
        <f aca="false">IF(AND(Projects!$C$34&lt;=BZ$4,BZ$4&lt;=Projects!$C$34+Projects!$D$34-1),Projects!$B$34/Projects!$D$34,"")</f>
        <v>947368.421052632</v>
      </c>
      <c r="CA40" s="194" t="n">
        <f aca="false">IF(AND(Projects!$C$34&lt;=CA$4,CA$4&lt;=Projects!$C$34+Projects!$D$34-1),Projects!$B$34/Projects!$D$34,"")</f>
        <v>947368.421052632</v>
      </c>
      <c r="CB40" s="194" t="n">
        <f aca="false">IF(AND(Projects!$C$34&lt;=CB$4,CB$4&lt;=Projects!$C$34+Projects!$D$34-1),Projects!$B$34/Projects!$D$34,"")</f>
        <v>947368.421052632</v>
      </c>
      <c r="CC40" s="194" t="n">
        <f aca="false">IF(AND(Projects!$C$34&lt;=CC$4,CC$4&lt;=Projects!$C$34+Projects!$D$34-1),Projects!$B$34/Projects!$D$34,"")</f>
        <v>947368.421052632</v>
      </c>
      <c r="CD40" s="194" t="n">
        <f aca="false">IF(AND(Projects!$C$34&lt;=CD$4,CD$4&lt;=Projects!$C$34+Projects!$D$34-1),Projects!$B$34/Projects!$D$34,"")</f>
        <v>947368.421052632</v>
      </c>
      <c r="CE40" s="194" t="str">
        <f aca="false">IF(AND(Projects!$C$34&lt;=CE$4,CE$4&lt;=Projects!$C$34+Projects!$D$34-1),Projects!$B$34/Projects!$D$34,"")</f>
        <v/>
      </c>
      <c r="CF40" s="194" t="str">
        <f aca="false">IF(AND(Projects!$C$34&lt;=CF$4,CF$4&lt;=Projects!$C$34+Projects!$D$34-1),Projects!$B$34/Projects!$D$34,"")</f>
        <v/>
      </c>
      <c r="CG40" s="194" t="str">
        <f aca="false">IF(AND(Projects!$C$34&lt;=CG$4,CG$4&lt;=Projects!$C$34+Projects!$D$34-1),Projects!$B$34/Projects!$D$34,"")</f>
        <v/>
      </c>
      <c r="CH40" s="194" t="str">
        <f aca="false">IF(AND(Projects!$C$34&lt;=CH$4,CH$4&lt;=Projects!$C$34+Projects!$D$34-1),Projects!$B$34/Projects!$D$34,"")</f>
        <v/>
      </c>
      <c r="CI40" s="194" t="str">
        <f aca="false">IF(AND(Projects!$C$34&lt;=CI$4,CI$4&lt;=Projects!$C$34+Projects!$D$34-1),Projects!$B$34/Projects!$D$34,"")</f>
        <v/>
      </c>
      <c r="CJ40" s="194" t="str">
        <f aca="false">IF(AND(Projects!$C$34&lt;=CJ$4,CJ$4&lt;=Projects!$C$34+Projects!$D$34-1),Projects!$B$34/Projects!$D$34,"")</f>
        <v/>
      </c>
      <c r="CK40" s="194" t="str">
        <f aca="false">IF(AND(Projects!$C$34&lt;=CK$4,CK$4&lt;=Projects!$C$34+Projects!$D$34-1),Projects!$B$34/Projects!$D$34,"")</f>
        <v/>
      </c>
      <c r="CL40" s="194" t="str">
        <f aca="false">IF(AND(Projects!$C$34&lt;=CL$4,CL$4&lt;=Projects!$C$34+Projects!$D$34-1),Projects!$B$34/Projects!$D$34,"")</f>
        <v/>
      </c>
      <c r="CM40" s="194" t="str">
        <f aca="false">IF(AND(Projects!$C$34&lt;=CM$4,CM$4&lt;=Projects!$C$34+Projects!$D$34-1),Projects!$B$34/Projects!$D$34,"")</f>
        <v/>
      </c>
      <c r="CN40" s="194" t="str">
        <f aca="false">IF(AND(Projects!$C$34&lt;=CN$4,CN$4&lt;=Projects!$C$34+Projects!$D$34-1),Projects!$B$34/Projects!$D$34,"")</f>
        <v/>
      </c>
      <c r="CO40" s="194" t="str">
        <f aca="false">IF(AND(Projects!$C$34&lt;=CO$4,CO$4&lt;=Projects!$C$34+Projects!$D$34-1),Projects!$B$34/Projects!$D$34,"")</f>
        <v/>
      </c>
      <c r="CP40" s="194" t="str">
        <f aca="false">IF(AND(Projects!$C$34&lt;=CP$4,CP$4&lt;=Projects!$C$34+Projects!$D$34-1),Projects!$B$34/Projects!$D$34,"")</f>
        <v/>
      </c>
      <c r="CQ40" s="194" t="str">
        <f aca="false">IF(AND(Projects!$C$34&lt;=CQ$4,CQ$4&lt;=Projects!$C$34+Projects!$D$34-1),Projects!$B$34/Projects!$D$34,"")</f>
        <v/>
      </c>
      <c r="CR40" s="194" t="str">
        <f aca="false">IF(AND(Projects!$C$34&lt;=CR$4,CR$4&lt;=Projects!$C$34+Projects!$D$34-1),Projects!$B$34/Projects!$D$34,"")</f>
        <v/>
      </c>
      <c r="CS40" s="194" t="str">
        <f aca="false">IF(AND(Projects!$C$34&lt;=CS$4,CS$4&lt;=Projects!$C$34+Projects!$D$34-1),Projects!$B$34/Projects!$D$34,"")</f>
        <v/>
      </c>
      <c r="CT40" s="194" t="str">
        <f aca="false">IF(AND(Projects!$C$34&lt;=CT$4,CT$4&lt;=Projects!$C$34+Projects!$D$34-1),Projects!$B$34/Projects!$D$34,"")</f>
        <v/>
      </c>
      <c r="CU40" s="194" t="str">
        <f aca="false">IF(AND(Projects!$C$34&lt;=CU$4,CU$4&lt;=Projects!$C$34+Projects!$D$34-1),Projects!$B$34/Projects!$D$34,"")</f>
        <v/>
      </c>
      <c r="CV40" s="194" t="str">
        <f aca="false">IF(AND(Projects!$C$34&lt;=CV$4,CV$4&lt;=Projects!$C$34+Projects!$D$34-1),Projects!$B$34/Projects!$D$34,"")</f>
        <v/>
      </c>
      <c r="CW40" s="194" t="str">
        <f aca="false">IF(AND(Projects!$C$34&lt;=CW$4,CW$4&lt;=Projects!$C$34+Projects!$D$34-1),Projects!$B$34/Projects!$D$34,"")</f>
        <v/>
      </c>
      <c r="CX40" s="194" t="str">
        <f aca="false">IF(AND(Projects!$C$34&lt;=CX$4,CX$4&lt;=Projects!$C$34+Projects!$D$34-1),Projects!$B$34/Projects!$D$34,"")</f>
        <v/>
      </c>
      <c r="CY40" s="194" t="str">
        <f aca="false">IF(AND(Projects!$C$34&lt;=CY$4,CY$4&lt;=Projects!$C$34+Projects!$D$34-1),Projects!$B$34/Projects!$D$34,"")</f>
        <v/>
      </c>
      <c r="CZ40" s="194" t="str">
        <f aca="false">IF(AND(Projects!$C$34&lt;=CZ$4,CZ$4&lt;=Projects!$C$34+Projects!$D$34-1),Projects!$B$34/Projects!$D$34,"")</f>
        <v/>
      </c>
      <c r="DA40" s="194" t="str">
        <f aca="false">IF(AND(Projects!$C$34&lt;=DA$4,DA$4&lt;=Projects!$C$34+Projects!$D$34-1),Projects!$B$34/Projects!$D$34,"")</f>
        <v/>
      </c>
      <c r="DB40" s="194" t="str">
        <f aca="false">IF(AND(Projects!$C$34&lt;=DB$4,DB$4&lt;=Projects!$C$34+Projects!$D$34-1),Projects!$B$34/Projects!$D$34,"")</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Projects!$B$35/Projects!$D$35</f>
        <v>789473.684210526</v>
      </c>
      <c r="G41" s="194" t="str">
        <f aca="false">IF(AND(Projects!$C$35&lt;=G$4,G$4&lt;=Projects!$C$35+Projects!$D$35-1),Projects!$B$35/Projects!$D$35,"")</f>
        <v/>
      </c>
      <c r="H41" s="194" t="str">
        <f aca="false">IF(AND(Projects!$C$35&lt;=H$4,H$4&lt;=Projects!$C$35+Projects!$D$35-1),Projects!$B$35/Projects!$D$35,"")</f>
        <v/>
      </c>
      <c r="I41" s="194" t="str">
        <f aca="false">IF(AND(Projects!$C$35&lt;=I$4,I$4&lt;=Projects!$C$35+Projects!$D$35-1),Projects!$B$35/Projects!$D$35,"")</f>
        <v/>
      </c>
      <c r="J41" s="194" t="str">
        <f aca="false">IF(AND(Projects!$C$35&lt;=J$4,J$4&lt;=Projects!$C$35+Projects!$D$35-1),Projects!$B$35/Projects!$D$35,"")</f>
        <v/>
      </c>
      <c r="K41" s="194" t="str">
        <f aca="false">IF(AND(Projects!$C$35&lt;=K$4,K$4&lt;=Projects!$C$35+Projects!$D$35-1),Projects!$B$35/Projects!$D$35,"")</f>
        <v/>
      </c>
      <c r="L41" s="194" t="str">
        <f aca="false">IF(AND(Projects!$C$35&lt;=L$4,L$4&lt;=Projects!$C$35+Projects!$D$35-1),Projects!$B$35/Projects!$D$35,"")</f>
        <v/>
      </c>
      <c r="M41" s="194" t="str">
        <f aca="false">IF(AND(Projects!$C$35&lt;=M$4,M$4&lt;=Projects!$C$35+Projects!$D$35-1),Projects!$B$35/Projects!$D$35,"")</f>
        <v/>
      </c>
      <c r="N41" s="194" t="str">
        <f aca="false">IF(AND(Projects!$C$35&lt;=N$4,N$4&lt;=Projects!$C$35+Projects!$D$35-1),Projects!$B$35/Projects!$D$35,"")</f>
        <v/>
      </c>
      <c r="O41" s="194" t="str">
        <f aca="false">IF(AND(Projects!$C$35&lt;=O$4,O$4&lt;=Projects!$C$35+Projects!$D$35-1),Projects!$B$35/Projects!$D$35,"")</f>
        <v/>
      </c>
      <c r="P41" s="194" t="str">
        <f aca="false">IF(AND(Projects!$C$35&lt;=P$4,P$4&lt;=Projects!$C$35+Projects!$D$35-1),Projects!$B$35/Projects!$D$35,"")</f>
        <v/>
      </c>
      <c r="Q41" s="194" t="str">
        <f aca="false">IF(AND(Projects!$C$35&lt;=Q$4,Q$4&lt;=Projects!$C$35+Projects!$D$35-1),Projects!$B$35/Projects!$D$35,"")</f>
        <v/>
      </c>
      <c r="R41" s="194" t="str">
        <f aca="false">IF(AND(Projects!$C$35&lt;=R$4,R$4&lt;=Projects!$C$35+Projects!$D$35-1),Projects!$B$35/Projects!$D$35,"")</f>
        <v/>
      </c>
      <c r="S41" s="194" t="str">
        <f aca="false">IF(AND(Projects!$C$35&lt;=S$4,S$4&lt;=Projects!$C$35+Projects!$D$35-1),Projects!$B$35/Projects!$D$35,"")</f>
        <v/>
      </c>
      <c r="T41" s="194" t="str">
        <f aca="false">IF(AND(Projects!$C$35&lt;=T$4,T$4&lt;=Projects!$C$35+Projects!$D$35-1),Projects!$B$35/Projects!$D$35,"")</f>
        <v/>
      </c>
      <c r="U41" s="194" t="str">
        <f aca="false">IF(AND(Projects!$C$35&lt;=U$4,U$4&lt;=Projects!$C$35+Projects!$D$35-1),Projects!$B$35/Projects!$D$35,"")</f>
        <v/>
      </c>
      <c r="V41" s="194" t="str">
        <f aca="false">IF(AND(Projects!$C$35&lt;=V$4,V$4&lt;=Projects!$C$35+Projects!$D$35-1),Projects!$B$35/Projects!$D$35,"")</f>
        <v/>
      </c>
      <c r="W41" s="194" t="str">
        <f aca="false">IF(AND(Projects!$C$35&lt;=W$4,W$4&lt;=Projects!$C$35+Projects!$D$35-1),Projects!$B$35/Projects!$D$35,"")</f>
        <v/>
      </c>
      <c r="X41" s="194" t="str">
        <f aca="false">IF(AND(Projects!$C$35&lt;=X$4,X$4&lt;=Projects!$C$35+Projects!$D$35-1),Projects!$B$35/Projects!$D$35,"")</f>
        <v/>
      </c>
      <c r="Y41" s="194" t="str">
        <f aca="false">IF(AND(Projects!$C$35&lt;=Y$4,Y$4&lt;=Projects!$C$35+Projects!$D$35-1),Projects!$B$35/Projects!$D$35,"")</f>
        <v/>
      </c>
      <c r="Z41" s="194" t="str">
        <f aca="false">IF(AND(Projects!$C$35&lt;=Z$4,Z$4&lt;=Projects!$C$35+Projects!$D$35-1),Projects!$B$35/Projects!$D$35,"")</f>
        <v/>
      </c>
      <c r="AA41" s="194" t="str">
        <f aca="false">IF(AND(Projects!$C$35&lt;=AA$4,AA$4&lt;=Projects!$C$35+Projects!$D$35-1),Projects!$B$35/Projects!$D$35,"")</f>
        <v/>
      </c>
      <c r="AB41" s="194" t="str">
        <f aca="false">IF(AND(Projects!$C$35&lt;=AB$4,AB$4&lt;=Projects!$C$35+Projects!$D$35-1),Projects!$B$35/Projects!$D$35,"")</f>
        <v/>
      </c>
      <c r="AC41" s="194" t="str">
        <f aca="false">IF(AND(Projects!$C$35&lt;=AC$4,AC$4&lt;=Projects!$C$35+Projects!$D$35-1),Projects!$B$35/Projects!$D$35,"")</f>
        <v/>
      </c>
      <c r="AD41" s="194" t="str">
        <f aca="false">IF(AND(Projects!$C$35&lt;=AD$4,AD$4&lt;=Projects!$C$35+Projects!$D$35-1),Projects!$B$35/Projects!$D$35,"")</f>
        <v/>
      </c>
      <c r="AE41" s="194" t="str">
        <f aca="false">IF(AND(Projects!$C$35&lt;=AE$4,AE$4&lt;=Projects!$C$35+Projects!$D$35-1),Projects!$B$35/Projects!$D$35,"")</f>
        <v/>
      </c>
      <c r="AF41" s="194" t="str">
        <f aca="false">IF(AND(Projects!$C$35&lt;=AF$4,AF$4&lt;=Projects!$C$35+Projects!$D$35-1),Projects!$B$35/Projects!$D$35,"")</f>
        <v/>
      </c>
      <c r="AG41" s="194" t="str">
        <f aca="false">IF(AND(Projects!$C$35&lt;=AG$4,AG$4&lt;=Projects!$C$35+Projects!$D$35-1),Projects!$B$35/Projects!$D$35,"")</f>
        <v/>
      </c>
      <c r="AH41" s="194" t="str">
        <f aca="false">IF(AND(Projects!$C$35&lt;=AH$4,AH$4&lt;=Projects!$C$35+Projects!$D$35-1),Projects!$B$35/Projects!$D$35,"")</f>
        <v/>
      </c>
      <c r="AI41" s="194" t="str">
        <f aca="false">IF(AND(Projects!$C$35&lt;=AI$4,AI$4&lt;=Projects!$C$35+Projects!$D$35-1),Projects!$B$35/Projects!$D$35,"")</f>
        <v/>
      </c>
      <c r="AJ41" s="194" t="str">
        <f aca="false">IF(AND(Projects!$C$35&lt;=AJ$4,AJ$4&lt;=Projects!$C$35+Projects!$D$35-1),Projects!$B$35/Projects!$D$35,"")</f>
        <v/>
      </c>
      <c r="AK41" s="194" t="str">
        <f aca="false">IF(AND(Projects!$C$35&lt;=AK$4,AK$4&lt;=Projects!$C$35+Projects!$D$35-1),Projects!$B$35/Projects!$D$35,"")</f>
        <v/>
      </c>
      <c r="AL41" s="194" t="str">
        <f aca="false">IF(AND(Projects!$C$35&lt;=AL$4,AL$4&lt;=Projects!$C$35+Projects!$D$35-1),Projects!$B$35/Projects!$D$35,"")</f>
        <v/>
      </c>
      <c r="AM41" s="194" t="str">
        <f aca="false">IF(AND(Projects!$C$35&lt;=AM$4,AM$4&lt;=Projects!$C$35+Projects!$D$35-1),Projects!$B$35/Projects!$D$35,"")</f>
        <v/>
      </c>
      <c r="AN41" s="194" t="str">
        <f aca="false">IF(AND(Projects!$C$35&lt;=AN$4,AN$4&lt;=Projects!$C$35+Projects!$D$35-1),Projects!$B$35/Projects!$D$35,"")</f>
        <v/>
      </c>
      <c r="AO41" s="194" t="str">
        <f aca="false">IF(AND(Projects!$C$35&lt;=AO$4,AO$4&lt;=Projects!$C$35+Projects!$D$35-1),Projects!$B$35/Projects!$D$35,"")</f>
        <v/>
      </c>
      <c r="AP41" s="194" t="str">
        <f aca="false">IF(AND(Projects!$C$35&lt;=AP$4,AP$4&lt;=Projects!$C$35+Projects!$D$35-1),Projects!$B$35/Projects!$D$35,"")</f>
        <v/>
      </c>
      <c r="AQ41" s="194" t="str">
        <f aca="false">IF(AND(Projects!$C$35&lt;=AQ$4,AQ$4&lt;=Projects!$C$35+Projects!$D$35-1),Projects!$B$35/Projects!$D$35,"")</f>
        <v/>
      </c>
      <c r="AR41" s="194" t="str">
        <f aca="false">IF(AND(Projects!$C$35&lt;=AR$4,AR$4&lt;=Projects!$C$35+Projects!$D$35-1),Projects!$B$35/Projects!$D$35,"")</f>
        <v/>
      </c>
      <c r="AS41" s="194" t="str">
        <f aca="false">IF(AND(Projects!$C$35&lt;=AS$4,AS$4&lt;=Projects!$C$35+Projects!$D$35-1),Projects!$B$35/Projects!$D$35,"")</f>
        <v/>
      </c>
      <c r="AT41" s="194" t="str">
        <f aca="false">IF(AND(Projects!$C$35&lt;=AT$4,AT$4&lt;=Projects!$C$35+Projects!$D$35-1),Projects!$B$35/Projects!$D$35,"")</f>
        <v/>
      </c>
      <c r="AU41" s="194" t="str">
        <f aca="false">IF(AND(Projects!$C$35&lt;=AU$4,AU$4&lt;=Projects!$C$35+Projects!$D$35-1),Projects!$B$35/Projects!$D$35,"")</f>
        <v/>
      </c>
      <c r="AV41" s="194" t="str">
        <f aca="false">IF(AND(Projects!$C$35&lt;=AV$4,AV$4&lt;=Projects!$C$35+Projects!$D$35-1),Projects!$B$35/Projects!$D$35,"")</f>
        <v/>
      </c>
      <c r="AW41" s="194" t="str">
        <f aca="false">IF(AND(Projects!$C$35&lt;=AW$4,AW$4&lt;=Projects!$C$35+Projects!$D$35-1),Projects!$B$35/Projects!$D$35,"")</f>
        <v/>
      </c>
      <c r="AX41" s="194" t="str">
        <f aca="false">IF(AND(Projects!$C$35&lt;=AX$4,AX$4&lt;=Projects!$C$35+Projects!$D$35-1),Projects!$B$35/Projects!$D$35,"")</f>
        <v/>
      </c>
      <c r="AY41" s="194" t="str">
        <f aca="false">IF(AND(Projects!$C$35&lt;=AY$4,AY$4&lt;=Projects!$C$35+Projects!$D$35-1),Projects!$B$35/Projects!$D$35,"")</f>
        <v/>
      </c>
      <c r="AZ41" s="194" t="str">
        <f aca="false">IF(AND(Projects!$C$35&lt;=AZ$4,AZ$4&lt;=Projects!$C$35+Projects!$D$35-1),Projects!$B$35/Projects!$D$35,"")</f>
        <v/>
      </c>
      <c r="BA41" s="194" t="str">
        <f aca="false">IF(AND(Projects!$C$35&lt;=BA$4,BA$4&lt;=Projects!$C$35+Projects!$D$35-1),Projects!$B$35/Projects!$D$35,"")</f>
        <v/>
      </c>
      <c r="BB41" s="194" t="str">
        <f aca="false">IF(AND(Projects!$C$35&lt;=BB$4,BB$4&lt;=Projects!$C$35+Projects!$D$35-1),Projects!$B$35/Projects!$D$35,"")</f>
        <v/>
      </c>
      <c r="BC41" s="194" t="str">
        <f aca="false">IF(AND(Projects!$C$35&lt;=BC$4,BC$4&lt;=Projects!$C$35+Projects!$D$35-1),Projects!$B$35/Projects!$D$35,"")</f>
        <v/>
      </c>
      <c r="BD41" s="194" t="str">
        <f aca="false">IF(AND(Projects!$C$35&lt;=BD$4,BD$4&lt;=Projects!$C$35+Projects!$D$35-1),Projects!$B$35/Projects!$D$35,"")</f>
        <v/>
      </c>
      <c r="BE41" s="194" t="str">
        <f aca="false">IF(AND(Projects!$C$35&lt;=BE$4,BE$4&lt;=Projects!$C$35+Projects!$D$35-1),Projects!$B$35/Projects!$D$35,"")</f>
        <v/>
      </c>
      <c r="BF41" s="194" t="str">
        <f aca="false">IF(AND(Projects!$C$35&lt;=BF$4,BF$4&lt;=Projects!$C$35+Projects!$D$35-1),Projects!$B$35/Projects!$D$35,"")</f>
        <v/>
      </c>
      <c r="BG41" s="194" t="str">
        <f aca="false">IF(AND(Projects!$C$35&lt;=BG$4,BG$4&lt;=Projects!$C$35+Projects!$D$35-1),Projects!$B$35/Projects!$D$35,"")</f>
        <v/>
      </c>
      <c r="BH41" s="194" t="str">
        <f aca="false">IF(AND(Projects!$C$35&lt;=BH$4,BH$4&lt;=Projects!$C$35+Projects!$D$35-1),Projects!$B$35/Projects!$D$35,"")</f>
        <v/>
      </c>
      <c r="BI41" s="194" t="str">
        <f aca="false">IF(AND(Projects!$C$35&lt;=BI$4,BI$4&lt;=Projects!$C$35+Projects!$D$35-1),Projects!$B$35/Projects!$D$35,"")</f>
        <v/>
      </c>
      <c r="BJ41" s="194" t="str">
        <f aca="false">IF(AND(Projects!$C$35&lt;=BJ$4,BJ$4&lt;=Projects!$C$35+Projects!$D$35-1),Projects!$B$35/Projects!$D$35,"")</f>
        <v/>
      </c>
      <c r="BK41" s="194" t="str">
        <f aca="false">IF(AND(Projects!$C$35&lt;=BK$4,BK$4&lt;=Projects!$C$35+Projects!$D$35-1),Projects!$B$35/Projects!$D$35,"")</f>
        <v/>
      </c>
      <c r="BL41" s="194" t="str">
        <f aca="false">IF(AND(Projects!$C$35&lt;=BL$4,BL$4&lt;=Projects!$C$35+Projects!$D$35-1),Projects!$B$35/Projects!$D$35,"")</f>
        <v/>
      </c>
      <c r="BM41" s="194" t="str">
        <f aca="false">IF(AND(Projects!$C$35&lt;=BM$4,BM$4&lt;=Projects!$C$35+Projects!$D$35-1),Projects!$B$35/Projects!$D$35,"")</f>
        <v/>
      </c>
      <c r="BN41" s="194" t="n">
        <f aca="false">IF(AND(Projects!$C$35&lt;=BN$4,BN$4&lt;=Projects!$C$35+Projects!$D$35-1),Projects!$B$35/Projects!$D$35,"")</f>
        <v>789473.684210526</v>
      </c>
      <c r="BO41" s="194" t="n">
        <f aca="false">IF(AND(Projects!$C$35&lt;=BO$4,BO$4&lt;=Projects!$C$35+Projects!$D$35-1),Projects!$B$35/Projects!$D$35,"")</f>
        <v>789473.684210526</v>
      </c>
      <c r="BP41" s="194" t="n">
        <f aca="false">IF(AND(Projects!$C$35&lt;=BP$4,BP$4&lt;=Projects!$C$35+Projects!$D$35-1),Projects!$B$35/Projects!$D$35,"")</f>
        <v>789473.684210526</v>
      </c>
      <c r="BQ41" s="194" t="n">
        <f aca="false">IF(AND(Projects!$C$35&lt;=BQ$4,BQ$4&lt;=Projects!$C$35+Projects!$D$35-1),Projects!$B$35/Projects!$D$35,"")</f>
        <v>789473.684210526</v>
      </c>
      <c r="BR41" s="194" t="n">
        <f aca="false">IF(AND(Projects!$C$35&lt;=BR$4,BR$4&lt;=Projects!$C$35+Projects!$D$35-1),Projects!$B$35/Projects!$D$35,"")</f>
        <v>789473.684210526</v>
      </c>
      <c r="BS41" s="194" t="n">
        <f aca="false">IF(AND(Projects!$C$35&lt;=BS$4,BS$4&lt;=Projects!$C$35+Projects!$D$35-1),Projects!$B$35/Projects!$D$35,"")</f>
        <v>789473.684210526</v>
      </c>
      <c r="BT41" s="194" t="n">
        <f aca="false">IF(AND(Projects!$C$35&lt;=BT$4,BT$4&lt;=Projects!$C$35+Projects!$D$35-1),Projects!$B$35/Projects!$D$35,"")</f>
        <v>789473.684210526</v>
      </c>
      <c r="BU41" s="194" t="n">
        <f aca="false">IF(AND(Projects!$C$35&lt;=BU$4,BU$4&lt;=Projects!$C$35+Projects!$D$35-1),Projects!$B$35/Projects!$D$35,"")</f>
        <v>789473.684210526</v>
      </c>
      <c r="BV41" s="194" t="n">
        <f aca="false">IF(AND(Projects!$C$35&lt;=BV$4,BV$4&lt;=Projects!$C$35+Projects!$D$35-1),Projects!$B$35/Projects!$D$35,"")</f>
        <v>789473.684210526</v>
      </c>
      <c r="BW41" s="194" t="n">
        <f aca="false">IF(AND(Projects!$C$35&lt;=BW$4,BW$4&lt;=Projects!$C$35+Projects!$D$35-1),Projects!$B$35/Projects!$D$35,"")</f>
        <v>789473.684210526</v>
      </c>
      <c r="BX41" s="194" t="n">
        <f aca="false">IF(AND(Projects!$C$35&lt;=BX$4,BX$4&lt;=Projects!$C$35+Projects!$D$35-1),Projects!$B$35/Projects!$D$35,"")</f>
        <v>789473.684210526</v>
      </c>
      <c r="BY41" s="194" t="n">
        <f aca="false">IF(AND(Projects!$C$35&lt;=BY$4,BY$4&lt;=Projects!$C$35+Projects!$D$35-1),Projects!$B$35/Projects!$D$35,"")</f>
        <v>789473.684210526</v>
      </c>
      <c r="BZ41" s="194" t="n">
        <f aca="false">IF(AND(Projects!$C$35&lt;=BZ$4,BZ$4&lt;=Projects!$C$35+Projects!$D$35-1),Projects!$B$35/Projects!$D$35,"")</f>
        <v>789473.684210526</v>
      </c>
      <c r="CA41" s="194" t="n">
        <f aca="false">IF(AND(Projects!$C$35&lt;=CA$4,CA$4&lt;=Projects!$C$35+Projects!$D$35-1),Projects!$B$35/Projects!$D$35,"")</f>
        <v>789473.684210526</v>
      </c>
      <c r="CB41" s="194" t="n">
        <f aca="false">IF(AND(Projects!$C$35&lt;=CB$4,CB$4&lt;=Projects!$C$35+Projects!$D$35-1),Projects!$B$35/Projects!$D$35,"")</f>
        <v>789473.684210526</v>
      </c>
      <c r="CC41" s="194" t="n">
        <f aca="false">IF(AND(Projects!$C$35&lt;=CC$4,CC$4&lt;=Projects!$C$35+Projects!$D$35-1),Projects!$B$35/Projects!$D$35,"")</f>
        <v>789473.684210526</v>
      </c>
      <c r="CD41" s="194" t="n">
        <f aca="false">IF(AND(Projects!$C$35&lt;=CD$4,CD$4&lt;=Projects!$C$35+Projects!$D$35-1),Projects!$B$35/Projects!$D$35,"")</f>
        <v>789473.684210526</v>
      </c>
      <c r="CE41" s="194" t="n">
        <f aca="false">IF(AND(Projects!$C$35&lt;=CE$4,CE$4&lt;=Projects!$C$35+Projects!$D$35-1),Projects!$B$35/Projects!$D$35,"")</f>
        <v>789473.684210526</v>
      </c>
      <c r="CF41" s="194" t="n">
        <f aca="false">IF(AND(Projects!$C$35&lt;=CF$4,CF$4&lt;=Projects!$C$35+Projects!$D$35-1),Projects!$B$35/Projects!$D$35,"")</f>
        <v>789473.684210526</v>
      </c>
      <c r="CG41" s="194" t="str">
        <f aca="false">IF(AND(Projects!$C$35&lt;=CG$4,CG$4&lt;=Projects!$C$35+Projects!$D$35-1),Projects!$B$35/Projects!$D$35,"")</f>
        <v/>
      </c>
      <c r="CH41" s="194" t="str">
        <f aca="false">IF(AND(Projects!$C$35&lt;=CH$4,CH$4&lt;=Projects!$C$35+Projects!$D$35-1),Projects!$B$35/Projects!$D$35,"")</f>
        <v/>
      </c>
      <c r="CI41" s="194" t="str">
        <f aca="false">IF(AND(Projects!$C$35&lt;=CI$4,CI$4&lt;=Projects!$C$35+Projects!$D$35-1),Projects!$B$35/Projects!$D$35,"")</f>
        <v/>
      </c>
      <c r="CJ41" s="194" t="str">
        <f aca="false">IF(AND(Projects!$C$35&lt;=CJ$4,CJ$4&lt;=Projects!$C$35+Projects!$D$35-1),Projects!$B$35/Projects!$D$35,"")</f>
        <v/>
      </c>
      <c r="CK41" s="194" t="str">
        <f aca="false">IF(AND(Projects!$C$35&lt;=CK$4,CK$4&lt;=Projects!$C$35+Projects!$D$35-1),Projects!$B$35/Projects!$D$35,"")</f>
        <v/>
      </c>
      <c r="CL41" s="194" t="str">
        <f aca="false">IF(AND(Projects!$C$35&lt;=CL$4,CL$4&lt;=Projects!$C$35+Projects!$D$35-1),Projects!$B$35/Projects!$D$35,"")</f>
        <v/>
      </c>
      <c r="CM41" s="194" t="str">
        <f aca="false">IF(AND(Projects!$C$35&lt;=CM$4,CM$4&lt;=Projects!$C$35+Projects!$D$35-1),Projects!$B$35/Projects!$D$35,"")</f>
        <v/>
      </c>
      <c r="CN41" s="194" t="str">
        <f aca="false">IF(AND(Projects!$C$35&lt;=CN$4,CN$4&lt;=Projects!$C$35+Projects!$D$35-1),Projects!$B$35/Projects!$D$35,"")</f>
        <v/>
      </c>
      <c r="CO41" s="194" t="str">
        <f aca="false">IF(AND(Projects!$C$35&lt;=CO$4,CO$4&lt;=Projects!$C$35+Projects!$D$35-1),Projects!$B$35/Projects!$D$35,"")</f>
        <v/>
      </c>
      <c r="CP41" s="194" t="str">
        <f aca="false">IF(AND(Projects!$C$35&lt;=CP$4,CP$4&lt;=Projects!$C$35+Projects!$D$35-1),Projects!$B$35/Projects!$D$35,"")</f>
        <v/>
      </c>
      <c r="CQ41" s="194" t="str">
        <f aca="false">IF(AND(Projects!$C$35&lt;=CQ$4,CQ$4&lt;=Projects!$C$35+Projects!$D$35-1),Projects!$B$35/Projects!$D$35,"")</f>
        <v/>
      </c>
      <c r="CR41" s="194" t="str">
        <f aca="false">IF(AND(Projects!$C$35&lt;=CR$4,CR$4&lt;=Projects!$C$35+Projects!$D$35-1),Projects!$B$35/Projects!$D$35,"")</f>
        <v/>
      </c>
      <c r="CS41" s="194" t="str">
        <f aca="false">IF(AND(Projects!$C$35&lt;=CS$4,CS$4&lt;=Projects!$C$35+Projects!$D$35-1),Projects!$B$35/Projects!$D$35,"")</f>
        <v/>
      </c>
      <c r="CT41" s="194" t="str">
        <f aca="false">IF(AND(Projects!$C$35&lt;=CT$4,CT$4&lt;=Projects!$C$35+Projects!$D$35-1),Projects!$B$35/Projects!$D$35,"")</f>
        <v/>
      </c>
      <c r="CU41" s="194" t="str">
        <f aca="false">IF(AND(Projects!$C$35&lt;=CU$4,CU$4&lt;=Projects!$C$35+Projects!$D$35-1),Projects!$B$35/Projects!$D$35,"")</f>
        <v/>
      </c>
      <c r="CV41" s="194" t="str">
        <f aca="false">IF(AND(Projects!$C$35&lt;=CV$4,CV$4&lt;=Projects!$C$35+Projects!$D$35-1),Projects!$B$35/Projects!$D$35,"")</f>
        <v/>
      </c>
      <c r="CW41" s="194" t="str">
        <f aca="false">IF(AND(Projects!$C$35&lt;=CW$4,CW$4&lt;=Projects!$C$35+Projects!$D$35-1),Projects!$B$35/Projects!$D$35,"")</f>
        <v/>
      </c>
      <c r="CX41" s="194" t="str">
        <f aca="false">IF(AND(Projects!$C$35&lt;=CX$4,CX$4&lt;=Projects!$C$35+Projects!$D$35-1),Projects!$B$35/Projects!$D$35,"")</f>
        <v/>
      </c>
      <c r="CY41" s="194" t="str">
        <f aca="false">IF(AND(Projects!$C$35&lt;=CY$4,CY$4&lt;=Projects!$C$35+Projects!$D$35-1),Projects!$B$35/Projects!$D$35,"")</f>
        <v/>
      </c>
      <c r="CZ41" s="194" t="str">
        <f aca="false">IF(AND(Projects!$C$35&lt;=CZ$4,CZ$4&lt;=Projects!$C$35+Projects!$D$35-1),Projects!$B$35/Projects!$D$35,"")</f>
        <v/>
      </c>
      <c r="DA41" s="194" t="str">
        <f aca="false">IF(AND(Projects!$C$35&lt;=DA$4,DA$4&lt;=Projects!$C$35+Projects!$D$35-1),Projects!$B$35/Projects!$D$35,"")</f>
        <v/>
      </c>
      <c r="DB41" s="194" t="str">
        <f aca="false">IF(AND(Projects!$C$35&lt;=DB$4,DB$4&lt;=Projects!$C$35+Projects!$D$35-1),Projects!$B$35/Projects!$D$35,"")</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Projects!$B$36/Projects!$D$36</f>
        <v>947368.421052632</v>
      </c>
      <c r="G42" s="194" t="str">
        <f aca="false">IF(AND(Projects!$C$36&lt;=G$4,G$4&lt;=Projects!$C$36+Projects!$D$36-1),Projects!$B$36/Projects!$D$36,"")</f>
        <v/>
      </c>
      <c r="H42" s="194" t="str">
        <f aca="false">IF(AND(Projects!$C$36&lt;=H$4,H$4&lt;=Projects!$C$36+Projects!$D$36-1),Projects!$B$36/Projects!$D$36,"")</f>
        <v/>
      </c>
      <c r="I42" s="194" t="str">
        <f aca="false">IF(AND(Projects!$C$36&lt;=I$4,I$4&lt;=Projects!$C$36+Projects!$D$36-1),Projects!$B$36/Projects!$D$36,"")</f>
        <v/>
      </c>
      <c r="J42" s="194" t="str">
        <f aca="false">IF(AND(Projects!$C$36&lt;=J$4,J$4&lt;=Projects!$C$36+Projects!$D$36-1),Projects!$B$36/Projects!$D$36,"")</f>
        <v/>
      </c>
      <c r="K42" s="194" t="str">
        <f aca="false">IF(AND(Projects!$C$36&lt;=K$4,K$4&lt;=Projects!$C$36+Projects!$D$36-1),Projects!$B$36/Projects!$D$36,"")</f>
        <v/>
      </c>
      <c r="L42" s="194" t="str">
        <f aca="false">IF(AND(Projects!$C$36&lt;=L$4,L$4&lt;=Projects!$C$36+Projects!$D$36-1),Projects!$B$36/Projects!$D$36,"")</f>
        <v/>
      </c>
      <c r="M42" s="194" t="str">
        <f aca="false">IF(AND(Projects!$C$36&lt;=M$4,M$4&lt;=Projects!$C$36+Projects!$D$36-1),Projects!$B$36/Projects!$D$36,"")</f>
        <v/>
      </c>
      <c r="N42" s="194" t="str">
        <f aca="false">IF(AND(Projects!$C$36&lt;=N$4,N$4&lt;=Projects!$C$36+Projects!$D$36-1),Projects!$B$36/Projects!$D$36,"")</f>
        <v/>
      </c>
      <c r="O42" s="194" t="str">
        <f aca="false">IF(AND(Projects!$C$36&lt;=O$4,O$4&lt;=Projects!$C$36+Projects!$D$36-1),Projects!$B$36/Projects!$D$36,"")</f>
        <v/>
      </c>
      <c r="P42" s="194" t="str">
        <f aca="false">IF(AND(Projects!$C$36&lt;=P$4,P$4&lt;=Projects!$C$36+Projects!$D$36-1),Projects!$B$36/Projects!$D$36,"")</f>
        <v/>
      </c>
      <c r="Q42" s="194" t="str">
        <f aca="false">IF(AND(Projects!$C$36&lt;=Q$4,Q$4&lt;=Projects!$C$36+Projects!$D$36-1),Projects!$B$36/Projects!$D$36,"")</f>
        <v/>
      </c>
      <c r="R42" s="194" t="str">
        <f aca="false">IF(AND(Projects!$C$36&lt;=R$4,R$4&lt;=Projects!$C$36+Projects!$D$36-1),Projects!$B$36/Projects!$D$36,"")</f>
        <v/>
      </c>
      <c r="S42" s="194" t="str">
        <f aca="false">IF(AND(Projects!$C$36&lt;=S$4,S$4&lt;=Projects!$C$36+Projects!$D$36-1),Projects!$B$36/Projects!$D$36,"")</f>
        <v/>
      </c>
      <c r="T42" s="194" t="str">
        <f aca="false">IF(AND(Projects!$C$36&lt;=T$4,T$4&lt;=Projects!$C$36+Projects!$D$36-1),Projects!$B$36/Projects!$D$36,"")</f>
        <v/>
      </c>
      <c r="U42" s="194" t="str">
        <f aca="false">IF(AND(Projects!$C$36&lt;=U$4,U$4&lt;=Projects!$C$36+Projects!$D$36-1),Projects!$B$36/Projects!$D$36,"")</f>
        <v/>
      </c>
      <c r="V42" s="194" t="str">
        <f aca="false">IF(AND(Projects!$C$36&lt;=V$4,V$4&lt;=Projects!$C$36+Projects!$D$36-1),Projects!$B$36/Projects!$D$36,"")</f>
        <v/>
      </c>
      <c r="W42" s="194" t="str">
        <f aca="false">IF(AND(Projects!$C$36&lt;=W$4,W$4&lt;=Projects!$C$36+Projects!$D$36-1),Projects!$B$36/Projects!$D$36,"")</f>
        <v/>
      </c>
      <c r="X42" s="194" t="str">
        <f aca="false">IF(AND(Projects!$C$36&lt;=X$4,X$4&lt;=Projects!$C$36+Projects!$D$36-1),Projects!$B$36/Projects!$D$36,"")</f>
        <v/>
      </c>
      <c r="Y42" s="194" t="str">
        <f aca="false">IF(AND(Projects!$C$36&lt;=Y$4,Y$4&lt;=Projects!$C$36+Projects!$D$36-1),Projects!$B$36/Projects!$D$36,"")</f>
        <v/>
      </c>
      <c r="Z42" s="194" t="str">
        <f aca="false">IF(AND(Projects!$C$36&lt;=Z$4,Z$4&lt;=Projects!$C$36+Projects!$D$36-1),Projects!$B$36/Projects!$D$36,"")</f>
        <v/>
      </c>
      <c r="AA42" s="194" t="str">
        <f aca="false">IF(AND(Projects!$C$36&lt;=AA$4,AA$4&lt;=Projects!$C$36+Projects!$D$36-1),Projects!$B$36/Projects!$D$36,"")</f>
        <v/>
      </c>
      <c r="AB42" s="194" t="str">
        <f aca="false">IF(AND(Projects!$C$36&lt;=AB$4,AB$4&lt;=Projects!$C$36+Projects!$D$36-1),Projects!$B$36/Projects!$D$36,"")</f>
        <v/>
      </c>
      <c r="AC42" s="194" t="str">
        <f aca="false">IF(AND(Projects!$C$36&lt;=AC$4,AC$4&lt;=Projects!$C$36+Projects!$D$36-1),Projects!$B$36/Projects!$D$36,"")</f>
        <v/>
      </c>
      <c r="AD42" s="194" t="str">
        <f aca="false">IF(AND(Projects!$C$36&lt;=AD$4,AD$4&lt;=Projects!$C$36+Projects!$D$36-1),Projects!$B$36/Projects!$D$36,"")</f>
        <v/>
      </c>
      <c r="AE42" s="194" t="str">
        <f aca="false">IF(AND(Projects!$C$36&lt;=AE$4,AE$4&lt;=Projects!$C$36+Projects!$D$36-1),Projects!$B$36/Projects!$D$36,"")</f>
        <v/>
      </c>
      <c r="AF42" s="194" t="str">
        <f aca="false">IF(AND(Projects!$C$36&lt;=AF$4,AF$4&lt;=Projects!$C$36+Projects!$D$36-1),Projects!$B$36/Projects!$D$36,"")</f>
        <v/>
      </c>
      <c r="AG42" s="194" t="str">
        <f aca="false">IF(AND(Projects!$C$36&lt;=AG$4,AG$4&lt;=Projects!$C$36+Projects!$D$36-1),Projects!$B$36/Projects!$D$36,"")</f>
        <v/>
      </c>
      <c r="AH42" s="194" t="str">
        <f aca="false">IF(AND(Projects!$C$36&lt;=AH$4,AH$4&lt;=Projects!$C$36+Projects!$D$36-1),Projects!$B$36/Projects!$D$36,"")</f>
        <v/>
      </c>
      <c r="AI42" s="194" t="str">
        <f aca="false">IF(AND(Projects!$C$36&lt;=AI$4,AI$4&lt;=Projects!$C$36+Projects!$D$36-1),Projects!$B$36/Projects!$D$36,"")</f>
        <v/>
      </c>
      <c r="AJ42" s="194" t="str">
        <f aca="false">IF(AND(Projects!$C$36&lt;=AJ$4,AJ$4&lt;=Projects!$C$36+Projects!$D$36-1),Projects!$B$36/Projects!$D$36,"")</f>
        <v/>
      </c>
      <c r="AK42" s="194" t="str">
        <f aca="false">IF(AND(Projects!$C$36&lt;=AK$4,AK$4&lt;=Projects!$C$36+Projects!$D$36-1),Projects!$B$36/Projects!$D$36,"")</f>
        <v/>
      </c>
      <c r="AL42" s="194" t="str">
        <f aca="false">IF(AND(Projects!$C$36&lt;=AL$4,AL$4&lt;=Projects!$C$36+Projects!$D$36-1),Projects!$B$36/Projects!$D$36,"")</f>
        <v/>
      </c>
      <c r="AM42" s="194" t="str">
        <f aca="false">IF(AND(Projects!$C$36&lt;=AM$4,AM$4&lt;=Projects!$C$36+Projects!$D$36-1),Projects!$B$36/Projects!$D$36,"")</f>
        <v/>
      </c>
      <c r="AN42" s="194" t="str">
        <f aca="false">IF(AND(Projects!$C$36&lt;=AN$4,AN$4&lt;=Projects!$C$36+Projects!$D$36-1),Projects!$B$36/Projects!$D$36,"")</f>
        <v/>
      </c>
      <c r="AO42" s="194" t="str">
        <f aca="false">IF(AND(Projects!$C$36&lt;=AO$4,AO$4&lt;=Projects!$C$36+Projects!$D$36-1),Projects!$B$36/Projects!$D$36,"")</f>
        <v/>
      </c>
      <c r="AP42" s="194" t="str">
        <f aca="false">IF(AND(Projects!$C$36&lt;=AP$4,AP$4&lt;=Projects!$C$36+Projects!$D$36-1),Projects!$B$36/Projects!$D$36,"")</f>
        <v/>
      </c>
      <c r="AQ42" s="194" t="str">
        <f aca="false">IF(AND(Projects!$C$36&lt;=AQ$4,AQ$4&lt;=Projects!$C$36+Projects!$D$36-1),Projects!$B$36/Projects!$D$36,"")</f>
        <v/>
      </c>
      <c r="AR42" s="194" t="str">
        <f aca="false">IF(AND(Projects!$C$36&lt;=AR$4,AR$4&lt;=Projects!$C$36+Projects!$D$36-1),Projects!$B$36/Projects!$D$36,"")</f>
        <v/>
      </c>
      <c r="AS42" s="194" t="str">
        <f aca="false">IF(AND(Projects!$C$36&lt;=AS$4,AS$4&lt;=Projects!$C$36+Projects!$D$36-1),Projects!$B$36/Projects!$D$36,"")</f>
        <v/>
      </c>
      <c r="AT42" s="194" t="str">
        <f aca="false">IF(AND(Projects!$C$36&lt;=AT$4,AT$4&lt;=Projects!$C$36+Projects!$D$36-1),Projects!$B$36/Projects!$D$36,"")</f>
        <v/>
      </c>
      <c r="AU42" s="194" t="str">
        <f aca="false">IF(AND(Projects!$C$36&lt;=AU$4,AU$4&lt;=Projects!$C$36+Projects!$D$36-1),Projects!$B$36/Projects!$D$36,"")</f>
        <v/>
      </c>
      <c r="AV42" s="194" t="str">
        <f aca="false">IF(AND(Projects!$C$36&lt;=AV$4,AV$4&lt;=Projects!$C$36+Projects!$D$36-1),Projects!$B$36/Projects!$D$36,"")</f>
        <v/>
      </c>
      <c r="AW42" s="194" t="str">
        <f aca="false">IF(AND(Projects!$C$36&lt;=AW$4,AW$4&lt;=Projects!$C$36+Projects!$D$36-1),Projects!$B$36/Projects!$D$36,"")</f>
        <v/>
      </c>
      <c r="AX42" s="194" t="str">
        <f aca="false">IF(AND(Projects!$C$36&lt;=AX$4,AX$4&lt;=Projects!$C$36+Projects!$D$36-1),Projects!$B$36/Projects!$D$36,"")</f>
        <v/>
      </c>
      <c r="AY42" s="194" t="str">
        <f aca="false">IF(AND(Projects!$C$36&lt;=AY$4,AY$4&lt;=Projects!$C$36+Projects!$D$36-1),Projects!$B$36/Projects!$D$36,"")</f>
        <v/>
      </c>
      <c r="AZ42" s="194" t="str">
        <f aca="false">IF(AND(Projects!$C$36&lt;=AZ$4,AZ$4&lt;=Projects!$C$36+Projects!$D$36-1),Projects!$B$36/Projects!$D$36,"")</f>
        <v/>
      </c>
      <c r="BA42" s="194" t="str">
        <f aca="false">IF(AND(Projects!$C$36&lt;=BA$4,BA$4&lt;=Projects!$C$36+Projects!$D$36-1),Projects!$B$36/Projects!$D$36,"")</f>
        <v/>
      </c>
      <c r="BB42" s="194" t="str">
        <f aca="false">IF(AND(Projects!$C$36&lt;=BB$4,BB$4&lt;=Projects!$C$36+Projects!$D$36-1),Projects!$B$36/Projects!$D$36,"")</f>
        <v/>
      </c>
      <c r="BC42" s="194" t="str">
        <f aca="false">IF(AND(Projects!$C$36&lt;=BC$4,BC$4&lt;=Projects!$C$36+Projects!$D$36-1),Projects!$B$36/Projects!$D$36,"")</f>
        <v/>
      </c>
      <c r="BD42" s="194" t="str">
        <f aca="false">IF(AND(Projects!$C$36&lt;=BD$4,BD$4&lt;=Projects!$C$36+Projects!$D$36-1),Projects!$B$36/Projects!$D$36,"")</f>
        <v/>
      </c>
      <c r="BE42" s="194" t="str">
        <f aca="false">IF(AND(Projects!$C$36&lt;=BE$4,BE$4&lt;=Projects!$C$36+Projects!$D$36-1),Projects!$B$36/Projects!$D$36,"")</f>
        <v/>
      </c>
      <c r="BF42" s="194" t="str">
        <f aca="false">IF(AND(Projects!$C$36&lt;=BF$4,BF$4&lt;=Projects!$C$36+Projects!$D$36-1),Projects!$B$36/Projects!$D$36,"")</f>
        <v/>
      </c>
      <c r="BG42" s="194" t="str">
        <f aca="false">IF(AND(Projects!$C$36&lt;=BG$4,BG$4&lt;=Projects!$C$36+Projects!$D$36-1),Projects!$B$36/Projects!$D$36,"")</f>
        <v/>
      </c>
      <c r="BH42" s="194" t="str">
        <f aca="false">IF(AND(Projects!$C$36&lt;=BH$4,BH$4&lt;=Projects!$C$36+Projects!$D$36-1),Projects!$B$36/Projects!$D$36,"")</f>
        <v/>
      </c>
      <c r="BI42" s="194" t="str">
        <f aca="false">IF(AND(Projects!$C$36&lt;=BI$4,BI$4&lt;=Projects!$C$36+Projects!$D$36-1),Projects!$B$36/Projects!$D$36,"")</f>
        <v/>
      </c>
      <c r="BJ42" s="194" t="str">
        <f aca="false">IF(AND(Projects!$C$36&lt;=BJ$4,BJ$4&lt;=Projects!$C$36+Projects!$D$36-1),Projects!$B$36/Projects!$D$36,"")</f>
        <v/>
      </c>
      <c r="BK42" s="194" t="str">
        <f aca="false">IF(AND(Projects!$C$36&lt;=BK$4,BK$4&lt;=Projects!$C$36+Projects!$D$36-1),Projects!$B$36/Projects!$D$36,"")</f>
        <v/>
      </c>
      <c r="BL42" s="194" t="str">
        <f aca="false">IF(AND(Projects!$C$36&lt;=BL$4,BL$4&lt;=Projects!$C$36+Projects!$D$36-1),Projects!$B$36/Projects!$D$36,"")</f>
        <v/>
      </c>
      <c r="BM42" s="194" t="str">
        <f aca="false">IF(AND(Projects!$C$36&lt;=BM$4,BM$4&lt;=Projects!$C$36+Projects!$D$36-1),Projects!$B$36/Projects!$D$36,"")</f>
        <v/>
      </c>
      <c r="BN42" s="194" t="str">
        <f aca="false">IF(AND(Projects!$C$36&lt;=BN$4,BN$4&lt;=Projects!$C$36+Projects!$D$36-1),Projects!$B$36/Projects!$D$36,"")</f>
        <v/>
      </c>
      <c r="BO42" s="194" t="str">
        <f aca="false">IF(AND(Projects!$C$36&lt;=BO$4,BO$4&lt;=Projects!$C$36+Projects!$D$36-1),Projects!$B$36/Projects!$D$36,"")</f>
        <v/>
      </c>
      <c r="BP42" s="194" t="n">
        <f aca="false">IF(AND(Projects!$C$36&lt;=BP$4,BP$4&lt;=Projects!$C$36+Projects!$D$36-1),Projects!$B$36/Projects!$D$36,"")</f>
        <v>947368.421052632</v>
      </c>
      <c r="BQ42" s="194" t="n">
        <f aca="false">IF(AND(Projects!$C$36&lt;=BQ$4,BQ$4&lt;=Projects!$C$36+Projects!$D$36-1),Projects!$B$36/Projects!$D$36,"")</f>
        <v>947368.421052632</v>
      </c>
      <c r="BR42" s="194" t="n">
        <f aca="false">IF(AND(Projects!$C$36&lt;=BR$4,BR$4&lt;=Projects!$C$36+Projects!$D$36-1),Projects!$B$36/Projects!$D$36,"")</f>
        <v>947368.421052632</v>
      </c>
      <c r="BS42" s="194" t="n">
        <f aca="false">IF(AND(Projects!$C$36&lt;=BS$4,BS$4&lt;=Projects!$C$36+Projects!$D$36-1),Projects!$B$36/Projects!$D$36,"")</f>
        <v>947368.421052632</v>
      </c>
      <c r="BT42" s="194" t="n">
        <f aca="false">IF(AND(Projects!$C$36&lt;=BT$4,BT$4&lt;=Projects!$C$36+Projects!$D$36-1),Projects!$B$36/Projects!$D$36,"")</f>
        <v>947368.421052632</v>
      </c>
      <c r="BU42" s="194" t="n">
        <f aca="false">IF(AND(Projects!$C$36&lt;=BU$4,BU$4&lt;=Projects!$C$36+Projects!$D$36-1),Projects!$B$36/Projects!$D$36,"")</f>
        <v>947368.421052632</v>
      </c>
      <c r="BV42" s="194" t="n">
        <f aca="false">IF(AND(Projects!$C$36&lt;=BV$4,BV$4&lt;=Projects!$C$36+Projects!$D$36-1),Projects!$B$36/Projects!$D$36,"")</f>
        <v>947368.421052632</v>
      </c>
      <c r="BW42" s="194" t="n">
        <f aca="false">IF(AND(Projects!$C$36&lt;=BW$4,BW$4&lt;=Projects!$C$36+Projects!$D$36-1),Projects!$B$36/Projects!$D$36,"")</f>
        <v>947368.421052632</v>
      </c>
      <c r="BX42" s="194" t="n">
        <f aca="false">IF(AND(Projects!$C$36&lt;=BX$4,BX$4&lt;=Projects!$C$36+Projects!$D$36-1),Projects!$B$36/Projects!$D$36,"")</f>
        <v>947368.421052632</v>
      </c>
      <c r="BY42" s="194" t="n">
        <f aca="false">IF(AND(Projects!$C$36&lt;=BY$4,BY$4&lt;=Projects!$C$36+Projects!$D$36-1),Projects!$B$36/Projects!$D$36,"")</f>
        <v>947368.421052632</v>
      </c>
      <c r="BZ42" s="194" t="n">
        <f aca="false">IF(AND(Projects!$C$36&lt;=BZ$4,BZ$4&lt;=Projects!$C$36+Projects!$D$36-1),Projects!$B$36/Projects!$D$36,"")</f>
        <v>947368.421052632</v>
      </c>
      <c r="CA42" s="194" t="n">
        <f aca="false">IF(AND(Projects!$C$36&lt;=CA$4,CA$4&lt;=Projects!$C$36+Projects!$D$36-1),Projects!$B$36/Projects!$D$36,"")</f>
        <v>947368.421052632</v>
      </c>
      <c r="CB42" s="194" t="n">
        <f aca="false">IF(AND(Projects!$C$36&lt;=CB$4,CB$4&lt;=Projects!$C$36+Projects!$D$36-1),Projects!$B$36/Projects!$D$36,"")</f>
        <v>947368.421052632</v>
      </c>
      <c r="CC42" s="194" t="n">
        <f aca="false">IF(AND(Projects!$C$36&lt;=CC$4,CC$4&lt;=Projects!$C$36+Projects!$D$36-1),Projects!$B$36/Projects!$D$36,"")</f>
        <v>947368.421052632</v>
      </c>
      <c r="CD42" s="194" t="n">
        <f aca="false">IF(AND(Projects!$C$36&lt;=CD$4,CD$4&lt;=Projects!$C$36+Projects!$D$36-1),Projects!$B$36/Projects!$D$36,"")</f>
        <v>947368.421052632</v>
      </c>
      <c r="CE42" s="194" t="n">
        <f aca="false">IF(AND(Projects!$C$36&lt;=CE$4,CE$4&lt;=Projects!$C$36+Projects!$D$36-1),Projects!$B$36/Projects!$D$36,"")</f>
        <v>947368.421052632</v>
      </c>
      <c r="CF42" s="194" t="n">
        <f aca="false">IF(AND(Projects!$C$36&lt;=CF$4,CF$4&lt;=Projects!$C$36+Projects!$D$36-1),Projects!$B$36/Projects!$D$36,"")</f>
        <v>947368.421052632</v>
      </c>
      <c r="CG42" s="194" t="n">
        <f aca="false">IF(AND(Projects!$C$36&lt;=CG$4,CG$4&lt;=Projects!$C$36+Projects!$D$36-1),Projects!$B$36/Projects!$D$36,"")</f>
        <v>947368.421052632</v>
      </c>
      <c r="CH42" s="194" t="n">
        <f aca="false">IF(AND(Projects!$C$36&lt;=CH$4,CH$4&lt;=Projects!$C$36+Projects!$D$36-1),Projects!$B$36/Projects!$D$36,"")</f>
        <v>947368.421052632</v>
      </c>
      <c r="CI42" s="194" t="str">
        <f aca="false">IF(AND(Projects!$C$36&lt;=CI$4,CI$4&lt;=Projects!$C$36+Projects!$D$36-1),Projects!$B$36/Projects!$D$36,"")</f>
        <v/>
      </c>
      <c r="CJ42" s="194" t="str">
        <f aca="false">IF(AND(Projects!$C$36&lt;=CJ$4,CJ$4&lt;=Projects!$C$36+Projects!$D$36-1),Projects!$B$36/Projects!$D$36,"")</f>
        <v/>
      </c>
      <c r="CK42" s="194" t="str">
        <f aca="false">IF(AND(Projects!$C$36&lt;=CK$4,CK$4&lt;=Projects!$C$36+Projects!$D$36-1),Projects!$B$36/Projects!$D$36,"")</f>
        <v/>
      </c>
      <c r="CL42" s="194" t="str">
        <f aca="false">IF(AND(Projects!$C$36&lt;=CL$4,CL$4&lt;=Projects!$C$36+Projects!$D$36-1),Projects!$B$36/Projects!$D$36,"")</f>
        <v/>
      </c>
      <c r="CM42" s="194" t="str">
        <f aca="false">IF(AND(Projects!$C$36&lt;=CM$4,CM$4&lt;=Projects!$C$36+Projects!$D$36-1),Projects!$B$36/Projects!$D$36,"")</f>
        <v/>
      </c>
      <c r="CN42" s="194" t="str">
        <f aca="false">IF(AND(Projects!$C$36&lt;=CN$4,CN$4&lt;=Projects!$C$36+Projects!$D$36-1),Projects!$B$36/Projects!$D$36,"")</f>
        <v/>
      </c>
      <c r="CO42" s="194" t="str">
        <f aca="false">IF(AND(Projects!$C$36&lt;=CO$4,CO$4&lt;=Projects!$C$36+Projects!$D$36-1),Projects!$B$36/Projects!$D$36,"")</f>
        <v/>
      </c>
      <c r="CP42" s="194" t="str">
        <f aca="false">IF(AND(Projects!$C$36&lt;=CP$4,CP$4&lt;=Projects!$C$36+Projects!$D$36-1),Projects!$B$36/Projects!$D$36,"")</f>
        <v/>
      </c>
      <c r="CQ42" s="194" t="str">
        <f aca="false">IF(AND(Projects!$C$36&lt;=CQ$4,CQ$4&lt;=Projects!$C$36+Projects!$D$36-1),Projects!$B$36/Projects!$D$36,"")</f>
        <v/>
      </c>
      <c r="CR42" s="194" t="str">
        <f aca="false">IF(AND(Projects!$C$36&lt;=CR$4,CR$4&lt;=Projects!$C$36+Projects!$D$36-1),Projects!$B$36/Projects!$D$36,"")</f>
        <v/>
      </c>
      <c r="CS42" s="194" t="str">
        <f aca="false">IF(AND(Projects!$C$36&lt;=CS$4,CS$4&lt;=Projects!$C$36+Projects!$D$36-1),Projects!$B$36/Projects!$D$36,"")</f>
        <v/>
      </c>
      <c r="CT42" s="194" t="str">
        <f aca="false">IF(AND(Projects!$C$36&lt;=CT$4,CT$4&lt;=Projects!$C$36+Projects!$D$36-1),Projects!$B$36/Projects!$D$36,"")</f>
        <v/>
      </c>
      <c r="CU42" s="194" t="str">
        <f aca="false">IF(AND(Projects!$C$36&lt;=CU$4,CU$4&lt;=Projects!$C$36+Projects!$D$36-1),Projects!$B$36/Projects!$D$36,"")</f>
        <v/>
      </c>
      <c r="CV42" s="194" t="str">
        <f aca="false">IF(AND(Projects!$C$36&lt;=CV$4,CV$4&lt;=Projects!$C$36+Projects!$D$36-1),Projects!$B$36/Projects!$D$36,"")</f>
        <v/>
      </c>
      <c r="CW42" s="194" t="str">
        <f aca="false">IF(AND(Projects!$C$36&lt;=CW$4,CW$4&lt;=Projects!$C$36+Projects!$D$36-1),Projects!$B$36/Projects!$D$36,"")</f>
        <v/>
      </c>
      <c r="CX42" s="194" t="str">
        <f aca="false">IF(AND(Projects!$C$36&lt;=CX$4,CX$4&lt;=Projects!$C$36+Projects!$D$36-1),Projects!$B$36/Projects!$D$36,"")</f>
        <v/>
      </c>
      <c r="CY42" s="194" t="str">
        <f aca="false">IF(AND(Projects!$C$36&lt;=CY$4,CY$4&lt;=Projects!$C$36+Projects!$D$36-1),Projects!$B$36/Projects!$D$36,"")</f>
        <v/>
      </c>
      <c r="CZ42" s="194" t="str">
        <f aca="false">IF(AND(Projects!$C$36&lt;=CZ$4,CZ$4&lt;=Projects!$C$36+Projects!$D$36-1),Projects!$B$36/Projects!$D$36,"")</f>
        <v/>
      </c>
      <c r="DA42" s="194" t="str">
        <f aca="false">IF(AND(Projects!$C$36&lt;=DA$4,DA$4&lt;=Projects!$C$36+Projects!$D$36-1),Projects!$B$36/Projects!$D$36,"")</f>
        <v/>
      </c>
      <c r="DB42" s="194" t="str">
        <f aca="false">IF(AND(Projects!$C$36&lt;=DB$4,DB$4&lt;=Projects!$C$36+Projects!$D$36-1),Projects!$B$36/Projects!$D$36,"")</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Projects!$B$37/Projects!$D$37</f>
        <v>789473.684210526</v>
      </c>
      <c r="G43" s="194" t="str">
        <f aca="false">IF(AND(Projects!$C$37&lt;=G$4,G$4&lt;=Projects!$C$37+Projects!$D$37-1),Projects!$B$37/Projects!$D$37,"")</f>
        <v/>
      </c>
      <c r="H43" s="194" t="str">
        <f aca="false">IF(AND(Projects!$C$37&lt;=H$4,H$4&lt;=Projects!$C$37+Projects!$D$37-1),Projects!$B$37/Projects!$D$37,"")</f>
        <v/>
      </c>
      <c r="I43" s="194" t="str">
        <f aca="false">IF(AND(Projects!$C$37&lt;=I$4,I$4&lt;=Projects!$C$37+Projects!$D$37-1),Projects!$B$37/Projects!$D$37,"")</f>
        <v/>
      </c>
      <c r="J43" s="194" t="str">
        <f aca="false">IF(AND(Projects!$C$37&lt;=J$4,J$4&lt;=Projects!$C$37+Projects!$D$37-1),Projects!$B$37/Projects!$D$37,"")</f>
        <v/>
      </c>
      <c r="K43" s="194" t="str">
        <f aca="false">IF(AND(Projects!$C$37&lt;=K$4,K$4&lt;=Projects!$C$37+Projects!$D$37-1),Projects!$B$37/Projects!$D$37,"")</f>
        <v/>
      </c>
      <c r="L43" s="194" t="str">
        <f aca="false">IF(AND(Projects!$C$37&lt;=L$4,L$4&lt;=Projects!$C$37+Projects!$D$37-1),Projects!$B$37/Projects!$D$37,"")</f>
        <v/>
      </c>
      <c r="M43" s="194" t="str">
        <f aca="false">IF(AND(Projects!$C$37&lt;=M$4,M$4&lt;=Projects!$C$37+Projects!$D$37-1),Projects!$B$37/Projects!$D$37,"")</f>
        <v/>
      </c>
      <c r="N43" s="194" t="str">
        <f aca="false">IF(AND(Projects!$C$37&lt;=N$4,N$4&lt;=Projects!$C$37+Projects!$D$37-1),Projects!$B$37/Projects!$D$37,"")</f>
        <v/>
      </c>
      <c r="O43" s="194" t="str">
        <f aca="false">IF(AND(Projects!$C$37&lt;=O$4,O$4&lt;=Projects!$C$37+Projects!$D$37-1),Projects!$B$37/Projects!$D$37,"")</f>
        <v/>
      </c>
      <c r="P43" s="194" t="str">
        <f aca="false">IF(AND(Projects!$C$37&lt;=P$4,P$4&lt;=Projects!$C$37+Projects!$D$37-1),Projects!$B$37/Projects!$D$37,"")</f>
        <v/>
      </c>
      <c r="Q43" s="194" t="str">
        <f aca="false">IF(AND(Projects!$C$37&lt;=Q$4,Q$4&lt;=Projects!$C$37+Projects!$D$37-1),Projects!$B$37/Projects!$D$37,"")</f>
        <v/>
      </c>
      <c r="R43" s="194" t="str">
        <f aca="false">IF(AND(Projects!$C$37&lt;=R$4,R$4&lt;=Projects!$C$37+Projects!$D$37-1),Projects!$B$37/Projects!$D$37,"")</f>
        <v/>
      </c>
      <c r="S43" s="194" t="str">
        <f aca="false">IF(AND(Projects!$C$37&lt;=S$4,S$4&lt;=Projects!$C$37+Projects!$D$37-1),Projects!$B$37/Projects!$D$37,"")</f>
        <v/>
      </c>
      <c r="T43" s="194" t="str">
        <f aca="false">IF(AND(Projects!$C$37&lt;=T$4,T$4&lt;=Projects!$C$37+Projects!$D$37-1),Projects!$B$37/Projects!$D$37,"")</f>
        <v/>
      </c>
      <c r="U43" s="194" t="str">
        <f aca="false">IF(AND(Projects!$C$37&lt;=U$4,U$4&lt;=Projects!$C$37+Projects!$D$37-1),Projects!$B$37/Projects!$D$37,"")</f>
        <v/>
      </c>
      <c r="V43" s="194" t="str">
        <f aca="false">IF(AND(Projects!$C$37&lt;=V$4,V$4&lt;=Projects!$C$37+Projects!$D$37-1),Projects!$B$37/Projects!$D$37,"")</f>
        <v/>
      </c>
      <c r="W43" s="194" t="str">
        <f aca="false">IF(AND(Projects!$C$37&lt;=W$4,W$4&lt;=Projects!$C$37+Projects!$D$37-1),Projects!$B$37/Projects!$D$37,"")</f>
        <v/>
      </c>
      <c r="X43" s="194" t="str">
        <f aca="false">IF(AND(Projects!$C$37&lt;=X$4,X$4&lt;=Projects!$C$37+Projects!$D$37-1),Projects!$B$37/Projects!$D$37,"")</f>
        <v/>
      </c>
      <c r="Y43" s="194" t="str">
        <f aca="false">IF(AND(Projects!$C$37&lt;=Y$4,Y$4&lt;=Projects!$C$37+Projects!$D$37-1),Projects!$B$37/Projects!$D$37,"")</f>
        <v/>
      </c>
      <c r="Z43" s="194" t="str">
        <f aca="false">IF(AND(Projects!$C$37&lt;=Z$4,Z$4&lt;=Projects!$C$37+Projects!$D$37-1),Projects!$B$37/Projects!$D$37,"")</f>
        <v/>
      </c>
      <c r="AA43" s="194" t="str">
        <f aca="false">IF(AND(Projects!$C$37&lt;=AA$4,AA$4&lt;=Projects!$C$37+Projects!$D$37-1),Projects!$B$37/Projects!$D$37,"")</f>
        <v/>
      </c>
      <c r="AB43" s="194" t="str">
        <f aca="false">IF(AND(Projects!$C$37&lt;=AB$4,AB$4&lt;=Projects!$C$37+Projects!$D$37-1),Projects!$B$37/Projects!$D$37,"")</f>
        <v/>
      </c>
      <c r="AC43" s="194" t="str">
        <f aca="false">IF(AND(Projects!$C$37&lt;=AC$4,AC$4&lt;=Projects!$C$37+Projects!$D$37-1),Projects!$B$37/Projects!$D$37,"")</f>
        <v/>
      </c>
      <c r="AD43" s="194" t="str">
        <f aca="false">IF(AND(Projects!$C$37&lt;=AD$4,AD$4&lt;=Projects!$C$37+Projects!$D$37-1),Projects!$B$37/Projects!$D$37,"")</f>
        <v/>
      </c>
      <c r="AE43" s="194" t="str">
        <f aca="false">IF(AND(Projects!$C$37&lt;=AE$4,AE$4&lt;=Projects!$C$37+Projects!$D$37-1),Projects!$B$37/Projects!$D$37,"")</f>
        <v/>
      </c>
      <c r="AF43" s="194" t="str">
        <f aca="false">IF(AND(Projects!$C$37&lt;=AF$4,AF$4&lt;=Projects!$C$37+Projects!$D$37-1),Projects!$B$37/Projects!$D$37,"")</f>
        <v/>
      </c>
      <c r="AG43" s="194" t="str">
        <f aca="false">IF(AND(Projects!$C$37&lt;=AG$4,AG$4&lt;=Projects!$C$37+Projects!$D$37-1),Projects!$B$37/Projects!$D$37,"")</f>
        <v/>
      </c>
      <c r="AH43" s="194" t="str">
        <f aca="false">IF(AND(Projects!$C$37&lt;=AH$4,AH$4&lt;=Projects!$C$37+Projects!$D$37-1),Projects!$B$37/Projects!$D$37,"")</f>
        <v/>
      </c>
      <c r="AI43" s="194" t="str">
        <f aca="false">IF(AND(Projects!$C$37&lt;=AI$4,AI$4&lt;=Projects!$C$37+Projects!$D$37-1),Projects!$B$37/Projects!$D$37,"")</f>
        <v/>
      </c>
      <c r="AJ43" s="194" t="str">
        <f aca="false">IF(AND(Projects!$C$37&lt;=AJ$4,AJ$4&lt;=Projects!$C$37+Projects!$D$37-1),Projects!$B$37/Projects!$D$37,"")</f>
        <v/>
      </c>
      <c r="AK43" s="194" t="str">
        <f aca="false">IF(AND(Projects!$C$37&lt;=AK$4,AK$4&lt;=Projects!$C$37+Projects!$D$37-1),Projects!$B$37/Projects!$D$37,"")</f>
        <v/>
      </c>
      <c r="AL43" s="194" t="str">
        <f aca="false">IF(AND(Projects!$C$37&lt;=AL$4,AL$4&lt;=Projects!$C$37+Projects!$D$37-1),Projects!$B$37/Projects!$D$37,"")</f>
        <v/>
      </c>
      <c r="AM43" s="194" t="str">
        <f aca="false">IF(AND(Projects!$C$37&lt;=AM$4,AM$4&lt;=Projects!$C$37+Projects!$D$37-1),Projects!$B$37/Projects!$D$37,"")</f>
        <v/>
      </c>
      <c r="AN43" s="194" t="str">
        <f aca="false">IF(AND(Projects!$C$37&lt;=AN$4,AN$4&lt;=Projects!$C$37+Projects!$D$37-1),Projects!$B$37/Projects!$D$37,"")</f>
        <v/>
      </c>
      <c r="AO43" s="194" t="str">
        <f aca="false">IF(AND(Projects!$C$37&lt;=AO$4,AO$4&lt;=Projects!$C$37+Projects!$D$37-1),Projects!$B$37/Projects!$D$37,"")</f>
        <v/>
      </c>
      <c r="AP43" s="194" t="str">
        <f aca="false">IF(AND(Projects!$C$37&lt;=AP$4,AP$4&lt;=Projects!$C$37+Projects!$D$37-1),Projects!$B$37/Projects!$D$37,"")</f>
        <v/>
      </c>
      <c r="AQ43" s="194" t="str">
        <f aca="false">IF(AND(Projects!$C$37&lt;=AQ$4,AQ$4&lt;=Projects!$C$37+Projects!$D$37-1),Projects!$B$37/Projects!$D$37,"")</f>
        <v/>
      </c>
      <c r="AR43" s="194" t="str">
        <f aca="false">IF(AND(Projects!$C$37&lt;=AR$4,AR$4&lt;=Projects!$C$37+Projects!$D$37-1),Projects!$B$37/Projects!$D$37,"")</f>
        <v/>
      </c>
      <c r="AS43" s="194" t="str">
        <f aca="false">IF(AND(Projects!$C$37&lt;=AS$4,AS$4&lt;=Projects!$C$37+Projects!$D$37-1),Projects!$B$37/Projects!$D$37,"")</f>
        <v/>
      </c>
      <c r="AT43" s="194" t="str">
        <f aca="false">IF(AND(Projects!$C$37&lt;=AT$4,AT$4&lt;=Projects!$C$37+Projects!$D$37-1),Projects!$B$37/Projects!$D$37,"")</f>
        <v/>
      </c>
      <c r="AU43" s="194" t="str">
        <f aca="false">IF(AND(Projects!$C$37&lt;=AU$4,AU$4&lt;=Projects!$C$37+Projects!$D$37-1),Projects!$B$37/Projects!$D$37,"")</f>
        <v/>
      </c>
      <c r="AV43" s="194" t="str">
        <f aca="false">IF(AND(Projects!$C$37&lt;=AV$4,AV$4&lt;=Projects!$C$37+Projects!$D$37-1),Projects!$B$37/Projects!$D$37,"")</f>
        <v/>
      </c>
      <c r="AW43" s="194" t="str">
        <f aca="false">IF(AND(Projects!$C$37&lt;=AW$4,AW$4&lt;=Projects!$C$37+Projects!$D$37-1),Projects!$B$37/Projects!$D$37,"")</f>
        <v/>
      </c>
      <c r="AX43" s="194" t="str">
        <f aca="false">IF(AND(Projects!$C$37&lt;=AX$4,AX$4&lt;=Projects!$C$37+Projects!$D$37-1),Projects!$B$37/Projects!$D$37,"")</f>
        <v/>
      </c>
      <c r="AY43" s="194" t="str">
        <f aca="false">IF(AND(Projects!$C$37&lt;=AY$4,AY$4&lt;=Projects!$C$37+Projects!$D$37-1),Projects!$B$37/Projects!$D$37,"")</f>
        <v/>
      </c>
      <c r="AZ43" s="194" t="str">
        <f aca="false">IF(AND(Projects!$C$37&lt;=AZ$4,AZ$4&lt;=Projects!$C$37+Projects!$D$37-1),Projects!$B$37/Projects!$D$37,"")</f>
        <v/>
      </c>
      <c r="BA43" s="194" t="str">
        <f aca="false">IF(AND(Projects!$C$37&lt;=BA$4,BA$4&lt;=Projects!$C$37+Projects!$D$37-1),Projects!$B$37/Projects!$D$37,"")</f>
        <v/>
      </c>
      <c r="BB43" s="194" t="str">
        <f aca="false">IF(AND(Projects!$C$37&lt;=BB$4,BB$4&lt;=Projects!$C$37+Projects!$D$37-1),Projects!$B$37/Projects!$D$37,"")</f>
        <v/>
      </c>
      <c r="BC43" s="194" t="str">
        <f aca="false">IF(AND(Projects!$C$37&lt;=BC$4,BC$4&lt;=Projects!$C$37+Projects!$D$37-1),Projects!$B$37/Projects!$D$37,"")</f>
        <v/>
      </c>
      <c r="BD43" s="194" t="str">
        <f aca="false">IF(AND(Projects!$C$37&lt;=BD$4,BD$4&lt;=Projects!$C$37+Projects!$D$37-1),Projects!$B$37/Projects!$D$37,"")</f>
        <v/>
      </c>
      <c r="BE43" s="194" t="str">
        <f aca="false">IF(AND(Projects!$C$37&lt;=BE$4,BE$4&lt;=Projects!$C$37+Projects!$D$37-1),Projects!$B$37/Projects!$D$37,"")</f>
        <v/>
      </c>
      <c r="BF43" s="194" t="str">
        <f aca="false">IF(AND(Projects!$C$37&lt;=BF$4,BF$4&lt;=Projects!$C$37+Projects!$D$37-1),Projects!$B$37/Projects!$D$37,"")</f>
        <v/>
      </c>
      <c r="BG43" s="194" t="str">
        <f aca="false">IF(AND(Projects!$C$37&lt;=BG$4,BG$4&lt;=Projects!$C$37+Projects!$D$37-1),Projects!$B$37/Projects!$D$37,"")</f>
        <v/>
      </c>
      <c r="BH43" s="194" t="str">
        <f aca="false">IF(AND(Projects!$C$37&lt;=BH$4,BH$4&lt;=Projects!$C$37+Projects!$D$37-1),Projects!$B$37/Projects!$D$37,"")</f>
        <v/>
      </c>
      <c r="BI43" s="194" t="str">
        <f aca="false">IF(AND(Projects!$C$37&lt;=BI$4,BI$4&lt;=Projects!$C$37+Projects!$D$37-1),Projects!$B$37/Projects!$D$37,"")</f>
        <v/>
      </c>
      <c r="BJ43" s="194" t="str">
        <f aca="false">IF(AND(Projects!$C$37&lt;=BJ$4,BJ$4&lt;=Projects!$C$37+Projects!$D$37-1),Projects!$B$37/Projects!$D$37,"")</f>
        <v/>
      </c>
      <c r="BK43" s="194" t="str">
        <f aca="false">IF(AND(Projects!$C$37&lt;=BK$4,BK$4&lt;=Projects!$C$37+Projects!$D$37-1),Projects!$B$37/Projects!$D$37,"")</f>
        <v/>
      </c>
      <c r="BL43" s="194" t="str">
        <f aca="false">IF(AND(Projects!$C$37&lt;=BL$4,BL$4&lt;=Projects!$C$37+Projects!$D$37-1),Projects!$B$37/Projects!$D$37,"")</f>
        <v/>
      </c>
      <c r="BM43" s="194" t="str">
        <f aca="false">IF(AND(Projects!$C$37&lt;=BM$4,BM$4&lt;=Projects!$C$37+Projects!$D$37-1),Projects!$B$37/Projects!$D$37,"")</f>
        <v/>
      </c>
      <c r="BN43" s="194" t="str">
        <f aca="false">IF(AND(Projects!$C$37&lt;=BN$4,BN$4&lt;=Projects!$C$37+Projects!$D$37-1),Projects!$B$37/Projects!$D$37,"")</f>
        <v/>
      </c>
      <c r="BO43" s="194" t="str">
        <f aca="false">IF(AND(Projects!$C$37&lt;=BO$4,BO$4&lt;=Projects!$C$37+Projects!$D$37-1),Projects!$B$37/Projects!$D$37,"")</f>
        <v/>
      </c>
      <c r="BP43" s="194" t="str">
        <f aca="false">IF(AND(Projects!$C$37&lt;=BP$4,BP$4&lt;=Projects!$C$37+Projects!$D$37-1),Projects!$B$37/Projects!$D$37,"")</f>
        <v/>
      </c>
      <c r="BQ43" s="194" t="str">
        <f aca="false">IF(AND(Projects!$C$37&lt;=BQ$4,BQ$4&lt;=Projects!$C$37+Projects!$D$37-1),Projects!$B$37/Projects!$D$37,"")</f>
        <v/>
      </c>
      <c r="BR43" s="194" t="n">
        <f aca="false">IF(AND(Projects!$C$37&lt;=BR$4,BR$4&lt;=Projects!$C$37+Projects!$D$37-1),Projects!$B$37/Projects!$D$37,"")</f>
        <v>789473.684210526</v>
      </c>
      <c r="BS43" s="194" t="n">
        <f aca="false">IF(AND(Projects!$C$37&lt;=BS$4,BS$4&lt;=Projects!$C$37+Projects!$D$37-1),Projects!$B$37/Projects!$D$37,"")</f>
        <v>789473.684210526</v>
      </c>
      <c r="BT43" s="194" t="n">
        <f aca="false">IF(AND(Projects!$C$37&lt;=BT$4,BT$4&lt;=Projects!$C$37+Projects!$D$37-1),Projects!$B$37/Projects!$D$37,"")</f>
        <v>789473.684210526</v>
      </c>
      <c r="BU43" s="194" t="n">
        <f aca="false">IF(AND(Projects!$C$37&lt;=BU$4,BU$4&lt;=Projects!$C$37+Projects!$D$37-1),Projects!$B$37/Projects!$D$37,"")</f>
        <v>789473.684210526</v>
      </c>
      <c r="BV43" s="194" t="n">
        <f aca="false">IF(AND(Projects!$C$37&lt;=BV$4,BV$4&lt;=Projects!$C$37+Projects!$D$37-1),Projects!$B$37/Projects!$D$37,"")</f>
        <v>789473.684210526</v>
      </c>
      <c r="BW43" s="194" t="n">
        <f aca="false">IF(AND(Projects!$C$37&lt;=BW$4,BW$4&lt;=Projects!$C$37+Projects!$D$37-1),Projects!$B$37/Projects!$D$37,"")</f>
        <v>789473.684210526</v>
      </c>
      <c r="BX43" s="194" t="n">
        <f aca="false">IF(AND(Projects!$C$37&lt;=BX$4,BX$4&lt;=Projects!$C$37+Projects!$D$37-1),Projects!$B$37/Projects!$D$37,"")</f>
        <v>789473.684210526</v>
      </c>
      <c r="BY43" s="194" t="n">
        <f aca="false">IF(AND(Projects!$C$37&lt;=BY$4,BY$4&lt;=Projects!$C$37+Projects!$D$37-1),Projects!$B$37/Projects!$D$37,"")</f>
        <v>789473.684210526</v>
      </c>
      <c r="BZ43" s="194" t="n">
        <f aca="false">IF(AND(Projects!$C$37&lt;=BZ$4,BZ$4&lt;=Projects!$C$37+Projects!$D$37-1),Projects!$B$37/Projects!$D$37,"")</f>
        <v>789473.684210526</v>
      </c>
      <c r="CA43" s="194" t="n">
        <f aca="false">IF(AND(Projects!$C$37&lt;=CA$4,CA$4&lt;=Projects!$C$37+Projects!$D$37-1),Projects!$B$37/Projects!$D$37,"")</f>
        <v>789473.684210526</v>
      </c>
      <c r="CB43" s="194" t="n">
        <f aca="false">IF(AND(Projects!$C$37&lt;=CB$4,CB$4&lt;=Projects!$C$37+Projects!$D$37-1),Projects!$B$37/Projects!$D$37,"")</f>
        <v>789473.684210526</v>
      </c>
      <c r="CC43" s="194" t="n">
        <f aca="false">IF(AND(Projects!$C$37&lt;=CC$4,CC$4&lt;=Projects!$C$37+Projects!$D$37-1),Projects!$B$37/Projects!$D$37,"")</f>
        <v>789473.684210526</v>
      </c>
      <c r="CD43" s="194" t="n">
        <f aca="false">IF(AND(Projects!$C$37&lt;=CD$4,CD$4&lt;=Projects!$C$37+Projects!$D$37-1),Projects!$B$37/Projects!$D$37,"")</f>
        <v>789473.684210526</v>
      </c>
      <c r="CE43" s="194" t="n">
        <f aca="false">IF(AND(Projects!$C$37&lt;=CE$4,CE$4&lt;=Projects!$C$37+Projects!$D$37-1),Projects!$B$37/Projects!$D$37,"")</f>
        <v>789473.684210526</v>
      </c>
      <c r="CF43" s="194" t="n">
        <f aca="false">IF(AND(Projects!$C$37&lt;=CF$4,CF$4&lt;=Projects!$C$37+Projects!$D$37-1),Projects!$B$37/Projects!$D$37,"")</f>
        <v>789473.684210526</v>
      </c>
      <c r="CG43" s="194" t="n">
        <f aca="false">IF(AND(Projects!$C$37&lt;=CG$4,CG$4&lt;=Projects!$C$37+Projects!$D$37-1),Projects!$B$37/Projects!$D$37,"")</f>
        <v>789473.684210526</v>
      </c>
      <c r="CH43" s="194" t="n">
        <f aca="false">IF(AND(Projects!$C$37&lt;=CH$4,CH$4&lt;=Projects!$C$37+Projects!$D$37-1),Projects!$B$37/Projects!$D$37,"")</f>
        <v>789473.684210526</v>
      </c>
      <c r="CI43" s="194" t="n">
        <f aca="false">IF(AND(Projects!$C$37&lt;=CI$4,CI$4&lt;=Projects!$C$37+Projects!$D$37-1),Projects!$B$37/Projects!$D$37,"")</f>
        <v>789473.684210526</v>
      </c>
      <c r="CJ43" s="194" t="n">
        <f aca="false">IF(AND(Projects!$C$37&lt;=CJ$4,CJ$4&lt;=Projects!$C$37+Projects!$D$37-1),Projects!$B$37/Projects!$D$37,"")</f>
        <v>789473.684210526</v>
      </c>
      <c r="CK43" s="194" t="str">
        <f aca="false">IF(AND(Projects!$C$37&lt;=CK$4,CK$4&lt;=Projects!$C$37+Projects!$D$37-1),Projects!$B$37/Projects!$D$37,"")</f>
        <v/>
      </c>
      <c r="CL43" s="194" t="str">
        <f aca="false">IF(AND(Projects!$C$37&lt;=CL$4,CL$4&lt;=Projects!$C$37+Projects!$D$37-1),Projects!$B$37/Projects!$D$37,"")</f>
        <v/>
      </c>
      <c r="CM43" s="194" t="str">
        <f aca="false">IF(AND(Projects!$C$37&lt;=CM$4,CM$4&lt;=Projects!$C$37+Projects!$D$37-1),Projects!$B$37/Projects!$D$37,"")</f>
        <v/>
      </c>
      <c r="CN43" s="194" t="str">
        <f aca="false">IF(AND(Projects!$C$37&lt;=CN$4,CN$4&lt;=Projects!$C$37+Projects!$D$37-1),Projects!$B$37/Projects!$D$37,"")</f>
        <v/>
      </c>
      <c r="CO43" s="194" t="str">
        <f aca="false">IF(AND(Projects!$C$37&lt;=CO$4,CO$4&lt;=Projects!$C$37+Projects!$D$37-1),Projects!$B$37/Projects!$D$37,"")</f>
        <v/>
      </c>
      <c r="CP43" s="194" t="str">
        <f aca="false">IF(AND(Projects!$C$37&lt;=CP$4,CP$4&lt;=Projects!$C$37+Projects!$D$37-1),Projects!$B$37/Projects!$D$37,"")</f>
        <v/>
      </c>
      <c r="CQ43" s="194" t="str">
        <f aca="false">IF(AND(Projects!$C$37&lt;=CQ$4,CQ$4&lt;=Projects!$C$37+Projects!$D$37-1),Projects!$B$37/Projects!$D$37,"")</f>
        <v/>
      </c>
      <c r="CR43" s="194" t="str">
        <f aca="false">IF(AND(Projects!$C$37&lt;=CR$4,CR$4&lt;=Projects!$C$37+Projects!$D$37-1),Projects!$B$37/Projects!$D$37,"")</f>
        <v/>
      </c>
      <c r="CS43" s="194" t="str">
        <f aca="false">IF(AND(Projects!$C$37&lt;=CS$4,CS$4&lt;=Projects!$C$37+Projects!$D$37-1),Projects!$B$37/Projects!$D$37,"")</f>
        <v/>
      </c>
      <c r="CT43" s="194" t="str">
        <f aca="false">IF(AND(Projects!$C$37&lt;=CT$4,CT$4&lt;=Projects!$C$37+Projects!$D$37-1),Projects!$B$37/Projects!$D$37,"")</f>
        <v/>
      </c>
      <c r="CU43" s="194" t="str">
        <f aca="false">IF(AND(Projects!$C$37&lt;=CU$4,CU$4&lt;=Projects!$C$37+Projects!$D$37-1),Projects!$B$37/Projects!$D$37,"")</f>
        <v/>
      </c>
      <c r="CV43" s="194" t="str">
        <f aca="false">IF(AND(Projects!$C$37&lt;=CV$4,CV$4&lt;=Projects!$C$37+Projects!$D$37-1),Projects!$B$37/Projects!$D$37,"")</f>
        <v/>
      </c>
      <c r="CW43" s="194" t="str">
        <f aca="false">IF(AND(Projects!$C$37&lt;=CW$4,CW$4&lt;=Projects!$C$37+Projects!$D$37-1),Projects!$B$37/Projects!$D$37,"")</f>
        <v/>
      </c>
      <c r="CX43" s="194" t="str">
        <f aca="false">IF(AND(Projects!$C$37&lt;=CX$4,CX$4&lt;=Projects!$C$37+Projects!$D$37-1),Projects!$B$37/Projects!$D$37,"")</f>
        <v/>
      </c>
      <c r="CY43" s="194" t="str">
        <f aca="false">IF(AND(Projects!$C$37&lt;=CY$4,CY$4&lt;=Projects!$C$37+Projects!$D$37-1),Projects!$B$37/Projects!$D$37,"")</f>
        <v/>
      </c>
      <c r="CZ43" s="194" t="str">
        <f aca="false">IF(AND(Projects!$C$37&lt;=CZ$4,CZ$4&lt;=Projects!$C$37+Projects!$D$37-1),Projects!$B$37/Projects!$D$37,"")</f>
        <v/>
      </c>
      <c r="DA43" s="194" t="str">
        <f aca="false">IF(AND(Projects!$C$37&lt;=DA$4,DA$4&lt;=Projects!$C$37+Projects!$D$37-1),Projects!$B$37/Projects!$D$37,"")</f>
        <v/>
      </c>
      <c r="DB43" s="194" t="str">
        <f aca="false">IF(AND(Projects!$C$37&lt;=DB$4,DB$4&lt;=Projects!$C$37+Projects!$D$37-1),Projects!$B$37/Projects!$D$37,"")</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Projects!$B$38/Projects!$D$38</f>
        <v>789473.684210526</v>
      </c>
      <c r="G44" s="194" t="str">
        <f aca="false">IF(AND(Projects!$C$38&lt;=G$4,G$4&lt;=Projects!$C$38+Projects!$D$38-1),Projects!$B$38/Projects!$D$38,"")</f>
        <v/>
      </c>
      <c r="H44" s="194" t="str">
        <f aca="false">IF(AND(Projects!$C$38&lt;=H$4,H$4&lt;=Projects!$C$38+Projects!$D$38-1),Projects!$B$38/Projects!$D$38,"")</f>
        <v/>
      </c>
      <c r="I44" s="194" t="str">
        <f aca="false">IF(AND(Projects!$C$38&lt;=I$4,I$4&lt;=Projects!$C$38+Projects!$D$38-1),Projects!$B$38/Projects!$D$38,"")</f>
        <v/>
      </c>
      <c r="J44" s="194" t="str">
        <f aca="false">IF(AND(Projects!$C$38&lt;=J$4,J$4&lt;=Projects!$C$38+Projects!$D$38-1),Projects!$B$38/Projects!$D$38,"")</f>
        <v/>
      </c>
      <c r="K44" s="194" t="str">
        <f aca="false">IF(AND(Projects!$C$38&lt;=K$4,K$4&lt;=Projects!$C$38+Projects!$D$38-1),Projects!$B$38/Projects!$D$38,"")</f>
        <v/>
      </c>
      <c r="L44" s="194" t="str">
        <f aca="false">IF(AND(Projects!$C$38&lt;=L$4,L$4&lt;=Projects!$C$38+Projects!$D$38-1),Projects!$B$38/Projects!$D$38,"")</f>
        <v/>
      </c>
      <c r="M44" s="194" t="str">
        <f aca="false">IF(AND(Projects!$C$38&lt;=M$4,M$4&lt;=Projects!$C$38+Projects!$D$38-1),Projects!$B$38/Projects!$D$38,"")</f>
        <v/>
      </c>
      <c r="N44" s="194" t="str">
        <f aca="false">IF(AND(Projects!$C$38&lt;=N$4,N$4&lt;=Projects!$C$38+Projects!$D$38-1),Projects!$B$38/Projects!$D$38,"")</f>
        <v/>
      </c>
      <c r="O44" s="194" t="str">
        <f aca="false">IF(AND(Projects!$C$38&lt;=O$4,O$4&lt;=Projects!$C$38+Projects!$D$38-1),Projects!$B$38/Projects!$D$38,"")</f>
        <v/>
      </c>
      <c r="P44" s="194" t="str">
        <f aca="false">IF(AND(Projects!$C$38&lt;=P$4,P$4&lt;=Projects!$C$38+Projects!$D$38-1),Projects!$B$38/Projects!$D$38,"")</f>
        <v/>
      </c>
      <c r="Q44" s="194" t="str">
        <f aca="false">IF(AND(Projects!$C$38&lt;=Q$4,Q$4&lt;=Projects!$C$38+Projects!$D$38-1),Projects!$B$38/Projects!$D$38,"")</f>
        <v/>
      </c>
      <c r="R44" s="194" t="str">
        <f aca="false">IF(AND(Projects!$C$38&lt;=R$4,R$4&lt;=Projects!$C$38+Projects!$D$38-1),Projects!$B$38/Projects!$D$38,"")</f>
        <v/>
      </c>
      <c r="S44" s="194" t="str">
        <f aca="false">IF(AND(Projects!$C$38&lt;=S$4,S$4&lt;=Projects!$C$38+Projects!$D$38-1),Projects!$B$38/Projects!$D$38,"")</f>
        <v/>
      </c>
      <c r="T44" s="194" t="str">
        <f aca="false">IF(AND(Projects!$C$38&lt;=T$4,T$4&lt;=Projects!$C$38+Projects!$D$38-1),Projects!$B$38/Projects!$D$38,"")</f>
        <v/>
      </c>
      <c r="U44" s="194" t="str">
        <f aca="false">IF(AND(Projects!$C$38&lt;=U$4,U$4&lt;=Projects!$C$38+Projects!$D$38-1),Projects!$B$38/Projects!$D$38,"")</f>
        <v/>
      </c>
      <c r="V44" s="194" t="str">
        <f aca="false">IF(AND(Projects!$C$38&lt;=V$4,V$4&lt;=Projects!$C$38+Projects!$D$38-1),Projects!$B$38/Projects!$D$38,"")</f>
        <v/>
      </c>
      <c r="W44" s="194" t="str">
        <f aca="false">IF(AND(Projects!$C$38&lt;=W$4,W$4&lt;=Projects!$C$38+Projects!$D$38-1),Projects!$B$38/Projects!$D$38,"")</f>
        <v/>
      </c>
      <c r="X44" s="194" t="str">
        <f aca="false">IF(AND(Projects!$C$38&lt;=X$4,X$4&lt;=Projects!$C$38+Projects!$D$38-1),Projects!$B$38/Projects!$D$38,"")</f>
        <v/>
      </c>
      <c r="Y44" s="194" t="str">
        <f aca="false">IF(AND(Projects!$C$38&lt;=Y$4,Y$4&lt;=Projects!$C$38+Projects!$D$38-1),Projects!$B$38/Projects!$D$38,"")</f>
        <v/>
      </c>
      <c r="Z44" s="194" t="str">
        <f aca="false">IF(AND(Projects!$C$38&lt;=Z$4,Z$4&lt;=Projects!$C$38+Projects!$D$38-1),Projects!$B$38/Projects!$D$38,"")</f>
        <v/>
      </c>
      <c r="AA44" s="194" t="str">
        <f aca="false">IF(AND(Projects!$C$38&lt;=AA$4,AA$4&lt;=Projects!$C$38+Projects!$D$38-1),Projects!$B$38/Projects!$D$38,"")</f>
        <v/>
      </c>
      <c r="AB44" s="194" t="str">
        <f aca="false">IF(AND(Projects!$C$38&lt;=AB$4,AB$4&lt;=Projects!$C$38+Projects!$D$38-1),Projects!$B$38/Projects!$D$38,"")</f>
        <v/>
      </c>
      <c r="AC44" s="194" t="str">
        <f aca="false">IF(AND(Projects!$C$38&lt;=AC$4,AC$4&lt;=Projects!$C$38+Projects!$D$38-1),Projects!$B$38/Projects!$D$38,"")</f>
        <v/>
      </c>
      <c r="AD44" s="194" t="str">
        <f aca="false">IF(AND(Projects!$C$38&lt;=AD$4,AD$4&lt;=Projects!$C$38+Projects!$D$38-1),Projects!$B$38/Projects!$D$38,"")</f>
        <v/>
      </c>
      <c r="AE44" s="194" t="str">
        <f aca="false">IF(AND(Projects!$C$38&lt;=AE$4,AE$4&lt;=Projects!$C$38+Projects!$D$38-1),Projects!$B$38/Projects!$D$38,"")</f>
        <v/>
      </c>
      <c r="AF44" s="194" t="str">
        <f aca="false">IF(AND(Projects!$C$38&lt;=AF$4,AF$4&lt;=Projects!$C$38+Projects!$D$38-1),Projects!$B$38/Projects!$D$38,"")</f>
        <v/>
      </c>
      <c r="AG44" s="194" t="str">
        <f aca="false">IF(AND(Projects!$C$38&lt;=AG$4,AG$4&lt;=Projects!$C$38+Projects!$D$38-1),Projects!$B$38/Projects!$D$38,"")</f>
        <v/>
      </c>
      <c r="AH44" s="194" t="str">
        <f aca="false">IF(AND(Projects!$C$38&lt;=AH$4,AH$4&lt;=Projects!$C$38+Projects!$D$38-1),Projects!$B$38/Projects!$D$38,"")</f>
        <v/>
      </c>
      <c r="AI44" s="194" t="str">
        <f aca="false">IF(AND(Projects!$C$38&lt;=AI$4,AI$4&lt;=Projects!$C$38+Projects!$D$38-1),Projects!$B$38/Projects!$D$38,"")</f>
        <v/>
      </c>
      <c r="AJ44" s="194" t="str">
        <f aca="false">IF(AND(Projects!$C$38&lt;=AJ$4,AJ$4&lt;=Projects!$C$38+Projects!$D$38-1),Projects!$B$38/Projects!$D$38,"")</f>
        <v/>
      </c>
      <c r="AK44" s="194" t="str">
        <f aca="false">IF(AND(Projects!$C$38&lt;=AK$4,AK$4&lt;=Projects!$C$38+Projects!$D$38-1),Projects!$B$38/Projects!$D$38,"")</f>
        <v/>
      </c>
      <c r="AL44" s="194" t="str">
        <f aca="false">IF(AND(Projects!$C$38&lt;=AL$4,AL$4&lt;=Projects!$C$38+Projects!$D$38-1),Projects!$B$38/Projects!$D$38,"")</f>
        <v/>
      </c>
      <c r="AM44" s="194" t="str">
        <f aca="false">IF(AND(Projects!$C$38&lt;=AM$4,AM$4&lt;=Projects!$C$38+Projects!$D$38-1),Projects!$B$38/Projects!$D$38,"")</f>
        <v/>
      </c>
      <c r="AN44" s="194" t="str">
        <f aca="false">IF(AND(Projects!$C$38&lt;=AN$4,AN$4&lt;=Projects!$C$38+Projects!$D$38-1),Projects!$B$38/Projects!$D$38,"")</f>
        <v/>
      </c>
      <c r="AO44" s="194" t="str">
        <f aca="false">IF(AND(Projects!$C$38&lt;=AO$4,AO$4&lt;=Projects!$C$38+Projects!$D$38-1),Projects!$B$38/Projects!$D$38,"")</f>
        <v/>
      </c>
      <c r="AP44" s="194" t="str">
        <f aca="false">IF(AND(Projects!$C$38&lt;=AP$4,AP$4&lt;=Projects!$C$38+Projects!$D$38-1),Projects!$B$38/Projects!$D$38,"")</f>
        <v/>
      </c>
      <c r="AQ44" s="194" t="str">
        <f aca="false">IF(AND(Projects!$C$38&lt;=AQ$4,AQ$4&lt;=Projects!$C$38+Projects!$D$38-1),Projects!$B$38/Projects!$D$38,"")</f>
        <v/>
      </c>
      <c r="AR44" s="194" t="str">
        <f aca="false">IF(AND(Projects!$C$38&lt;=AR$4,AR$4&lt;=Projects!$C$38+Projects!$D$38-1),Projects!$B$38/Projects!$D$38,"")</f>
        <v/>
      </c>
      <c r="AS44" s="194" t="str">
        <f aca="false">IF(AND(Projects!$C$38&lt;=AS$4,AS$4&lt;=Projects!$C$38+Projects!$D$38-1),Projects!$B$38/Projects!$D$38,"")</f>
        <v/>
      </c>
      <c r="AT44" s="194" t="str">
        <f aca="false">IF(AND(Projects!$C$38&lt;=AT$4,AT$4&lt;=Projects!$C$38+Projects!$D$38-1),Projects!$B$38/Projects!$D$38,"")</f>
        <v/>
      </c>
      <c r="AU44" s="194" t="str">
        <f aca="false">IF(AND(Projects!$C$38&lt;=AU$4,AU$4&lt;=Projects!$C$38+Projects!$D$38-1),Projects!$B$38/Projects!$D$38,"")</f>
        <v/>
      </c>
      <c r="AV44" s="194" t="str">
        <f aca="false">IF(AND(Projects!$C$38&lt;=AV$4,AV$4&lt;=Projects!$C$38+Projects!$D$38-1),Projects!$B$38/Projects!$D$38,"")</f>
        <v/>
      </c>
      <c r="AW44" s="194" t="str">
        <f aca="false">IF(AND(Projects!$C$38&lt;=AW$4,AW$4&lt;=Projects!$C$38+Projects!$D$38-1),Projects!$B$38/Projects!$D$38,"")</f>
        <v/>
      </c>
      <c r="AX44" s="194" t="str">
        <f aca="false">IF(AND(Projects!$C$38&lt;=AX$4,AX$4&lt;=Projects!$C$38+Projects!$D$38-1),Projects!$B$38/Projects!$D$38,"")</f>
        <v/>
      </c>
      <c r="AY44" s="194" t="str">
        <f aca="false">IF(AND(Projects!$C$38&lt;=AY$4,AY$4&lt;=Projects!$C$38+Projects!$D$38-1),Projects!$B$38/Projects!$D$38,"")</f>
        <v/>
      </c>
      <c r="AZ44" s="194" t="str">
        <f aca="false">IF(AND(Projects!$C$38&lt;=AZ$4,AZ$4&lt;=Projects!$C$38+Projects!$D$38-1),Projects!$B$38/Projects!$D$38,"")</f>
        <v/>
      </c>
      <c r="BA44" s="194" t="str">
        <f aca="false">IF(AND(Projects!$C$38&lt;=BA$4,BA$4&lt;=Projects!$C$38+Projects!$D$38-1),Projects!$B$38/Projects!$D$38,"")</f>
        <v/>
      </c>
      <c r="BB44" s="194" t="str">
        <f aca="false">IF(AND(Projects!$C$38&lt;=BB$4,BB$4&lt;=Projects!$C$38+Projects!$D$38-1),Projects!$B$38/Projects!$D$38,"")</f>
        <v/>
      </c>
      <c r="BC44" s="194" t="str">
        <f aca="false">IF(AND(Projects!$C$38&lt;=BC$4,BC$4&lt;=Projects!$C$38+Projects!$D$38-1),Projects!$B$38/Projects!$D$38,"")</f>
        <v/>
      </c>
      <c r="BD44" s="194" t="str">
        <f aca="false">IF(AND(Projects!$C$38&lt;=BD$4,BD$4&lt;=Projects!$C$38+Projects!$D$38-1),Projects!$B$38/Projects!$D$38,"")</f>
        <v/>
      </c>
      <c r="BE44" s="194" t="str">
        <f aca="false">IF(AND(Projects!$C$38&lt;=BE$4,BE$4&lt;=Projects!$C$38+Projects!$D$38-1),Projects!$B$38/Projects!$D$38,"")</f>
        <v/>
      </c>
      <c r="BF44" s="194" t="str">
        <f aca="false">IF(AND(Projects!$C$38&lt;=BF$4,BF$4&lt;=Projects!$C$38+Projects!$D$38-1),Projects!$B$38/Projects!$D$38,"")</f>
        <v/>
      </c>
      <c r="BG44" s="194" t="str">
        <f aca="false">IF(AND(Projects!$C$38&lt;=BG$4,BG$4&lt;=Projects!$C$38+Projects!$D$38-1),Projects!$B$38/Projects!$D$38,"")</f>
        <v/>
      </c>
      <c r="BH44" s="194" t="str">
        <f aca="false">IF(AND(Projects!$C$38&lt;=BH$4,BH$4&lt;=Projects!$C$38+Projects!$D$38-1),Projects!$B$38/Projects!$D$38,"")</f>
        <v/>
      </c>
      <c r="BI44" s="194" t="str">
        <f aca="false">IF(AND(Projects!$C$38&lt;=BI$4,BI$4&lt;=Projects!$C$38+Projects!$D$38-1),Projects!$B$38/Projects!$D$38,"")</f>
        <v/>
      </c>
      <c r="BJ44" s="194" t="str">
        <f aca="false">IF(AND(Projects!$C$38&lt;=BJ$4,BJ$4&lt;=Projects!$C$38+Projects!$D$38-1),Projects!$B$38/Projects!$D$38,"")</f>
        <v/>
      </c>
      <c r="BK44" s="194" t="str">
        <f aca="false">IF(AND(Projects!$C$38&lt;=BK$4,BK$4&lt;=Projects!$C$38+Projects!$D$38-1),Projects!$B$38/Projects!$D$38,"")</f>
        <v/>
      </c>
      <c r="BL44" s="194" t="str">
        <f aca="false">IF(AND(Projects!$C$38&lt;=BL$4,BL$4&lt;=Projects!$C$38+Projects!$D$38-1),Projects!$B$38/Projects!$D$38,"")</f>
        <v/>
      </c>
      <c r="BM44" s="194" t="str">
        <f aca="false">IF(AND(Projects!$C$38&lt;=BM$4,BM$4&lt;=Projects!$C$38+Projects!$D$38-1),Projects!$B$38/Projects!$D$38,"")</f>
        <v/>
      </c>
      <c r="BN44" s="194" t="str">
        <f aca="false">IF(AND(Projects!$C$38&lt;=BN$4,BN$4&lt;=Projects!$C$38+Projects!$D$38-1),Projects!$B$38/Projects!$D$38,"")</f>
        <v/>
      </c>
      <c r="BO44" s="194" t="str">
        <f aca="false">IF(AND(Projects!$C$38&lt;=BO$4,BO$4&lt;=Projects!$C$38+Projects!$D$38-1),Projects!$B$38/Projects!$D$38,"")</f>
        <v/>
      </c>
      <c r="BP44" s="194" t="str">
        <f aca="false">IF(AND(Projects!$C$38&lt;=BP$4,BP$4&lt;=Projects!$C$38+Projects!$D$38-1),Projects!$B$38/Projects!$D$38,"")</f>
        <v/>
      </c>
      <c r="BQ44" s="194" t="str">
        <f aca="false">IF(AND(Projects!$C$38&lt;=BQ$4,BQ$4&lt;=Projects!$C$38+Projects!$D$38-1),Projects!$B$38/Projects!$D$38,"")</f>
        <v/>
      </c>
      <c r="BR44" s="194" t="str">
        <f aca="false">IF(AND(Projects!$C$38&lt;=BR$4,BR$4&lt;=Projects!$C$38+Projects!$D$38-1),Projects!$B$38/Projects!$D$38,"")</f>
        <v/>
      </c>
      <c r="BS44" s="194" t="str">
        <f aca="false">IF(AND(Projects!$C$38&lt;=BS$4,BS$4&lt;=Projects!$C$38+Projects!$D$38-1),Projects!$B$38/Projects!$D$38,"")</f>
        <v/>
      </c>
      <c r="BT44" s="194" t="n">
        <f aca="false">IF(AND(Projects!$C$38&lt;=BT$4,BT$4&lt;=Projects!$C$38+Projects!$D$38-1),Projects!$B$38/Projects!$D$38,"")</f>
        <v>789473.684210526</v>
      </c>
      <c r="BU44" s="194" t="n">
        <f aca="false">IF(AND(Projects!$C$38&lt;=BU$4,BU$4&lt;=Projects!$C$38+Projects!$D$38-1),Projects!$B$38/Projects!$D$38,"")</f>
        <v>789473.684210526</v>
      </c>
      <c r="BV44" s="194" t="n">
        <f aca="false">IF(AND(Projects!$C$38&lt;=BV$4,BV$4&lt;=Projects!$C$38+Projects!$D$38-1),Projects!$B$38/Projects!$D$38,"")</f>
        <v>789473.684210526</v>
      </c>
      <c r="BW44" s="194" t="n">
        <f aca="false">IF(AND(Projects!$C$38&lt;=BW$4,BW$4&lt;=Projects!$C$38+Projects!$D$38-1),Projects!$B$38/Projects!$D$38,"")</f>
        <v>789473.684210526</v>
      </c>
      <c r="BX44" s="194" t="n">
        <f aca="false">IF(AND(Projects!$C$38&lt;=BX$4,BX$4&lt;=Projects!$C$38+Projects!$D$38-1),Projects!$B$38/Projects!$D$38,"")</f>
        <v>789473.684210526</v>
      </c>
      <c r="BY44" s="194" t="n">
        <f aca="false">IF(AND(Projects!$C$38&lt;=BY$4,BY$4&lt;=Projects!$C$38+Projects!$D$38-1),Projects!$B$38/Projects!$D$38,"")</f>
        <v>789473.684210526</v>
      </c>
      <c r="BZ44" s="194" t="n">
        <f aca="false">IF(AND(Projects!$C$38&lt;=BZ$4,BZ$4&lt;=Projects!$C$38+Projects!$D$38-1),Projects!$B$38/Projects!$D$38,"")</f>
        <v>789473.684210526</v>
      </c>
      <c r="CA44" s="194" t="n">
        <f aca="false">IF(AND(Projects!$C$38&lt;=CA$4,CA$4&lt;=Projects!$C$38+Projects!$D$38-1),Projects!$B$38/Projects!$D$38,"")</f>
        <v>789473.684210526</v>
      </c>
      <c r="CB44" s="194" t="n">
        <f aca="false">IF(AND(Projects!$C$38&lt;=CB$4,CB$4&lt;=Projects!$C$38+Projects!$D$38-1),Projects!$B$38/Projects!$D$38,"")</f>
        <v>789473.684210526</v>
      </c>
      <c r="CC44" s="194" t="n">
        <f aca="false">IF(AND(Projects!$C$38&lt;=CC$4,CC$4&lt;=Projects!$C$38+Projects!$D$38-1),Projects!$B$38/Projects!$D$38,"")</f>
        <v>789473.684210526</v>
      </c>
      <c r="CD44" s="194" t="n">
        <f aca="false">IF(AND(Projects!$C$38&lt;=CD$4,CD$4&lt;=Projects!$C$38+Projects!$D$38-1),Projects!$B$38/Projects!$D$38,"")</f>
        <v>789473.684210526</v>
      </c>
      <c r="CE44" s="194" t="n">
        <f aca="false">IF(AND(Projects!$C$38&lt;=CE$4,CE$4&lt;=Projects!$C$38+Projects!$D$38-1),Projects!$B$38/Projects!$D$38,"")</f>
        <v>789473.684210526</v>
      </c>
      <c r="CF44" s="194" t="n">
        <f aca="false">IF(AND(Projects!$C$38&lt;=CF$4,CF$4&lt;=Projects!$C$38+Projects!$D$38-1),Projects!$B$38/Projects!$D$38,"")</f>
        <v>789473.684210526</v>
      </c>
      <c r="CG44" s="194" t="n">
        <f aca="false">IF(AND(Projects!$C$38&lt;=CG$4,CG$4&lt;=Projects!$C$38+Projects!$D$38-1),Projects!$B$38/Projects!$D$38,"")</f>
        <v>789473.684210526</v>
      </c>
      <c r="CH44" s="194" t="n">
        <f aca="false">IF(AND(Projects!$C$38&lt;=CH$4,CH$4&lt;=Projects!$C$38+Projects!$D$38-1),Projects!$B$38/Projects!$D$38,"")</f>
        <v>789473.684210526</v>
      </c>
      <c r="CI44" s="194" t="n">
        <f aca="false">IF(AND(Projects!$C$38&lt;=CI$4,CI$4&lt;=Projects!$C$38+Projects!$D$38-1),Projects!$B$38/Projects!$D$38,"")</f>
        <v>789473.684210526</v>
      </c>
      <c r="CJ44" s="194" t="n">
        <f aca="false">IF(AND(Projects!$C$38&lt;=CJ$4,CJ$4&lt;=Projects!$C$38+Projects!$D$38-1),Projects!$B$38/Projects!$D$38,"")</f>
        <v>789473.684210526</v>
      </c>
      <c r="CK44" s="194" t="n">
        <f aca="false">IF(AND(Projects!$C$38&lt;=CK$4,CK$4&lt;=Projects!$C$38+Projects!$D$38-1),Projects!$B$38/Projects!$D$38,"")</f>
        <v>789473.684210526</v>
      </c>
      <c r="CL44" s="194" t="n">
        <f aca="false">IF(AND(Projects!$C$38&lt;=CL$4,CL$4&lt;=Projects!$C$38+Projects!$D$38-1),Projects!$B$38/Projects!$D$38,"")</f>
        <v>789473.684210526</v>
      </c>
      <c r="CM44" s="194" t="str">
        <f aca="false">IF(AND(Projects!$C$38&lt;=CM$4,CM$4&lt;=Projects!$C$38+Projects!$D$38-1),Projects!$B$38/Projects!$D$38,"")</f>
        <v/>
      </c>
      <c r="CN44" s="194" t="str">
        <f aca="false">IF(AND(Projects!$C$38&lt;=CN$4,CN$4&lt;=Projects!$C$38+Projects!$D$38-1),Projects!$B$38/Projects!$D$38,"")</f>
        <v/>
      </c>
      <c r="CO44" s="194" t="str">
        <f aca="false">IF(AND(Projects!$C$38&lt;=CO$4,CO$4&lt;=Projects!$C$38+Projects!$D$38-1),Projects!$B$38/Projects!$D$38,"")</f>
        <v/>
      </c>
      <c r="CP44" s="194" t="str">
        <f aca="false">IF(AND(Projects!$C$38&lt;=CP$4,CP$4&lt;=Projects!$C$38+Projects!$D$38-1),Projects!$B$38/Projects!$D$38,"")</f>
        <v/>
      </c>
      <c r="CQ44" s="194" t="str">
        <f aca="false">IF(AND(Projects!$C$38&lt;=CQ$4,CQ$4&lt;=Projects!$C$38+Projects!$D$38-1),Projects!$B$38/Projects!$D$38,"")</f>
        <v/>
      </c>
      <c r="CR44" s="194" t="str">
        <f aca="false">IF(AND(Projects!$C$38&lt;=CR$4,CR$4&lt;=Projects!$C$38+Projects!$D$38-1),Projects!$B$38/Projects!$D$38,"")</f>
        <v/>
      </c>
      <c r="CS44" s="194" t="str">
        <f aca="false">IF(AND(Projects!$C$38&lt;=CS$4,CS$4&lt;=Projects!$C$38+Projects!$D$38-1),Projects!$B$38/Projects!$D$38,"")</f>
        <v/>
      </c>
      <c r="CT44" s="194" t="str">
        <f aca="false">IF(AND(Projects!$C$38&lt;=CT$4,CT$4&lt;=Projects!$C$38+Projects!$D$38-1),Projects!$B$38/Projects!$D$38,"")</f>
        <v/>
      </c>
      <c r="CU44" s="194" t="str">
        <f aca="false">IF(AND(Projects!$C$38&lt;=CU$4,CU$4&lt;=Projects!$C$38+Projects!$D$38-1),Projects!$B$38/Projects!$D$38,"")</f>
        <v/>
      </c>
      <c r="CV44" s="194" t="str">
        <f aca="false">IF(AND(Projects!$C$38&lt;=CV$4,CV$4&lt;=Projects!$C$38+Projects!$D$38-1),Projects!$B$38/Projects!$D$38,"")</f>
        <v/>
      </c>
      <c r="CW44" s="194" t="str">
        <f aca="false">IF(AND(Projects!$C$38&lt;=CW$4,CW$4&lt;=Projects!$C$38+Projects!$D$38-1),Projects!$B$38/Projects!$D$38,"")</f>
        <v/>
      </c>
      <c r="CX44" s="194" t="str">
        <f aca="false">IF(AND(Projects!$C$38&lt;=CX$4,CX$4&lt;=Projects!$C$38+Projects!$D$38-1),Projects!$B$38/Projects!$D$38,"")</f>
        <v/>
      </c>
      <c r="CY44" s="194" t="str">
        <f aca="false">IF(AND(Projects!$C$38&lt;=CY$4,CY$4&lt;=Projects!$C$38+Projects!$D$38-1),Projects!$B$38/Projects!$D$38,"")</f>
        <v/>
      </c>
      <c r="CZ44" s="194" t="str">
        <f aca="false">IF(AND(Projects!$C$38&lt;=CZ$4,CZ$4&lt;=Projects!$C$38+Projects!$D$38-1),Projects!$B$38/Projects!$D$38,"")</f>
        <v/>
      </c>
      <c r="DA44" s="194" t="str">
        <f aca="false">IF(AND(Projects!$C$38&lt;=DA$4,DA$4&lt;=Projects!$C$38+Projects!$D$38-1),Projects!$B$38/Projects!$D$38,"")</f>
        <v/>
      </c>
      <c r="DB44" s="194" t="str">
        <f aca="false">IF(AND(Projects!$C$38&lt;=DB$4,DB$4&lt;=Projects!$C$38+Projects!$D$38-1),Projects!$B$38/Projects!$D$38,"")</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Projects!$B$39/Projects!$D$39</f>
        <v>947368.421052632</v>
      </c>
      <c r="G45" s="194" t="str">
        <f aca="false">IF(AND(Projects!$C$39&lt;=G$4,G$4&lt;=Projects!$C$39+Projects!$D$39-1),Projects!$B$39/Projects!$D$39,"")</f>
        <v/>
      </c>
      <c r="H45" s="194" t="str">
        <f aca="false">IF(AND(Projects!$C$39&lt;=H$4,H$4&lt;=Projects!$C$39+Projects!$D$39-1),Projects!$B$39/Projects!$D$39,"")</f>
        <v/>
      </c>
      <c r="I45" s="194" t="str">
        <f aca="false">IF(AND(Projects!$C$39&lt;=I$4,I$4&lt;=Projects!$C$39+Projects!$D$39-1),Projects!$B$39/Projects!$D$39,"")</f>
        <v/>
      </c>
      <c r="J45" s="194" t="str">
        <f aca="false">IF(AND(Projects!$C$39&lt;=J$4,J$4&lt;=Projects!$C$39+Projects!$D$39-1),Projects!$B$39/Projects!$D$39,"")</f>
        <v/>
      </c>
      <c r="K45" s="194" t="str">
        <f aca="false">IF(AND(Projects!$C$39&lt;=K$4,K$4&lt;=Projects!$C$39+Projects!$D$39-1),Projects!$B$39/Projects!$D$39,"")</f>
        <v/>
      </c>
      <c r="L45" s="194" t="str">
        <f aca="false">IF(AND(Projects!$C$39&lt;=L$4,L$4&lt;=Projects!$C$39+Projects!$D$39-1),Projects!$B$39/Projects!$D$39,"")</f>
        <v/>
      </c>
      <c r="M45" s="194" t="str">
        <f aca="false">IF(AND(Projects!$C$39&lt;=M$4,M$4&lt;=Projects!$C$39+Projects!$D$39-1),Projects!$B$39/Projects!$D$39,"")</f>
        <v/>
      </c>
      <c r="N45" s="194" t="str">
        <f aca="false">IF(AND(Projects!$C$39&lt;=N$4,N$4&lt;=Projects!$C$39+Projects!$D$39-1),Projects!$B$39/Projects!$D$39,"")</f>
        <v/>
      </c>
      <c r="O45" s="194" t="str">
        <f aca="false">IF(AND(Projects!$C$39&lt;=O$4,O$4&lt;=Projects!$C$39+Projects!$D$39-1),Projects!$B$39/Projects!$D$39,"")</f>
        <v/>
      </c>
      <c r="P45" s="194" t="str">
        <f aca="false">IF(AND(Projects!$C$39&lt;=P$4,P$4&lt;=Projects!$C$39+Projects!$D$39-1),Projects!$B$39/Projects!$D$39,"")</f>
        <v/>
      </c>
      <c r="Q45" s="194" t="str">
        <f aca="false">IF(AND(Projects!$C$39&lt;=Q$4,Q$4&lt;=Projects!$C$39+Projects!$D$39-1),Projects!$B$39/Projects!$D$39,"")</f>
        <v/>
      </c>
      <c r="R45" s="194" t="str">
        <f aca="false">IF(AND(Projects!$C$39&lt;=R$4,R$4&lt;=Projects!$C$39+Projects!$D$39-1),Projects!$B$39/Projects!$D$39,"")</f>
        <v/>
      </c>
      <c r="S45" s="194" t="str">
        <f aca="false">IF(AND(Projects!$C$39&lt;=S$4,S$4&lt;=Projects!$C$39+Projects!$D$39-1),Projects!$B$39/Projects!$D$39,"")</f>
        <v/>
      </c>
      <c r="T45" s="194" t="str">
        <f aca="false">IF(AND(Projects!$C$39&lt;=T$4,T$4&lt;=Projects!$C$39+Projects!$D$39-1),Projects!$B$39/Projects!$D$39,"")</f>
        <v/>
      </c>
      <c r="U45" s="194" t="str">
        <f aca="false">IF(AND(Projects!$C$39&lt;=U$4,U$4&lt;=Projects!$C$39+Projects!$D$39-1),Projects!$B$39/Projects!$D$39,"")</f>
        <v/>
      </c>
      <c r="V45" s="194" t="str">
        <f aca="false">IF(AND(Projects!$C$39&lt;=V$4,V$4&lt;=Projects!$C$39+Projects!$D$39-1),Projects!$B$39/Projects!$D$39,"")</f>
        <v/>
      </c>
      <c r="W45" s="194" t="str">
        <f aca="false">IF(AND(Projects!$C$39&lt;=W$4,W$4&lt;=Projects!$C$39+Projects!$D$39-1),Projects!$B$39/Projects!$D$39,"")</f>
        <v/>
      </c>
      <c r="X45" s="194" t="str">
        <f aca="false">IF(AND(Projects!$C$39&lt;=X$4,X$4&lt;=Projects!$C$39+Projects!$D$39-1),Projects!$B$39/Projects!$D$39,"")</f>
        <v/>
      </c>
      <c r="Y45" s="194" t="str">
        <f aca="false">IF(AND(Projects!$C$39&lt;=Y$4,Y$4&lt;=Projects!$C$39+Projects!$D$39-1),Projects!$B$39/Projects!$D$39,"")</f>
        <v/>
      </c>
      <c r="Z45" s="194" t="str">
        <f aca="false">IF(AND(Projects!$C$39&lt;=Z$4,Z$4&lt;=Projects!$C$39+Projects!$D$39-1),Projects!$B$39/Projects!$D$39,"")</f>
        <v/>
      </c>
      <c r="AA45" s="194" t="str">
        <f aca="false">IF(AND(Projects!$C$39&lt;=AA$4,AA$4&lt;=Projects!$C$39+Projects!$D$39-1),Projects!$B$39/Projects!$D$39,"")</f>
        <v/>
      </c>
      <c r="AB45" s="194" t="str">
        <f aca="false">IF(AND(Projects!$C$39&lt;=AB$4,AB$4&lt;=Projects!$C$39+Projects!$D$39-1),Projects!$B$39/Projects!$D$39,"")</f>
        <v/>
      </c>
      <c r="AC45" s="194" t="str">
        <f aca="false">IF(AND(Projects!$C$39&lt;=AC$4,AC$4&lt;=Projects!$C$39+Projects!$D$39-1),Projects!$B$39/Projects!$D$39,"")</f>
        <v/>
      </c>
      <c r="AD45" s="194" t="str">
        <f aca="false">IF(AND(Projects!$C$39&lt;=AD$4,AD$4&lt;=Projects!$C$39+Projects!$D$39-1),Projects!$B$39/Projects!$D$39,"")</f>
        <v/>
      </c>
      <c r="AE45" s="194" t="str">
        <f aca="false">IF(AND(Projects!$C$39&lt;=AE$4,AE$4&lt;=Projects!$C$39+Projects!$D$39-1),Projects!$B$39/Projects!$D$39,"")</f>
        <v/>
      </c>
      <c r="AF45" s="194" t="str">
        <f aca="false">IF(AND(Projects!$C$39&lt;=AF$4,AF$4&lt;=Projects!$C$39+Projects!$D$39-1),Projects!$B$39/Projects!$D$39,"")</f>
        <v/>
      </c>
      <c r="AG45" s="194" t="str">
        <f aca="false">IF(AND(Projects!$C$39&lt;=AG$4,AG$4&lt;=Projects!$C$39+Projects!$D$39-1),Projects!$B$39/Projects!$D$39,"")</f>
        <v/>
      </c>
      <c r="AH45" s="194" t="str">
        <f aca="false">IF(AND(Projects!$C$39&lt;=AH$4,AH$4&lt;=Projects!$C$39+Projects!$D$39-1),Projects!$B$39/Projects!$D$39,"")</f>
        <v/>
      </c>
      <c r="AI45" s="194" t="str">
        <f aca="false">IF(AND(Projects!$C$39&lt;=AI$4,AI$4&lt;=Projects!$C$39+Projects!$D$39-1),Projects!$B$39/Projects!$D$39,"")</f>
        <v/>
      </c>
      <c r="AJ45" s="194" t="str">
        <f aca="false">IF(AND(Projects!$C$39&lt;=AJ$4,AJ$4&lt;=Projects!$C$39+Projects!$D$39-1),Projects!$B$39/Projects!$D$39,"")</f>
        <v/>
      </c>
      <c r="AK45" s="194" t="str">
        <f aca="false">IF(AND(Projects!$C$39&lt;=AK$4,AK$4&lt;=Projects!$C$39+Projects!$D$39-1),Projects!$B$39/Projects!$D$39,"")</f>
        <v/>
      </c>
      <c r="AL45" s="194" t="str">
        <f aca="false">IF(AND(Projects!$C$39&lt;=AL$4,AL$4&lt;=Projects!$C$39+Projects!$D$39-1),Projects!$B$39/Projects!$D$39,"")</f>
        <v/>
      </c>
      <c r="AM45" s="194" t="str">
        <f aca="false">IF(AND(Projects!$C$39&lt;=AM$4,AM$4&lt;=Projects!$C$39+Projects!$D$39-1),Projects!$B$39/Projects!$D$39,"")</f>
        <v/>
      </c>
      <c r="AN45" s="194" t="str">
        <f aca="false">IF(AND(Projects!$C$39&lt;=AN$4,AN$4&lt;=Projects!$C$39+Projects!$D$39-1),Projects!$B$39/Projects!$D$39,"")</f>
        <v/>
      </c>
      <c r="AO45" s="194" t="str">
        <f aca="false">IF(AND(Projects!$C$39&lt;=AO$4,AO$4&lt;=Projects!$C$39+Projects!$D$39-1),Projects!$B$39/Projects!$D$39,"")</f>
        <v/>
      </c>
      <c r="AP45" s="194" t="str">
        <f aca="false">IF(AND(Projects!$C$39&lt;=AP$4,AP$4&lt;=Projects!$C$39+Projects!$D$39-1),Projects!$B$39/Projects!$D$39,"")</f>
        <v/>
      </c>
      <c r="AQ45" s="194" t="str">
        <f aca="false">IF(AND(Projects!$C$39&lt;=AQ$4,AQ$4&lt;=Projects!$C$39+Projects!$D$39-1),Projects!$B$39/Projects!$D$39,"")</f>
        <v/>
      </c>
      <c r="AR45" s="194" t="str">
        <f aca="false">IF(AND(Projects!$C$39&lt;=AR$4,AR$4&lt;=Projects!$C$39+Projects!$D$39-1),Projects!$B$39/Projects!$D$39,"")</f>
        <v/>
      </c>
      <c r="AS45" s="194" t="str">
        <f aca="false">IF(AND(Projects!$C$39&lt;=AS$4,AS$4&lt;=Projects!$C$39+Projects!$D$39-1),Projects!$B$39/Projects!$D$39,"")</f>
        <v/>
      </c>
      <c r="AT45" s="194" t="str">
        <f aca="false">IF(AND(Projects!$C$39&lt;=AT$4,AT$4&lt;=Projects!$C$39+Projects!$D$39-1),Projects!$B$39/Projects!$D$39,"")</f>
        <v/>
      </c>
      <c r="AU45" s="194" t="str">
        <f aca="false">IF(AND(Projects!$C$39&lt;=AU$4,AU$4&lt;=Projects!$C$39+Projects!$D$39-1),Projects!$B$39/Projects!$D$39,"")</f>
        <v/>
      </c>
      <c r="AV45" s="194" t="str">
        <f aca="false">IF(AND(Projects!$C$39&lt;=AV$4,AV$4&lt;=Projects!$C$39+Projects!$D$39-1),Projects!$B$39/Projects!$D$39,"")</f>
        <v/>
      </c>
      <c r="AW45" s="194" t="str">
        <f aca="false">IF(AND(Projects!$C$39&lt;=AW$4,AW$4&lt;=Projects!$C$39+Projects!$D$39-1),Projects!$B$39/Projects!$D$39,"")</f>
        <v/>
      </c>
      <c r="AX45" s="194" t="str">
        <f aca="false">IF(AND(Projects!$C$39&lt;=AX$4,AX$4&lt;=Projects!$C$39+Projects!$D$39-1),Projects!$B$39/Projects!$D$39,"")</f>
        <v/>
      </c>
      <c r="AY45" s="194" t="str">
        <f aca="false">IF(AND(Projects!$C$39&lt;=AY$4,AY$4&lt;=Projects!$C$39+Projects!$D$39-1),Projects!$B$39/Projects!$D$39,"")</f>
        <v/>
      </c>
      <c r="AZ45" s="194" t="str">
        <f aca="false">IF(AND(Projects!$C$39&lt;=AZ$4,AZ$4&lt;=Projects!$C$39+Projects!$D$39-1),Projects!$B$39/Projects!$D$39,"")</f>
        <v/>
      </c>
      <c r="BA45" s="194" t="str">
        <f aca="false">IF(AND(Projects!$C$39&lt;=BA$4,BA$4&lt;=Projects!$C$39+Projects!$D$39-1),Projects!$B$39/Projects!$D$39,"")</f>
        <v/>
      </c>
      <c r="BB45" s="194" t="str">
        <f aca="false">IF(AND(Projects!$C$39&lt;=BB$4,BB$4&lt;=Projects!$C$39+Projects!$D$39-1),Projects!$B$39/Projects!$D$39,"")</f>
        <v/>
      </c>
      <c r="BC45" s="194" t="str">
        <f aca="false">IF(AND(Projects!$C$39&lt;=BC$4,BC$4&lt;=Projects!$C$39+Projects!$D$39-1),Projects!$B$39/Projects!$D$39,"")</f>
        <v/>
      </c>
      <c r="BD45" s="194" t="str">
        <f aca="false">IF(AND(Projects!$C$39&lt;=BD$4,BD$4&lt;=Projects!$C$39+Projects!$D$39-1),Projects!$B$39/Projects!$D$39,"")</f>
        <v/>
      </c>
      <c r="BE45" s="194" t="str">
        <f aca="false">IF(AND(Projects!$C$39&lt;=BE$4,BE$4&lt;=Projects!$C$39+Projects!$D$39-1),Projects!$B$39/Projects!$D$39,"")</f>
        <v/>
      </c>
      <c r="BF45" s="194" t="str">
        <f aca="false">IF(AND(Projects!$C$39&lt;=BF$4,BF$4&lt;=Projects!$C$39+Projects!$D$39-1),Projects!$B$39/Projects!$D$39,"")</f>
        <v/>
      </c>
      <c r="BG45" s="194" t="str">
        <f aca="false">IF(AND(Projects!$C$39&lt;=BG$4,BG$4&lt;=Projects!$C$39+Projects!$D$39-1),Projects!$B$39/Projects!$D$39,"")</f>
        <v/>
      </c>
      <c r="BH45" s="194" t="str">
        <f aca="false">IF(AND(Projects!$C$39&lt;=BH$4,BH$4&lt;=Projects!$C$39+Projects!$D$39-1),Projects!$B$39/Projects!$D$39,"")</f>
        <v/>
      </c>
      <c r="BI45" s="194" t="str">
        <f aca="false">IF(AND(Projects!$C$39&lt;=BI$4,BI$4&lt;=Projects!$C$39+Projects!$D$39-1),Projects!$B$39/Projects!$D$39,"")</f>
        <v/>
      </c>
      <c r="BJ45" s="194" t="str">
        <f aca="false">IF(AND(Projects!$C$39&lt;=BJ$4,BJ$4&lt;=Projects!$C$39+Projects!$D$39-1),Projects!$B$39/Projects!$D$39,"")</f>
        <v/>
      </c>
      <c r="BK45" s="194" t="str">
        <f aca="false">IF(AND(Projects!$C$39&lt;=BK$4,BK$4&lt;=Projects!$C$39+Projects!$D$39-1),Projects!$B$39/Projects!$D$39,"")</f>
        <v/>
      </c>
      <c r="BL45" s="194" t="str">
        <f aca="false">IF(AND(Projects!$C$39&lt;=BL$4,BL$4&lt;=Projects!$C$39+Projects!$D$39-1),Projects!$B$39/Projects!$D$39,"")</f>
        <v/>
      </c>
      <c r="BM45" s="194" t="str">
        <f aca="false">IF(AND(Projects!$C$39&lt;=BM$4,BM$4&lt;=Projects!$C$39+Projects!$D$39-1),Projects!$B$39/Projects!$D$39,"")</f>
        <v/>
      </c>
      <c r="BN45" s="194" t="str">
        <f aca="false">IF(AND(Projects!$C$39&lt;=BN$4,BN$4&lt;=Projects!$C$39+Projects!$D$39-1),Projects!$B$39/Projects!$D$39,"")</f>
        <v/>
      </c>
      <c r="BO45" s="194" t="str">
        <f aca="false">IF(AND(Projects!$C$39&lt;=BO$4,BO$4&lt;=Projects!$C$39+Projects!$D$39-1),Projects!$B$39/Projects!$D$39,"")</f>
        <v/>
      </c>
      <c r="BP45" s="194" t="str">
        <f aca="false">IF(AND(Projects!$C$39&lt;=BP$4,BP$4&lt;=Projects!$C$39+Projects!$D$39-1),Projects!$B$39/Projects!$D$39,"")</f>
        <v/>
      </c>
      <c r="BQ45" s="194" t="str">
        <f aca="false">IF(AND(Projects!$C$39&lt;=BQ$4,BQ$4&lt;=Projects!$C$39+Projects!$D$39-1),Projects!$B$39/Projects!$D$39,"")</f>
        <v/>
      </c>
      <c r="BR45" s="194" t="str">
        <f aca="false">IF(AND(Projects!$C$39&lt;=BR$4,BR$4&lt;=Projects!$C$39+Projects!$D$39-1),Projects!$B$39/Projects!$D$39,"")</f>
        <v/>
      </c>
      <c r="BS45" s="194" t="str">
        <f aca="false">IF(AND(Projects!$C$39&lt;=BS$4,BS$4&lt;=Projects!$C$39+Projects!$D$39-1),Projects!$B$39/Projects!$D$39,"")</f>
        <v/>
      </c>
      <c r="BT45" s="194" t="str">
        <f aca="false">IF(AND(Projects!$C$39&lt;=BT$4,BT$4&lt;=Projects!$C$39+Projects!$D$39-1),Projects!$B$39/Projects!$D$39,"")</f>
        <v/>
      </c>
      <c r="BU45" s="194" t="str">
        <f aca="false">IF(AND(Projects!$C$39&lt;=BU$4,BU$4&lt;=Projects!$C$39+Projects!$D$39-1),Projects!$B$39/Projects!$D$39,"")</f>
        <v/>
      </c>
      <c r="BV45" s="194" t="n">
        <f aca="false">IF(AND(Projects!$C$39&lt;=BV$4,BV$4&lt;=Projects!$C$39+Projects!$D$39-1),Projects!$B$39/Projects!$D$39,"")</f>
        <v>947368.421052632</v>
      </c>
      <c r="BW45" s="194" t="n">
        <f aca="false">IF(AND(Projects!$C$39&lt;=BW$4,BW$4&lt;=Projects!$C$39+Projects!$D$39-1),Projects!$B$39/Projects!$D$39,"")</f>
        <v>947368.421052632</v>
      </c>
      <c r="BX45" s="194" t="n">
        <f aca="false">IF(AND(Projects!$C$39&lt;=BX$4,BX$4&lt;=Projects!$C$39+Projects!$D$39-1),Projects!$B$39/Projects!$D$39,"")</f>
        <v>947368.421052632</v>
      </c>
      <c r="BY45" s="194" t="n">
        <f aca="false">IF(AND(Projects!$C$39&lt;=BY$4,BY$4&lt;=Projects!$C$39+Projects!$D$39-1),Projects!$B$39/Projects!$D$39,"")</f>
        <v>947368.421052632</v>
      </c>
      <c r="BZ45" s="194" t="n">
        <f aca="false">IF(AND(Projects!$C$39&lt;=BZ$4,BZ$4&lt;=Projects!$C$39+Projects!$D$39-1),Projects!$B$39/Projects!$D$39,"")</f>
        <v>947368.421052632</v>
      </c>
      <c r="CA45" s="194" t="n">
        <f aca="false">IF(AND(Projects!$C$39&lt;=CA$4,CA$4&lt;=Projects!$C$39+Projects!$D$39-1),Projects!$B$39/Projects!$D$39,"")</f>
        <v>947368.421052632</v>
      </c>
      <c r="CB45" s="194" t="n">
        <f aca="false">IF(AND(Projects!$C$39&lt;=CB$4,CB$4&lt;=Projects!$C$39+Projects!$D$39-1),Projects!$B$39/Projects!$D$39,"")</f>
        <v>947368.421052632</v>
      </c>
      <c r="CC45" s="194" t="n">
        <f aca="false">IF(AND(Projects!$C$39&lt;=CC$4,CC$4&lt;=Projects!$C$39+Projects!$D$39-1),Projects!$B$39/Projects!$D$39,"")</f>
        <v>947368.421052632</v>
      </c>
      <c r="CD45" s="194" t="n">
        <f aca="false">IF(AND(Projects!$C$39&lt;=CD$4,CD$4&lt;=Projects!$C$39+Projects!$D$39-1),Projects!$B$39/Projects!$D$39,"")</f>
        <v>947368.421052632</v>
      </c>
      <c r="CE45" s="194" t="n">
        <f aca="false">IF(AND(Projects!$C$39&lt;=CE$4,CE$4&lt;=Projects!$C$39+Projects!$D$39-1),Projects!$B$39/Projects!$D$39,"")</f>
        <v>947368.421052632</v>
      </c>
      <c r="CF45" s="194" t="n">
        <f aca="false">IF(AND(Projects!$C$39&lt;=CF$4,CF$4&lt;=Projects!$C$39+Projects!$D$39-1),Projects!$B$39/Projects!$D$39,"")</f>
        <v>947368.421052632</v>
      </c>
      <c r="CG45" s="194" t="n">
        <f aca="false">IF(AND(Projects!$C$39&lt;=CG$4,CG$4&lt;=Projects!$C$39+Projects!$D$39-1),Projects!$B$39/Projects!$D$39,"")</f>
        <v>947368.421052632</v>
      </c>
      <c r="CH45" s="194" t="n">
        <f aca="false">IF(AND(Projects!$C$39&lt;=CH$4,CH$4&lt;=Projects!$C$39+Projects!$D$39-1),Projects!$B$39/Projects!$D$39,"")</f>
        <v>947368.421052632</v>
      </c>
      <c r="CI45" s="194" t="n">
        <f aca="false">IF(AND(Projects!$C$39&lt;=CI$4,CI$4&lt;=Projects!$C$39+Projects!$D$39-1),Projects!$B$39/Projects!$D$39,"")</f>
        <v>947368.421052632</v>
      </c>
      <c r="CJ45" s="194" t="n">
        <f aca="false">IF(AND(Projects!$C$39&lt;=CJ$4,CJ$4&lt;=Projects!$C$39+Projects!$D$39-1),Projects!$B$39/Projects!$D$39,"")</f>
        <v>947368.421052632</v>
      </c>
      <c r="CK45" s="194" t="n">
        <f aca="false">IF(AND(Projects!$C$39&lt;=CK$4,CK$4&lt;=Projects!$C$39+Projects!$D$39-1),Projects!$B$39/Projects!$D$39,"")</f>
        <v>947368.421052632</v>
      </c>
      <c r="CL45" s="194" t="n">
        <f aca="false">IF(AND(Projects!$C$39&lt;=CL$4,CL$4&lt;=Projects!$C$39+Projects!$D$39-1),Projects!$B$39/Projects!$D$39,"")</f>
        <v>947368.421052632</v>
      </c>
      <c r="CM45" s="194" t="n">
        <f aca="false">IF(AND(Projects!$C$39&lt;=CM$4,CM$4&lt;=Projects!$C$39+Projects!$D$39-1),Projects!$B$39/Projects!$D$39,"")</f>
        <v>947368.421052632</v>
      </c>
      <c r="CN45" s="194" t="n">
        <f aca="false">IF(AND(Projects!$C$39&lt;=CN$4,CN$4&lt;=Projects!$C$39+Projects!$D$39-1),Projects!$B$39/Projects!$D$39,"")</f>
        <v>947368.421052632</v>
      </c>
      <c r="CO45" s="194" t="str">
        <f aca="false">IF(AND(Projects!$C$39&lt;=CO$4,CO$4&lt;=Projects!$C$39+Projects!$D$39-1),Projects!$B$39/Projects!$D$39,"")</f>
        <v/>
      </c>
      <c r="CP45" s="194" t="str">
        <f aca="false">IF(AND(Projects!$C$39&lt;=CP$4,CP$4&lt;=Projects!$C$39+Projects!$D$39-1),Projects!$B$39/Projects!$D$39,"")</f>
        <v/>
      </c>
      <c r="CQ45" s="194" t="str">
        <f aca="false">IF(AND(Projects!$C$39&lt;=CQ$4,CQ$4&lt;=Projects!$C$39+Projects!$D$39-1),Projects!$B$39/Projects!$D$39,"")</f>
        <v/>
      </c>
      <c r="CR45" s="194" t="str">
        <f aca="false">IF(AND(Projects!$C$39&lt;=CR$4,CR$4&lt;=Projects!$C$39+Projects!$D$39-1),Projects!$B$39/Projects!$D$39,"")</f>
        <v/>
      </c>
      <c r="CS45" s="194" t="str">
        <f aca="false">IF(AND(Projects!$C$39&lt;=CS$4,CS$4&lt;=Projects!$C$39+Projects!$D$39-1),Projects!$B$39/Projects!$D$39,"")</f>
        <v/>
      </c>
      <c r="CT45" s="194" t="str">
        <f aca="false">IF(AND(Projects!$C$39&lt;=CT$4,CT$4&lt;=Projects!$C$39+Projects!$D$39-1),Projects!$B$39/Projects!$D$39,"")</f>
        <v/>
      </c>
      <c r="CU45" s="194" t="str">
        <f aca="false">IF(AND(Projects!$C$39&lt;=CU$4,CU$4&lt;=Projects!$C$39+Projects!$D$39-1),Projects!$B$39/Projects!$D$39,"")</f>
        <v/>
      </c>
      <c r="CV45" s="194" t="str">
        <f aca="false">IF(AND(Projects!$C$39&lt;=CV$4,CV$4&lt;=Projects!$C$39+Projects!$D$39-1),Projects!$B$39/Projects!$D$39,"")</f>
        <v/>
      </c>
      <c r="CW45" s="194" t="str">
        <f aca="false">IF(AND(Projects!$C$39&lt;=CW$4,CW$4&lt;=Projects!$C$39+Projects!$D$39-1),Projects!$B$39/Projects!$D$39,"")</f>
        <v/>
      </c>
      <c r="CX45" s="194" t="str">
        <f aca="false">IF(AND(Projects!$C$39&lt;=CX$4,CX$4&lt;=Projects!$C$39+Projects!$D$39-1),Projects!$B$39/Projects!$D$39,"")</f>
        <v/>
      </c>
      <c r="CY45" s="194" t="str">
        <f aca="false">IF(AND(Projects!$C$39&lt;=CY$4,CY$4&lt;=Projects!$C$39+Projects!$D$39-1),Projects!$B$39/Projects!$D$39,"")</f>
        <v/>
      </c>
      <c r="CZ45" s="194" t="str">
        <f aca="false">IF(AND(Projects!$C$39&lt;=CZ$4,CZ$4&lt;=Projects!$C$39+Projects!$D$39-1),Projects!$B$39/Projects!$D$39,"")</f>
        <v/>
      </c>
      <c r="DA45" s="194" t="str">
        <f aca="false">IF(AND(Projects!$C$39&lt;=DA$4,DA$4&lt;=Projects!$C$39+Projects!$D$39-1),Projects!$B$39/Projects!$D$39,"")</f>
        <v/>
      </c>
      <c r="DB45" s="194" t="str">
        <f aca="false">IF(AND(Projects!$C$39&lt;=DB$4,DB$4&lt;=Projects!$C$39+Projects!$D$39-1),Projects!$B$39/Projects!$D$39,"")</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Projects!$B$40/Projects!$D$40</f>
        <v>789473.684210526</v>
      </c>
      <c r="G46" s="194" t="str">
        <f aca="false">IF(AND(Projects!$C$40&lt;=G$4,G$4&lt;=Projects!$C$40+Projects!$D$40-1),Projects!$B$40/Projects!$D$40,"")</f>
        <v/>
      </c>
      <c r="H46" s="194" t="str">
        <f aca="false">IF(AND(Projects!$C$40&lt;=H$4,H$4&lt;=Projects!$C$40+Projects!$D$40-1),Projects!$B$40/Projects!$D$40,"")</f>
        <v/>
      </c>
      <c r="I46" s="194" t="str">
        <f aca="false">IF(AND(Projects!$C$40&lt;=I$4,I$4&lt;=Projects!$C$40+Projects!$D$40-1),Projects!$B$40/Projects!$D$40,"")</f>
        <v/>
      </c>
      <c r="J46" s="194" t="str">
        <f aca="false">IF(AND(Projects!$C$40&lt;=J$4,J$4&lt;=Projects!$C$40+Projects!$D$40-1),Projects!$B$40/Projects!$D$40,"")</f>
        <v/>
      </c>
      <c r="K46" s="194" t="str">
        <f aca="false">IF(AND(Projects!$C$40&lt;=K$4,K$4&lt;=Projects!$C$40+Projects!$D$40-1),Projects!$B$40/Projects!$D$40,"")</f>
        <v/>
      </c>
      <c r="L46" s="194" t="str">
        <f aca="false">IF(AND(Projects!$C$40&lt;=L$4,L$4&lt;=Projects!$C$40+Projects!$D$40-1),Projects!$B$40/Projects!$D$40,"")</f>
        <v/>
      </c>
      <c r="M46" s="194" t="str">
        <f aca="false">IF(AND(Projects!$C$40&lt;=M$4,M$4&lt;=Projects!$C$40+Projects!$D$40-1),Projects!$B$40/Projects!$D$40,"")</f>
        <v/>
      </c>
      <c r="N46" s="194" t="str">
        <f aca="false">IF(AND(Projects!$C$40&lt;=N$4,N$4&lt;=Projects!$C$40+Projects!$D$40-1),Projects!$B$40/Projects!$D$40,"")</f>
        <v/>
      </c>
      <c r="O46" s="194" t="str">
        <f aca="false">IF(AND(Projects!$C$40&lt;=O$4,O$4&lt;=Projects!$C$40+Projects!$D$40-1),Projects!$B$40/Projects!$D$40,"")</f>
        <v/>
      </c>
      <c r="P46" s="194" t="str">
        <f aca="false">IF(AND(Projects!$C$40&lt;=P$4,P$4&lt;=Projects!$C$40+Projects!$D$40-1),Projects!$B$40/Projects!$D$40,"")</f>
        <v/>
      </c>
      <c r="Q46" s="194" t="str">
        <f aca="false">IF(AND(Projects!$C$40&lt;=Q$4,Q$4&lt;=Projects!$C$40+Projects!$D$40-1),Projects!$B$40/Projects!$D$40,"")</f>
        <v/>
      </c>
      <c r="R46" s="194" t="str">
        <f aca="false">IF(AND(Projects!$C$40&lt;=R$4,R$4&lt;=Projects!$C$40+Projects!$D$40-1),Projects!$B$40/Projects!$D$40,"")</f>
        <v/>
      </c>
      <c r="S46" s="194" t="str">
        <f aca="false">IF(AND(Projects!$C$40&lt;=S$4,S$4&lt;=Projects!$C$40+Projects!$D$40-1),Projects!$B$40/Projects!$D$40,"")</f>
        <v/>
      </c>
      <c r="T46" s="194" t="str">
        <f aca="false">IF(AND(Projects!$C$40&lt;=T$4,T$4&lt;=Projects!$C$40+Projects!$D$40-1),Projects!$B$40/Projects!$D$40,"")</f>
        <v/>
      </c>
      <c r="U46" s="194" t="str">
        <f aca="false">IF(AND(Projects!$C$40&lt;=U$4,U$4&lt;=Projects!$C$40+Projects!$D$40-1),Projects!$B$40/Projects!$D$40,"")</f>
        <v/>
      </c>
      <c r="V46" s="194" t="str">
        <f aca="false">IF(AND(Projects!$C$40&lt;=V$4,V$4&lt;=Projects!$C$40+Projects!$D$40-1),Projects!$B$40/Projects!$D$40,"")</f>
        <v/>
      </c>
      <c r="W46" s="194" t="str">
        <f aca="false">IF(AND(Projects!$C$40&lt;=W$4,W$4&lt;=Projects!$C$40+Projects!$D$40-1),Projects!$B$40/Projects!$D$40,"")</f>
        <v/>
      </c>
      <c r="X46" s="194" t="str">
        <f aca="false">IF(AND(Projects!$C$40&lt;=X$4,X$4&lt;=Projects!$C$40+Projects!$D$40-1),Projects!$B$40/Projects!$D$40,"")</f>
        <v/>
      </c>
      <c r="Y46" s="194" t="str">
        <f aca="false">IF(AND(Projects!$C$40&lt;=Y$4,Y$4&lt;=Projects!$C$40+Projects!$D$40-1),Projects!$B$40/Projects!$D$40,"")</f>
        <v/>
      </c>
      <c r="Z46" s="194" t="str">
        <f aca="false">IF(AND(Projects!$C$40&lt;=Z$4,Z$4&lt;=Projects!$C$40+Projects!$D$40-1),Projects!$B$40/Projects!$D$40,"")</f>
        <v/>
      </c>
      <c r="AA46" s="194" t="str">
        <f aca="false">IF(AND(Projects!$C$40&lt;=AA$4,AA$4&lt;=Projects!$C$40+Projects!$D$40-1),Projects!$B$40/Projects!$D$40,"")</f>
        <v/>
      </c>
      <c r="AB46" s="194" t="str">
        <f aca="false">IF(AND(Projects!$C$40&lt;=AB$4,AB$4&lt;=Projects!$C$40+Projects!$D$40-1),Projects!$B$40/Projects!$D$40,"")</f>
        <v/>
      </c>
      <c r="AC46" s="194" t="str">
        <f aca="false">IF(AND(Projects!$C$40&lt;=AC$4,AC$4&lt;=Projects!$C$40+Projects!$D$40-1),Projects!$B$40/Projects!$D$40,"")</f>
        <v/>
      </c>
      <c r="AD46" s="194" t="str">
        <f aca="false">IF(AND(Projects!$C$40&lt;=AD$4,AD$4&lt;=Projects!$C$40+Projects!$D$40-1),Projects!$B$40/Projects!$D$40,"")</f>
        <v/>
      </c>
      <c r="AE46" s="194" t="str">
        <f aca="false">IF(AND(Projects!$C$40&lt;=AE$4,AE$4&lt;=Projects!$C$40+Projects!$D$40-1),Projects!$B$40/Projects!$D$40,"")</f>
        <v/>
      </c>
      <c r="AF46" s="194" t="str">
        <f aca="false">IF(AND(Projects!$C$40&lt;=AF$4,AF$4&lt;=Projects!$C$40+Projects!$D$40-1),Projects!$B$40/Projects!$D$40,"")</f>
        <v/>
      </c>
      <c r="AG46" s="194" t="str">
        <f aca="false">IF(AND(Projects!$C$40&lt;=AG$4,AG$4&lt;=Projects!$C$40+Projects!$D$40-1),Projects!$B$40/Projects!$D$40,"")</f>
        <v/>
      </c>
      <c r="AH46" s="194" t="str">
        <f aca="false">IF(AND(Projects!$C$40&lt;=AH$4,AH$4&lt;=Projects!$C$40+Projects!$D$40-1),Projects!$B$40/Projects!$D$40,"")</f>
        <v/>
      </c>
      <c r="AI46" s="194" t="str">
        <f aca="false">IF(AND(Projects!$C$40&lt;=AI$4,AI$4&lt;=Projects!$C$40+Projects!$D$40-1),Projects!$B$40/Projects!$D$40,"")</f>
        <v/>
      </c>
      <c r="AJ46" s="194" t="str">
        <f aca="false">IF(AND(Projects!$C$40&lt;=AJ$4,AJ$4&lt;=Projects!$C$40+Projects!$D$40-1),Projects!$B$40/Projects!$D$40,"")</f>
        <v/>
      </c>
      <c r="AK46" s="194" t="str">
        <f aca="false">IF(AND(Projects!$C$40&lt;=AK$4,AK$4&lt;=Projects!$C$40+Projects!$D$40-1),Projects!$B$40/Projects!$D$40,"")</f>
        <v/>
      </c>
      <c r="AL46" s="194" t="str">
        <f aca="false">IF(AND(Projects!$C$40&lt;=AL$4,AL$4&lt;=Projects!$C$40+Projects!$D$40-1),Projects!$B$40/Projects!$D$40,"")</f>
        <v/>
      </c>
      <c r="AM46" s="194" t="str">
        <f aca="false">IF(AND(Projects!$C$40&lt;=AM$4,AM$4&lt;=Projects!$C$40+Projects!$D$40-1),Projects!$B$40/Projects!$D$40,"")</f>
        <v/>
      </c>
      <c r="AN46" s="194" t="str">
        <f aca="false">IF(AND(Projects!$C$40&lt;=AN$4,AN$4&lt;=Projects!$C$40+Projects!$D$40-1),Projects!$B$40/Projects!$D$40,"")</f>
        <v/>
      </c>
      <c r="AO46" s="194" t="str">
        <f aca="false">IF(AND(Projects!$C$40&lt;=AO$4,AO$4&lt;=Projects!$C$40+Projects!$D$40-1),Projects!$B$40/Projects!$D$40,"")</f>
        <v/>
      </c>
      <c r="AP46" s="194" t="str">
        <f aca="false">IF(AND(Projects!$C$40&lt;=AP$4,AP$4&lt;=Projects!$C$40+Projects!$D$40-1),Projects!$B$40/Projects!$D$40,"")</f>
        <v/>
      </c>
      <c r="AQ46" s="194" t="str">
        <f aca="false">IF(AND(Projects!$C$40&lt;=AQ$4,AQ$4&lt;=Projects!$C$40+Projects!$D$40-1),Projects!$B$40/Projects!$D$40,"")</f>
        <v/>
      </c>
      <c r="AR46" s="194" t="str">
        <f aca="false">IF(AND(Projects!$C$40&lt;=AR$4,AR$4&lt;=Projects!$C$40+Projects!$D$40-1),Projects!$B$40/Projects!$D$40,"")</f>
        <v/>
      </c>
      <c r="AS46" s="194" t="str">
        <f aca="false">IF(AND(Projects!$C$40&lt;=AS$4,AS$4&lt;=Projects!$C$40+Projects!$D$40-1),Projects!$B$40/Projects!$D$40,"")</f>
        <v/>
      </c>
      <c r="AT46" s="194" t="str">
        <f aca="false">IF(AND(Projects!$C$40&lt;=AT$4,AT$4&lt;=Projects!$C$40+Projects!$D$40-1),Projects!$B$40/Projects!$D$40,"")</f>
        <v/>
      </c>
      <c r="AU46" s="194" t="str">
        <f aca="false">IF(AND(Projects!$C$40&lt;=AU$4,AU$4&lt;=Projects!$C$40+Projects!$D$40-1),Projects!$B$40/Projects!$D$40,"")</f>
        <v/>
      </c>
      <c r="AV46" s="194" t="str">
        <f aca="false">IF(AND(Projects!$C$40&lt;=AV$4,AV$4&lt;=Projects!$C$40+Projects!$D$40-1),Projects!$B$40/Projects!$D$40,"")</f>
        <v/>
      </c>
      <c r="AW46" s="194" t="str">
        <f aca="false">IF(AND(Projects!$C$40&lt;=AW$4,AW$4&lt;=Projects!$C$40+Projects!$D$40-1),Projects!$B$40/Projects!$D$40,"")</f>
        <v/>
      </c>
      <c r="AX46" s="194" t="str">
        <f aca="false">IF(AND(Projects!$C$40&lt;=AX$4,AX$4&lt;=Projects!$C$40+Projects!$D$40-1),Projects!$B$40/Projects!$D$40,"")</f>
        <v/>
      </c>
      <c r="AY46" s="194" t="str">
        <f aca="false">IF(AND(Projects!$C$40&lt;=AY$4,AY$4&lt;=Projects!$C$40+Projects!$D$40-1),Projects!$B$40/Projects!$D$40,"")</f>
        <v/>
      </c>
      <c r="AZ46" s="194" t="str">
        <f aca="false">IF(AND(Projects!$C$40&lt;=AZ$4,AZ$4&lt;=Projects!$C$40+Projects!$D$40-1),Projects!$B$40/Projects!$D$40,"")</f>
        <v/>
      </c>
      <c r="BA46" s="194" t="str">
        <f aca="false">IF(AND(Projects!$C$40&lt;=BA$4,BA$4&lt;=Projects!$C$40+Projects!$D$40-1),Projects!$B$40/Projects!$D$40,"")</f>
        <v/>
      </c>
      <c r="BB46" s="194" t="str">
        <f aca="false">IF(AND(Projects!$C$40&lt;=BB$4,BB$4&lt;=Projects!$C$40+Projects!$D$40-1),Projects!$B$40/Projects!$D$40,"")</f>
        <v/>
      </c>
      <c r="BC46" s="194" t="str">
        <f aca="false">IF(AND(Projects!$C$40&lt;=BC$4,BC$4&lt;=Projects!$C$40+Projects!$D$40-1),Projects!$B$40/Projects!$D$40,"")</f>
        <v/>
      </c>
      <c r="BD46" s="194" t="str">
        <f aca="false">IF(AND(Projects!$C$40&lt;=BD$4,BD$4&lt;=Projects!$C$40+Projects!$D$40-1),Projects!$B$40/Projects!$D$40,"")</f>
        <v/>
      </c>
      <c r="BE46" s="194" t="str">
        <f aca="false">IF(AND(Projects!$C$40&lt;=BE$4,BE$4&lt;=Projects!$C$40+Projects!$D$40-1),Projects!$B$40/Projects!$D$40,"")</f>
        <v/>
      </c>
      <c r="BF46" s="194" t="str">
        <f aca="false">IF(AND(Projects!$C$40&lt;=BF$4,BF$4&lt;=Projects!$C$40+Projects!$D$40-1),Projects!$B$40/Projects!$D$40,"")</f>
        <v/>
      </c>
      <c r="BG46" s="194" t="str">
        <f aca="false">IF(AND(Projects!$C$40&lt;=BG$4,BG$4&lt;=Projects!$C$40+Projects!$D$40-1),Projects!$B$40/Projects!$D$40,"")</f>
        <v/>
      </c>
      <c r="BH46" s="194" t="str">
        <f aca="false">IF(AND(Projects!$C$40&lt;=BH$4,BH$4&lt;=Projects!$C$40+Projects!$D$40-1),Projects!$B$40/Projects!$D$40,"")</f>
        <v/>
      </c>
      <c r="BI46" s="194" t="str">
        <f aca="false">IF(AND(Projects!$C$40&lt;=BI$4,BI$4&lt;=Projects!$C$40+Projects!$D$40-1),Projects!$B$40/Projects!$D$40,"")</f>
        <v/>
      </c>
      <c r="BJ46" s="194" t="str">
        <f aca="false">IF(AND(Projects!$C$40&lt;=BJ$4,BJ$4&lt;=Projects!$C$40+Projects!$D$40-1),Projects!$B$40/Projects!$D$40,"")</f>
        <v/>
      </c>
      <c r="BK46" s="194" t="str">
        <f aca="false">IF(AND(Projects!$C$40&lt;=BK$4,BK$4&lt;=Projects!$C$40+Projects!$D$40-1),Projects!$B$40/Projects!$D$40,"")</f>
        <v/>
      </c>
      <c r="BL46" s="194" t="str">
        <f aca="false">IF(AND(Projects!$C$40&lt;=BL$4,BL$4&lt;=Projects!$C$40+Projects!$D$40-1),Projects!$B$40/Projects!$D$40,"")</f>
        <v/>
      </c>
      <c r="BM46" s="194" t="str">
        <f aca="false">IF(AND(Projects!$C$40&lt;=BM$4,BM$4&lt;=Projects!$C$40+Projects!$D$40-1),Projects!$B$40/Projects!$D$40,"")</f>
        <v/>
      </c>
      <c r="BN46" s="194" t="str">
        <f aca="false">IF(AND(Projects!$C$40&lt;=BN$4,BN$4&lt;=Projects!$C$40+Projects!$D$40-1),Projects!$B$40/Projects!$D$40,"")</f>
        <v/>
      </c>
      <c r="BO46" s="194" t="str">
        <f aca="false">IF(AND(Projects!$C$40&lt;=BO$4,BO$4&lt;=Projects!$C$40+Projects!$D$40-1),Projects!$B$40/Projects!$D$40,"")</f>
        <v/>
      </c>
      <c r="BP46" s="194" t="str">
        <f aca="false">IF(AND(Projects!$C$40&lt;=BP$4,BP$4&lt;=Projects!$C$40+Projects!$D$40-1),Projects!$B$40/Projects!$D$40,"")</f>
        <v/>
      </c>
      <c r="BQ46" s="194" t="str">
        <f aca="false">IF(AND(Projects!$C$40&lt;=BQ$4,BQ$4&lt;=Projects!$C$40+Projects!$D$40-1),Projects!$B$40/Projects!$D$40,"")</f>
        <v/>
      </c>
      <c r="BR46" s="194" t="str">
        <f aca="false">IF(AND(Projects!$C$40&lt;=BR$4,BR$4&lt;=Projects!$C$40+Projects!$D$40-1),Projects!$B$40/Projects!$D$40,"")</f>
        <v/>
      </c>
      <c r="BS46" s="194" t="str">
        <f aca="false">IF(AND(Projects!$C$40&lt;=BS$4,BS$4&lt;=Projects!$C$40+Projects!$D$40-1),Projects!$B$40/Projects!$D$40,"")</f>
        <v/>
      </c>
      <c r="BT46" s="194" t="str">
        <f aca="false">IF(AND(Projects!$C$40&lt;=BT$4,BT$4&lt;=Projects!$C$40+Projects!$D$40-1),Projects!$B$40/Projects!$D$40,"")</f>
        <v/>
      </c>
      <c r="BU46" s="194" t="str">
        <f aca="false">IF(AND(Projects!$C$40&lt;=BU$4,BU$4&lt;=Projects!$C$40+Projects!$D$40-1),Projects!$B$40/Projects!$D$40,"")</f>
        <v/>
      </c>
      <c r="BV46" s="194" t="str">
        <f aca="false">IF(AND(Projects!$C$40&lt;=BV$4,BV$4&lt;=Projects!$C$40+Projects!$D$40-1),Projects!$B$40/Projects!$D$40,"")</f>
        <v/>
      </c>
      <c r="BW46" s="194" t="str">
        <f aca="false">IF(AND(Projects!$C$40&lt;=BW$4,BW$4&lt;=Projects!$C$40+Projects!$D$40-1),Projects!$B$40/Projects!$D$40,"")</f>
        <v/>
      </c>
      <c r="BX46" s="194" t="n">
        <f aca="false">IF(AND(Projects!$C$40&lt;=BX$4,BX$4&lt;=Projects!$C$40+Projects!$D$40-1),Projects!$B$40/Projects!$D$40,"")</f>
        <v>789473.684210526</v>
      </c>
      <c r="BY46" s="194" t="n">
        <f aca="false">IF(AND(Projects!$C$40&lt;=BY$4,BY$4&lt;=Projects!$C$40+Projects!$D$40-1),Projects!$B$40/Projects!$D$40,"")</f>
        <v>789473.684210526</v>
      </c>
      <c r="BZ46" s="194" t="n">
        <f aca="false">IF(AND(Projects!$C$40&lt;=BZ$4,BZ$4&lt;=Projects!$C$40+Projects!$D$40-1),Projects!$B$40/Projects!$D$40,"")</f>
        <v>789473.684210526</v>
      </c>
      <c r="CA46" s="194" t="n">
        <f aca="false">IF(AND(Projects!$C$40&lt;=CA$4,CA$4&lt;=Projects!$C$40+Projects!$D$40-1),Projects!$B$40/Projects!$D$40,"")</f>
        <v>789473.684210526</v>
      </c>
      <c r="CB46" s="194" t="n">
        <f aca="false">IF(AND(Projects!$C$40&lt;=CB$4,CB$4&lt;=Projects!$C$40+Projects!$D$40-1),Projects!$B$40/Projects!$D$40,"")</f>
        <v>789473.684210526</v>
      </c>
      <c r="CC46" s="194" t="n">
        <f aca="false">IF(AND(Projects!$C$40&lt;=CC$4,CC$4&lt;=Projects!$C$40+Projects!$D$40-1),Projects!$B$40/Projects!$D$40,"")</f>
        <v>789473.684210526</v>
      </c>
      <c r="CD46" s="194" t="n">
        <f aca="false">IF(AND(Projects!$C$40&lt;=CD$4,CD$4&lt;=Projects!$C$40+Projects!$D$40-1),Projects!$B$40/Projects!$D$40,"")</f>
        <v>789473.684210526</v>
      </c>
      <c r="CE46" s="194" t="n">
        <f aca="false">IF(AND(Projects!$C$40&lt;=CE$4,CE$4&lt;=Projects!$C$40+Projects!$D$40-1),Projects!$B$40/Projects!$D$40,"")</f>
        <v>789473.684210526</v>
      </c>
      <c r="CF46" s="194" t="n">
        <f aca="false">IF(AND(Projects!$C$40&lt;=CF$4,CF$4&lt;=Projects!$C$40+Projects!$D$40-1),Projects!$B$40/Projects!$D$40,"")</f>
        <v>789473.684210526</v>
      </c>
      <c r="CG46" s="194" t="n">
        <f aca="false">IF(AND(Projects!$C$40&lt;=CG$4,CG$4&lt;=Projects!$C$40+Projects!$D$40-1),Projects!$B$40/Projects!$D$40,"")</f>
        <v>789473.684210526</v>
      </c>
      <c r="CH46" s="194" t="n">
        <f aca="false">IF(AND(Projects!$C$40&lt;=CH$4,CH$4&lt;=Projects!$C$40+Projects!$D$40-1),Projects!$B$40/Projects!$D$40,"")</f>
        <v>789473.684210526</v>
      </c>
      <c r="CI46" s="194" t="n">
        <f aca="false">IF(AND(Projects!$C$40&lt;=CI$4,CI$4&lt;=Projects!$C$40+Projects!$D$40-1),Projects!$B$40/Projects!$D$40,"")</f>
        <v>789473.684210526</v>
      </c>
      <c r="CJ46" s="194" t="n">
        <f aca="false">IF(AND(Projects!$C$40&lt;=CJ$4,CJ$4&lt;=Projects!$C$40+Projects!$D$40-1),Projects!$B$40/Projects!$D$40,"")</f>
        <v>789473.684210526</v>
      </c>
      <c r="CK46" s="194" t="n">
        <f aca="false">IF(AND(Projects!$C$40&lt;=CK$4,CK$4&lt;=Projects!$C$40+Projects!$D$40-1),Projects!$B$40/Projects!$D$40,"")</f>
        <v>789473.684210526</v>
      </c>
      <c r="CL46" s="194" t="n">
        <f aca="false">IF(AND(Projects!$C$40&lt;=CL$4,CL$4&lt;=Projects!$C$40+Projects!$D$40-1),Projects!$B$40/Projects!$D$40,"")</f>
        <v>789473.684210526</v>
      </c>
      <c r="CM46" s="194" t="n">
        <f aca="false">IF(AND(Projects!$C$40&lt;=CM$4,CM$4&lt;=Projects!$C$40+Projects!$D$40-1),Projects!$B$40/Projects!$D$40,"")</f>
        <v>789473.684210526</v>
      </c>
      <c r="CN46" s="194" t="n">
        <f aca="false">IF(AND(Projects!$C$40&lt;=CN$4,CN$4&lt;=Projects!$C$40+Projects!$D$40-1),Projects!$B$40/Projects!$D$40,"")</f>
        <v>789473.684210526</v>
      </c>
      <c r="CO46" s="194" t="n">
        <f aca="false">IF(AND(Projects!$C$40&lt;=CO$4,CO$4&lt;=Projects!$C$40+Projects!$D$40-1),Projects!$B$40/Projects!$D$40,"")</f>
        <v>789473.684210526</v>
      </c>
      <c r="CP46" s="194" t="n">
        <f aca="false">IF(AND(Projects!$C$40&lt;=CP$4,CP$4&lt;=Projects!$C$40+Projects!$D$40-1),Projects!$B$40/Projects!$D$40,"")</f>
        <v>789473.684210526</v>
      </c>
      <c r="CQ46" s="194" t="str">
        <f aca="false">IF(AND(Projects!$C$40&lt;=CQ$4,CQ$4&lt;=Projects!$C$40+Projects!$D$40-1),Projects!$B$40/Projects!$D$40,"")</f>
        <v/>
      </c>
      <c r="CR46" s="194" t="str">
        <f aca="false">IF(AND(Projects!$C$40&lt;=CR$4,CR$4&lt;=Projects!$C$40+Projects!$D$40-1),Projects!$B$40/Projects!$D$40,"")</f>
        <v/>
      </c>
      <c r="CS46" s="194" t="str">
        <f aca="false">IF(AND(Projects!$C$40&lt;=CS$4,CS$4&lt;=Projects!$C$40+Projects!$D$40-1),Projects!$B$40/Projects!$D$40,"")</f>
        <v/>
      </c>
      <c r="CT46" s="194" t="str">
        <f aca="false">IF(AND(Projects!$C$40&lt;=CT$4,CT$4&lt;=Projects!$C$40+Projects!$D$40-1),Projects!$B$40/Projects!$D$40,"")</f>
        <v/>
      </c>
      <c r="CU46" s="194" t="str">
        <f aca="false">IF(AND(Projects!$C$40&lt;=CU$4,CU$4&lt;=Projects!$C$40+Projects!$D$40-1),Projects!$B$40/Projects!$D$40,"")</f>
        <v/>
      </c>
      <c r="CV46" s="194" t="str">
        <f aca="false">IF(AND(Projects!$C$40&lt;=CV$4,CV$4&lt;=Projects!$C$40+Projects!$D$40-1),Projects!$B$40/Projects!$D$40,"")</f>
        <v/>
      </c>
      <c r="CW46" s="194" t="str">
        <f aca="false">IF(AND(Projects!$C$40&lt;=CW$4,CW$4&lt;=Projects!$C$40+Projects!$D$40-1),Projects!$B$40/Projects!$D$40,"")</f>
        <v/>
      </c>
      <c r="CX46" s="194" t="str">
        <f aca="false">IF(AND(Projects!$C$40&lt;=CX$4,CX$4&lt;=Projects!$C$40+Projects!$D$40-1),Projects!$B$40/Projects!$D$40,"")</f>
        <v/>
      </c>
      <c r="CY46" s="194" t="str">
        <f aca="false">IF(AND(Projects!$C$40&lt;=CY$4,CY$4&lt;=Projects!$C$40+Projects!$D$40-1),Projects!$B$40/Projects!$D$40,"")</f>
        <v/>
      </c>
      <c r="CZ46" s="194" t="str">
        <f aca="false">IF(AND(Projects!$C$40&lt;=CZ$4,CZ$4&lt;=Projects!$C$40+Projects!$D$40-1),Projects!$B$40/Projects!$D$40,"")</f>
        <v/>
      </c>
      <c r="DA46" s="194" t="str">
        <f aca="false">IF(AND(Projects!$C$40&lt;=DA$4,DA$4&lt;=Projects!$C$40+Projects!$D$40-1),Projects!$B$40/Projects!$D$40,"")</f>
        <v/>
      </c>
      <c r="DB46" s="194" t="str">
        <f aca="false">IF(AND(Projects!$C$40&lt;=DB$4,DB$4&lt;=Projects!$C$40+Projects!$D$40-1),Projects!$B$40/Projects!$D$40,"")</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Projects!$B$41/Projects!$D$41</f>
        <v>789473.684210526</v>
      </c>
      <c r="G47" s="194" t="str">
        <f aca="false">IF(AND(Projects!$C$41&lt;=G$4,G$4&lt;=Projects!$C$41+Projects!$D$41-1),Projects!$B$41/Projects!$D$41,"")</f>
        <v/>
      </c>
      <c r="H47" s="194" t="str">
        <f aca="false">IF(AND(Projects!$C$41&lt;=H$4,H$4&lt;=Projects!$C$41+Projects!$D$41-1),Projects!$B$41/Projects!$D$41,"")</f>
        <v/>
      </c>
      <c r="I47" s="194" t="str">
        <f aca="false">IF(AND(Projects!$C$41&lt;=I$4,I$4&lt;=Projects!$C$41+Projects!$D$41-1),Projects!$B$41/Projects!$D$41,"")</f>
        <v/>
      </c>
      <c r="J47" s="194" t="str">
        <f aca="false">IF(AND(Projects!$C$41&lt;=J$4,J$4&lt;=Projects!$C$41+Projects!$D$41-1),Projects!$B$41/Projects!$D$41,"")</f>
        <v/>
      </c>
      <c r="K47" s="194" t="str">
        <f aca="false">IF(AND(Projects!$C$41&lt;=K$4,K$4&lt;=Projects!$C$41+Projects!$D$41-1),Projects!$B$41/Projects!$D$41,"")</f>
        <v/>
      </c>
      <c r="L47" s="194" t="str">
        <f aca="false">IF(AND(Projects!$C$41&lt;=L$4,L$4&lt;=Projects!$C$41+Projects!$D$41-1),Projects!$B$41/Projects!$D$41,"")</f>
        <v/>
      </c>
      <c r="M47" s="194" t="str">
        <f aca="false">IF(AND(Projects!$C$41&lt;=M$4,M$4&lt;=Projects!$C$41+Projects!$D$41-1),Projects!$B$41/Projects!$D$41,"")</f>
        <v/>
      </c>
      <c r="N47" s="194" t="str">
        <f aca="false">IF(AND(Projects!$C$41&lt;=N$4,N$4&lt;=Projects!$C$41+Projects!$D$41-1),Projects!$B$41/Projects!$D$41,"")</f>
        <v/>
      </c>
      <c r="O47" s="194" t="str">
        <f aca="false">IF(AND(Projects!$C$41&lt;=O$4,O$4&lt;=Projects!$C$41+Projects!$D$41-1),Projects!$B$41/Projects!$D$41,"")</f>
        <v/>
      </c>
      <c r="P47" s="194" t="str">
        <f aca="false">IF(AND(Projects!$C$41&lt;=P$4,P$4&lt;=Projects!$C$41+Projects!$D$41-1),Projects!$B$41/Projects!$D$41,"")</f>
        <v/>
      </c>
      <c r="Q47" s="194" t="str">
        <f aca="false">IF(AND(Projects!$C$41&lt;=Q$4,Q$4&lt;=Projects!$C$41+Projects!$D$41-1),Projects!$B$41/Projects!$D$41,"")</f>
        <v/>
      </c>
      <c r="R47" s="194" t="str">
        <f aca="false">IF(AND(Projects!$C$41&lt;=R$4,R$4&lt;=Projects!$C$41+Projects!$D$41-1),Projects!$B$41/Projects!$D$41,"")</f>
        <v/>
      </c>
      <c r="S47" s="194" t="str">
        <f aca="false">IF(AND(Projects!$C$41&lt;=S$4,S$4&lt;=Projects!$C$41+Projects!$D$41-1),Projects!$B$41/Projects!$D$41,"")</f>
        <v/>
      </c>
      <c r="T47" s="194" t="str">
        <f aca="false">IF(AND(Projects!$C$41&lt;=T$4,T$4&lt;=Projects!$C$41+Projects!$D$41-1),Projects!$B$41/Projects!$D$41,"")</f>
        <v/>
      </c>
      <c r="U47" s="194" t="str">
        <f aca="false">IF(AND(Projects!$C$41&lt;=U$4,U$4&lt;=Projects!$C$41+Projects!$D$41-1),Projects!$B$41/Projects!$D$41,"")</f>
        <v/>
      </c>
      <c r="V47" s="194" t="str">
        <f aca="false">IF(AND(Projects!$C$41&lt;=V$4,V$4&lt;=Projects!$C$41+Projects!$D$41-1),Projects!$B$41/Projects!$D$41,"")</f>
        <v/>
      </c>
      <c r="W47" s="194" t="str">
        <f aca="false">IF(AND(Projects!$C$41&lt;=W$4,W$4&lt;=Projects!$C$41+Projects!$D$41-1),Projects!$B$41/Projects!$D$41,"")</f>
        <v/>
      </c>
      <c r="X47" s="194" t="str">
        <f aca="false">IF(AND(Projects!$C$41&lt;=X$4,X$4&lt;=Projects!$C$41+Projects!$D$41-1),Projects!$B$41/Projects!$D$41,"")</f>
        <v/>
      </c>
      <c r="Y47" s="194" t="str">
        <f aca="false">IF(AND(Projects!$C$41&lt;=Y$4,Y$4&lt;=Projects!$C$41+Projects!$D$41-1),Projects!$B$41/Projects!$D$41,"")</f>
        <v/>
      </c>
      <c r="Z47" s="194" t="str">
        <f aca="false">IF(AND(Projects!$C$41&lt;=Z$4,Z$4&lt;=Projects!$C$41+Projects!$D$41-1),Projects!$B$41/Projects!$D$41,"")</f>
        <v/>
      </c>
      <c r="AA47" s="194" t="str">
        <f aca="false">IF(AND(Projects!$C$41&lt;=AA$4,AA$4&lt;=Projects!$C$41+Projects!$D$41-1),Projects!$B$41/Projects!$D$41,"")</f>
        <v/>
      </c>
      <c r="AB47" s="194" t="str">
        <f aca="false">IF(AND(Projects!$C$41&lt;=AB$4,AB$4&lt;=Projects!$C$41+Projects!$D$41-1),Projects!$B$41/Projects!$D$41,"")</f>
        <v/>
      </c>
      <c r="AC47" s="194" t="str">
        <f aca="false">IF(AND(Projects!$C$41&lt;=AC$4,AC$4&lt;=Projects!$C$41+Projects!$D$41-1),Projects!$B$41/Projects!$D$41,"")</f>
        <v/>
      </c>
      <c r="AD47" s="194" t="str">
        <f aca="false">IF(AND(Projects!$C$41&lt;=AD$4,AD$4&lt;=Projects!$C$41+Projects!$D$41-1),Projects!$B$41/Projects!$D$41,"")</f>
        <v/>
      </c>
      <c r="AE47" s="194" t="str">
        <f aca="false">IF(AND(Projects!$C$41&lt;=AE$4,AE$4&lt;=Projects!$C$41+Projects!$D$41-1),Projects!$B$41/Projects!$D$41,"")</f>
        <v/>
      </c>
      <c r="AF47" s="194" t="str">
        <f aca="false">IF(AND(Projects!$C$41&lt;=AF$4,AF$4&lt;=Projects!$C$41+Projects!$D$41-1),Projects!$B$41/Projects!$D$41,"")</f>
        <v/>
      </c>
      <c r="AG47" s="194" t="str">
        <f aca="false">IF(AND(Projects!$C$41&lt;=AG$4,AG$4&lt;=Projects!$C$41+Projects!$D$41-1),Projects!$B$41/Projects!$D$41,"")</f>
        <v/>
      </c>
      <c r="AH47" s="194" t="str">
        <f aca="false">IF(AND(Projects!$C$41&lt;=AH$4,AH$4&lt;=Projects!$C$41+Projects!$D$41-1),Projects!$B$41/Projects!$D$41,"")</f>
        <v/>
      </c>
      <c r="AI47" s="194" t="str">
        <f aca="false">IF(AND(Projects!$C$41&lt;=AI$4,AI$4&lt;=Projects!$C$41+Projects!$D$41-1),Projects!$B$41/Projects!$D$41,"")</f>
        <v/>
      </c>
      <c r="AJ47" s="194" t="str">
        <f aca="false">IF(AND(Projects!$C$41&lt;=AJ$4,AJ$4&lt;=Projects!$C$41+Projects!$D$41-1),Projects!$B$41/Projects!$D$41,"")</f>
        <v/>
      </c>
      <c r="AK47" s="194" t="str">
        <f aca="false">IF(AND(Projects!$C$41&lt;=AK$4,AK$4&lt;=Projects!$C$41+Projects!$D$41-1),Projects!$B$41/Projects!$D$41,"")</f>
        <v/>
      </c>
      <c r="AL47" s="194" t="str">
        <f aca="false">IF(AND(Projects!$C$41&lt;=AL$4,AL$4&lt;=Projects!$C$41+Projects!$D$41-1),Projects!$B$41/Projects!$D$41,"")</f>
        <v/>
      </c>
      <c r="AM47" s="194" t="str">
        <f aca="false">IF(AND(Projects!$C$41&lt;=AM$4,AM$4&lt;=Projects!$C$41+Projects!$D$41-1),Projects!$B$41/Projects!$D$41,"")</f>
        <v/>
      </c>
      <c r="AN47" s="194" t="str">
        <f aca="false">IF(AND(Projects!$C$41&lt;=AN$4,AN$4&lt;=Projects!$C$41+Projects!$D$41-1),Projects!$B$41/Projects!$D$41,"")</f>
        <v/>
      </c>
      <c r="AO47" s="194" t="str">
        <f aca="false">IF(AND(Projects!$C$41&lt;=AO$4,AO$4&lt;=Projects!$C$41+Projects!$D$41-1),Projects!$B$41/Projects!$D$41,"")</f>
        <v/>
      </c>
      <c r="AP47" s="194" t="str">
        <f aca="false">IF(AND(Projects!$C$41&lt;=AP$4,AP$4&lt;=Projects!$C$41+Projects!$D$41-1),Projects!$B$41/Projects!$D$41,"")</f>
        <v/>
      </c>
      <c r="AQ47" s="194" t="str">
        <f aca="false">IF(AND(Projects!$C$41&lt;=AQ$4,AQ$4&lt;=Projects!$C$41+Projects!$D$41-1),Projects!$B$41/Projects!$D$41,"")</f>
        <v/>
      </c>
      <c r="AR47" s="194" t="str">
        <f aca="false">IF(AND(Projects!$C$41&lt;=AR$4,AR$4&lt;=Projects!$C$41+Projects!$D$41-1),Projects!$B$41/Projects!$D$41,"")</f>
        <v/>
      </c>
      <c r="AS47" s="194" t="str">
        <f aca="false">IF(AND(Projects!$C$41&lt;=AS$4,AS$4&lt;=Projects!$C$41+Projects!$D$41-1),Projects!$B$41/Projects!$D$41,"")</f>
        <v/>
      </c>
      <c r="AT47" s="194" t="str">
        <f aca="false">IF(AND(Projects!$C$41&lt;=AT$4,AT$4&lt;=Projects!$C$41+Projects!$D$41-1),Projects!$B$41/Projects!$D$41,"")</f>
        <v/>
      </c>
      <c r="AU47" s="194" t="str">
        <f aca="false">IF(AND(Projects!$C$41&lt;=AU$4,AU$4&lt;=Projects!$C$41+Projects!$D$41-1),Projects!$B$41/Projects!$D$41,"")</f>
        <v/>
      </c>
      <c r="AV47" s="194" t="str">
        <f aca="false">IF(AND(Projects!$C$41&lt;=AV$4,AV$4&lt;=Projects!$C$41+Projects!$D$41-1),Projects!$B$41/Projects!$D$41,"")</f>
        <v/>
      </c>
      <c r="AW47" s="194" t="str">
        <f aca="false">IF(AND(Projects!$C$41&lt;=AW$4,AW$4&lt;=Projects!$C$41+Projects!$D$41-1),Projects!$B$41/Projects!$D$41,"")</f>
        <v/>
      </c>
      <c r="AX47" s="194" t="str">
        <f aca="false">IF(AND(Projects!$C$41&lt;=AX$4,AX$4&lt;=Projects!$C$41+Projects!$D$41-1),Projects!$B$41/Projects!$D$41,"")</f>
        <v/>
      </c>
      <c r="AY47" s="194" t="str">
        <f aca="false">IF(AND(Projects!$C$41&lt;=AY$4,AY$4&lt;=Projects!$C$41+Projects!$D$41-1),Projects!$B$41/Projects!$D$41,"")</f>
        <v/>
      </c>
      <c r="AZ47" s="194" t="str">
        <f aca="false">IF(AND(Projects!$C$41&lt;=AZ$4,AZ$4&lt;=Projects!$C$41+Projects!$D$41-1),Projects!$B$41/Projects!$D$41,"")</f>
        <v/>
      </c>
      <c r="BA47" s="194" t="str">
        <f aca="false">IF(AND(Projects!$C$41&lt;=BA$4,BA$4&lt;=Projects!$C$41+Projects!$D$41-1),Projects!$B$41/Projects!$D$41,"")</f>
        <v/>
      </c>
      <c r="BB47" s="194" t="str">
        <f aca="false">IF(AND(Projects!$C$41&lt;=BB$4,BB$4&lt;=Projects!$C$41+Projects!$D$41-1),Projects!$B$41/Projects!$D$41,"")</f>
        <v/>
      </c>
      <c r="BC47" s="194" t="str">
        <f aca="false">IF(AND(Projects!$C$41&lt;=BC$4,BC$4&lt;=Projects!$C$41+Projects!$D$41-1),Projects!$B$41/Projects!$D$41,"")</f>
        <v/>
      </c>
      <c r="BD47" s="194" t="str">
        <f aca="false">IF(AND(Projects!$C$41&lt;=BD$4,BD$4&lt;=Projects!$C$41+Projects!$D$41-1),Projects!$B$41/Projects!$D$41,"")</f>
        <v/>
      </c>
      <c r="BE47" s="194" t="str">
        <f aca="false">IF(AND(Projects!$C$41&lt;=BE$4,BE$4&lt;=Projects!$C$41+Projects!$D$41-1),Projects!$B$41/Projects!$D$41,"")</f>
        <v/>
      </c>
      <c r="BF47" s="194" t="str">
        <f aca="false">IF(AND(Projects!$C$41&lt;=BF$4,BF$4&lt;=Projects!$C$41+Projects!$D$41-1),Projects!$B$41/Projects!$D$41,"")</f>
        <v/>
      </c>
      <c r="BG47" s="194" t="str">
        <f aca="false">IF(AND(Projects!$C$41&lt;=BG$4,BG$4&lt;=Projects!$C$41+Projects!$D$41-1),Projects!$B$41/Projects!$D$41,"")</f>
        <v/>
      </c>
      <c r="BH47" s="194" t="str">
        <f aca="false">IF(AND(Projects!$C$41&lt;=BH$4,BH$4&lt;=Projects!$C$41+Projects!$D$41-1),Projects!$B$41/Projects!$D$41,"")</f>
        <v/>
      </c>
      <c r="BI47" s="194" t="str">
        <f aca="false">IF(AND(Projects!$C$41&lt;=BI$4,BI$4&lt;=Projects!$C$41+Projects!$D$41-1),Projects!$B$41/Projects!$D$41,"")</f>
        <v/>
      </c>
      <c r="BJ47" s="194" t="str">
        <f aca="false">IF(AND(Projects!$C$41&lt;=BJ$4,BJ$4&lt;=Projects!$C$41+Projects!$D$41-1),Projects!$B$41/Projects!$D$41,"")</f>
        <v/>
      </c>
      <c r="BK47" s="194" t="str">
        <f aca="false">IF(AND(Projects!$C$41&lt;=BK$4,BK$4&lt;=Projects!$C$41+Projects!$D$41-1),Projects!$B$41/Projects!$D$41,"")</f>
        <v/>
      </c>
      <c r="BL47" s="194" t="str">
        <f aca="false">IF(AND(Projects!$C$41&lt;=BL$4,BL$4&lt;=Projects!$C$41+Projects!$D$41-1),Projects!$B$41/Projects!$D$41,"")</f>
        <v/>
      </c>
      <c r="BM47" s="194" t="str">
        <f aca="false">IF(AND(Projects!$C$41&lt;=BM$4,BM$4&lt;=Projects!$C$41+Projects!$D$41-1),Projects!$B$41/Projects!$D$41,"")</f>
        <v/>
      </c>
      <c r="BN47" s="194" t="str">
        <f aca="false">IF(AND(Projects!$C$41&lt;=BN$4,BN$4&lt;=Projects!$C$41+Projects!$D$41-1),Projects!$B$41/Projects!$D$41,"")</f>
        <v/>
      </c>
      <c r="BO47" s="194" t="str">
        <f aca="false">IF(AND(Projects!$C$41&lt;=BO$4,BO$4&lt;=Projects!$C$41+Projects!$D$41-1),Projects!$B$41/Projects!$D$41,"")</f>
        <v/>
      </c>
      <c r="BP47" s="194" t="str">
        <f aca="false">IF(AND(Projects!$C$41&lt;=BP$4,BP$4&lt;=Projects!$C$41+Projects!$D$41-1),Projects!$B$41/Projects!$D$41,"")</f>
        <v/>
      </c>
      <c r="BQ47" s="194" t="str">
        <f aca="false">IF(AND(Projects!$C$41&lt;=BQ$4,BQ$4&lt;=Projects!$C$41+Projects!$D$41-1),Projects!$B$41/Projects!$D$41,"")</f>
        <v/>
      </c>
      <c r="BR47" s="194" t="str">
        <f aca="false">IF(AND(Projects!$C$41&lt;=BR$4,BR$4&lt;=Projects!$C$41+Projects!$D$41-1),Projects!$B$41/Projects!$D$41,"")</f>
        <v/>
      </c>
      <c r="BS47" s="194" t="str">
        <f aca="false">IF(AND(Projects!$C$41&lt;=BS$4,BS$4&lt;=Projects!$C$41+Projects!$D$41-1),Projects!$B$41/Projects!$D$41,"")</f>
        <v/>
      </c>
      <c r="BT47" s="194" t="str">
        <f aca="false">IF(AND(Projects!$C$41&lt;=BT$4,BT$4&lt;=Projects!$C$41+Projects!$D$41-1),Projects!$B$41/Projects!$D$41,"")</f>
        <v/>
      </c>
      <c r="BU47" s="194" t="str">
        <f aca="false">IF(AND(Projects!$C$41&lt;=BU$4,BU$4&lt;=Projects!$C$41+Projects!$D$41-1),Projects!$B$41/Projects!$D$41,"")</f>
        <v/>
      </c>
      <c r="BV47" s="194" t="str">
        <f aca="false">IF(AND(Projects!$C$41&lt;=BV$4,BV$4&lt;=Projects!$C$41+Projects!$D$41-1),Projects!$B$41/Projects!$D$41,"")</f>
        <v/>
      </c>
      <c r="BW47" s="194" t="str">
        <f aca="false">IF(AND(Projects!$C$41&lt;=BW$4,BW$4&lt;=Projects!$C$41+Projects!$D$41-1),Projects!$B$41/Projects!$D$41,"")</f>
        <v/>
      </c>
      <c r="BX47" s="194" t="str">
        <f aca="false">IF(AND(Projects!$C$41&lt;=BX$4,BX$4&lt;=Projects!$C$41+Projects!$D$41-1),Projects!$B$41/Projects!$D$41,"")</f>
        <v/>
      </c>
      <c r="BY47" s="194" t="str">
        <f aca="false">IF(AND(Projects!$C$41&lt;=BY$4,BY$4&lt;=Projects!$C$41+Projects!$D$41-1),Projects!$B$41/Projects!$D$41,"")</f>
        <v/>
      </c>
      <c r="BZ47" s="194" t="n">
        <f aca="false">IF(AND(Projects!$C$41&lt;=BZ$4,BZ$4&lt;=Projects!$C$41+Projects!$D$41-1),Projects!$B$41/Projects!$D$41,"")</f>
        <v>789473.684210526</v>
      </c>
      <c r="CA47" s="194" t="n">
        <f aca="false">IF(AND(Projects!$C$41&lt;=CA$4,CA$4&lt;=Projects!$C$41+Projects!$D$41-1),Projects!$B$41/Projects!$D$41,"")</f>
        <v>789473.684210526</v>
      </c>
      <c r="CB47" s="194" t="n">
        <f aca="false">IF(AND(Projects!$C$41&lt;=CB$4,CB$4&lt;=Projects!$C$41+Projects!$D$41-1),Projects!$B$41/Projects!$D$41,"")</f>
        <v>789473.684210526</v>
      </c>
      <c r="CC47" s="194" t="n">
        <f aca="false">IF(AND(Projects!$C$41&lt;=CC$4,CC$4&lt;=Projects!$C$41+Projects!$D$41-1),Projects!$B$41/Projects!$D$41,"")</f>
        <v>789473.684210526</v>
      </c>
      <c r="CD47" s="194" t="n">
        <f aca="false">IF(AND(Projects!$C$41&lt;=CD$4,CD$4&lt;=Projects!$C$41+Projects!$D$41-1),Projects!$B$41/Projects!$D$41,"")</f>
        <v>789473.684210526</v>
      </c>
      <c r="CE47" s="194" t="n">
        <f aca="false">IF(AND(Projects!$C$41&lt;=CE$4,CE$4&lt;=Projects!$C$41+Projects!$D$41-1),Projects!$B$41/Projects!$D$41,"")</f>
        <v>789473.684210526</v>
      </c>
      <c r="CF47" s="194" t="n">
        <f aca="false">IF(AND(Projects!$C$41&lt;=CF$4,CF$4&lt;=Projects!$C$41+Projects!$D$41-1),Projects!$B$41/Projects!$D$41,"")</f>
        <v>789473.684210526</v>
      </c>
      <c r="CG47" s="194" t="n">
        <f aca="false">IF(AND(Projects!$C$41&lt;=CG$4,CG$4&lt;=Projects!$C$41+Projects!$D$41-1),Projects!$B$41/Projects!$D$41,"")</f>
        <v>789473.684210526</v>
      </c>
      <c r="CH47" s="194" t="n">
        <f aca="false">IF(AND(Projects!$C$41&lt;=CH$4,CH$4&lt;=Projects!$C$41+Projects!$D$41-1),Projects!$B$41/Projects!$D$41,"")</f>
        <v>789473.684210526</v>
      </c>
      <c r="CI47" s="194" t="n">
        <f aca="false">IF(AND(Projects!$C$41&lt;=CI$4,CI$4&lt;=Projects!$C$41+Projects!$D$41-1),Projects!$B$41/Projects!$D$41,"")</f>
        <v>789473.684210526</v>
      </c>
      <c r="CJ47" s="194" t="n">
        <f aca="false">IF(AND(Projects!$C$41&lt;=CJ$4,CJ$4&lt;=Projects!$C$41+Projects!$D$41-1),Projects!$B$41/Projects!$D$41,"")</f>
        <v>789473.684210526</v>
      </c>
      <c r="CK47" s="194" t="n">
        <f aca="false">IF(AND(Projects!$C$41&lt;=CK$4,CK$4&lt;=Projects!$C$41+Projects!$D$41-1),Projects!$B$41/Projects!$D$41,"")</f>
        <v>789473.684210526</v>
      </c>
      <c r="CL47" s="194" t="n">
        <f aca="false">IF(AND(Projects!$C$41&lt;=CL$4,CL$4&lt;=Projects!$C$41+Projects!$D$41-1),Projects!$B$41/Projects!$D$41,"")</f>
        <v>789473.684210526</v>
      </c>
      <c r="CM47" s="194" t="n">
        <f aca="false">IF(AND(Projects!$C$41&lt;=CM$4,CM$4&lt;=Projects!$C$41+Projects!$D$41-1),Projects!$B$41/Projects!$D$41,"")</f>
        <v>789473.684210526</v>
      </c>
      <c r="CN47" s="194" t="n">
        <f aca="false">IF(AND(Projects!$C$41&lt;=CN$4,CN$4&lt;=Projects!$C$41+Projects!$D$41-1),Projects!$B$41/Projects!$D$41,"")</f>
        <v>789473.684210526</v>
      </c>
      <c r="CO47" s="194" t="n">
        <f aca="false">IF(AND(Projects!$C$41&lt;=CO$4,CO$4&lt;=Projects!$C$41+Projects!$D$41-1),Projects!$B$41/Projects!$D$41,"")</f>
        <v>789473.684210526</v>
      </c>
      <c r="CP47" s="194" t="n">
        <f aca="false">IF(AND(Projects!$C$41&lt;=CP$4,CP$4&lt;=Projects!$C$41+Projects!$D$41-1),Projects!$B$41/Projects!$D$41,"")</f>
        <v>789473.684210526</v>
      </c>
      <c r="CQ47" s="194" t="n">
        <f aca="false">IF(AND(Projects!$C$41&lt;=CQ$4,CQ$4&lt;=Projects!$C$41+Projects!$D$41-1),Projects!$B$41/Projects!$D$41,"")</f>
        <v>789473.684210526</v>
      </c>
      <c r="CR47" s="194" t="n">
        <f aca="false">IF(AND(Projects!$C$41&lt;=CR$4,CR$4&lt;=Projects!$C$41+Projects!$D$41-1),Projects!$B$41/Projects!$D$41,"")</f>
        <v>789473.684210526</v>
      </c>
      <c r="CS47" s="194" t="str">
        <f aca="false">IF(AND(Projects!$C$41&lt;=CS$4,CS$4&lt;=Projects!$C$41+Projects!$D$41-1),Projects!$B$41/Projects!$D$41,"")</f>
        <v/>
      </c>
      <c r="CT47" s="194" t="str">
        <f aca="false">IF(AND(Projects!$C$41&lt;=CT$4,CT$4&lt;=Projects!$C$41+Projects!$D$41-1),Projects!$B$41/Projects!$D$41,"")</f>
        <v/>
      </c>
      <c r="CU47" s="194" t="str">
        <f aca="false">IF(AND(Projects!$C$41&lt;=CU$4,CU$4&lt;=Projects!$C$41+Projects!$D$41-1),Projects!$B$41/Projects!$D$41,"")</f>
        <v/>
      </c>
      <c r="CV47" s="194" t="str">
        <f aca="false">IF(AND(Projects!$C$41&lt;=CV$4,CV$4&lt;=Projects!$C$41+Projects!$D$41-1),Projects!$B$41/Projects!$D$41,"")</f>
        <v/>
      </c>
      <c r="CW47" s="194" t="str">
        <f aca="false">IF(AND(Projects!$C$41&lt;=CW$4,CW$4&lt;=Projects!$C$41+Projects!$D$41-1),Projects!$B$41/Projects!$D$41,"")</f>
        <v/>
      </c>
      <c r="CX47" s="194" t="str">
        <f aca="false">IF(AND(Projects!$C$41&lt;=CX$4,CX$4&lt;=Projects!$C$41+Projects!$D$41-1),Projects!$B$41/Projects!$D$41,"")</f>
        <v/>
      </c>
      <c r="CY47" s="194" t="str">
        <f aca="false">IF(AND(Projects!$C$41&lt;=CY$4,CY$4&lt;=Projects!$C$41+Projects!$D$41-1),Projects!$B$41/Projects!$D$41,"")</f>
        <v/>
      </c>
      <c r="CZ47" s="194" t="str">
        <f aca="false">IF(AND(Projects!$C$41&lt;=CZ$4,CZ$4&lt;=Projects!$C$41+Projects!$D$41-1),Projects!$B$41/Projects!$D$41,"")</f>
        <v/>
      </c>
      <c r="DA47" s="194" t="str">
        <f aca="false">IF(AND(Projects!$C$41&lt;=DA$4,DA$4&lt;=Projects!$C$41+Projects!$D$41-1),Projects!$B$41/Projects!$D$41,"")</f>
        <v/>
      </c>
      <c r="DB47" s="194" t="str">
        <f aca="false">IF(AND(Projects!$C$41&lt;=DB$4,DB$4&lt;=Projects!$C$41+Projects!$D$41-1),Projects!$B$41/Projects!$D$41,"")</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Projects!$B$42/Projects!$D$42</f>
        <v>947368.421052632</v>
      </c>
      <c r="G48" s="194" t="str">
        <f aca="false">IF(AND(Projects!$C$42&lt;=G$4,G$4&lt;=Projects!$C$42+Projects!$D$42-1),Projects!$B$42/Projects!$D$42,"")</f>
        <v/>
      </c>
      <c r="H48" s="194" t="str">
        <f aca="false">IF(AND(Projects!$C$42&lt;=H$4,H$4&lt;=Projects!$C$42+Projects!$D$42-1),Projects!$B$42/Projects!$D$42,"")</f>
        <v/>
      </c>
      <c r="I48" s="194" t="str">
        <f aca="false">IF(AND(Projects!$C$42&lt;=I$4,I$4&lt;=Projects!$C$42+Projects!$D$42-1),Projects!$B$42/Projects!$D$42,"")</f>
        <v/>
      </c>
      <c r="J48" s="194" t="str">
        <f aca="false">IF(AND(Projects!$C$42&lt;=J$4,J$4&lt;=Projects!$C$42+Projects!$D$42-1),Projects!$B$42/Projects!$D$42,"")</f>
        <v/>
      </c>
      <c r="K48" s="194" t="str">
        <f aca="false">IF(AND(Projects!$C$42&lt;=K$4,K$4&lt;=Projects!$C$42+Projects!$D$42-1),Projects!$B$42/Projects!$D$42,"")</f>
        <v/>
      </c>
      <c r="L48" s="194" t="str">
        <f aca="false">IF(AND(Projects!$C$42&lt;=L$4,L$4&lt;=Projects!$C$42+Projects!$D$42-1),Projects!$B$42/Projects!$D$42,"")</f>
        <v/>
      </c>
      <c r="M48" s="194" t="str">
        <f aca="false">IF(AND(Projects!$C$42&lt;=M$4,M$4&lt;=Projects!$C$42+Projects!$D$42-1),Projects!$B$42/Projects!$D$42,"")</f>
        <v/>
      </c>
      <c r="N48" s="194" t="str">
        <f aca="false">IF(AND(Projects!$C$42&lt;=N$4,N$4&lt;=Projects!$C$42+Projects!$D$42-1),Projects!$B$42/Projects!$D$42,"")</f>
        <v/>
      </c>
      <c r="O48" s="194" t="str">
        <f aca="false">IF(AND(Projects!$C$42&lt;=O$4,O$4&lt;=Projects!$C$42+Projects!$D$42-1),Projects!$B$42/Projects!$D$42,"")</f>
        <v/>
      </c>
      <c r="P48" s="194" t="str">
        <f aca="false">IF(AND(Projects!$C$42&lt;=P$4,P$4&lt;=Projects!$C$42+Projects!$D$42-1),Projects!$B$42/Projects!$D$42,"")</f>
        <v/>
      </c>
      <c r="Q48" s="194" t="str">
        <f aca="false">IF(AND(Projects!$C$42&lt;=Q$4,Q$4&lt;=Projects!$C$42+Projects!$D$42-1),Projects!$B$42/Projects!$D$42,"")</f>
        <v/>
      </c>
      <c r="R48" s="194" t="str">
        <f aca="false">IF(AND(Projects!$C$42&lt;=R$4,R$4&lt;=Projects!$C$42+Projects!$D$42-1),Projects!$B$42/Projects!$D$42,"")</f>
        <v/>
      </c>
      <c r="S48" s="194" t="str">
        <f aca="false">IF(AND(Projects!$C$42&lt;=S$4,S$4&lt;=Projects!$C$42+Projects!$D$42-1),Projects!$B$42/Projects!$D$42,"")</f>
        <v/>
      </c>
      <c r="T48" s="194" t="str">
        <f aca="false">IF(AND(Projects!$C$42&lt;=T$4,T$4&lt;=Projects!$C$42+Projects!$D$42-1),Projects!$B$42/Projects!$D$42,"")</f>
        <v/>
      </c>
      <c r="U48" s="194" t="str">
        <f aca="false">IF(AND(Projects!$C$42&lt;=U$4,U$4&lt;=Projects!$C$42+Projects!$D$42-1),Projects!$B$42/Projects!$D$42,"")</f>
        <v/>
      </c>
      <c r="V48" s="194" t="str">
        <f aca="false">IF(AND(Projects!$C$42&lt;=V$4,V$4&lt;=Projects!$C$42+Projects!$D$42-1),Projects!$B$42/Projects!$D$42,"")</f>
        <v/>
      </c>
      <c r="W48" s="194" t="str">
        <f aca="false">IF(AND(Projects!$C$42&lt;=W$4,W$4&lt;=Projects!$C$42+Projects!$D$42-1),Projects!$B$42/Projects!$D$42,"")</f>
        <v/>
      </c>
      <c r="X48" s="194" t="str">
        <f aca="false">IF(AND(Projects!$C$42&lt;=X$4,X$4&lt;=Projects!$C$42+Projects!$D$42-1),Projects!$B$42/Projects!$D$42,"")</f>
        <v/>
      </c>
      <c r="Y48" s="194" t="str">
        <f aca="false">IF(AND(Projects!$C$42&lt;=Y$4,Y$4&lt;=Projects!$C$42+Projects!$D$42-1),Projects!$B$42/Projects!$D$42,"")</f>
        <v/>
      </c>
      <c r="Z48" s="194" t="str">
        <f aca="false">IF(AND(Projects!$C$42&lt;=Z$4,Z$4&lt;=Projects!$C$42+Projects!$D$42-1),Projects!$B$42/Projects!$D$42,"")</f>
        <v/>
      </c>
      <c r="AA48" s="194" t="str">
        <f aca="false">IF(AND(Projects!$C$42&lt;=AA$4,AA$4&lt;=Projects!$C$42+Projects!$D$42-1),Projects!$B$42/Projects!$D$42,"")</f>
        <v/>
      </c>
      <c r="AB48" s="194" t="str">
        <f aca="false">IF(AND(Projects!$C$42&lt;=AB$4,AB$4&lt;=Projects!$C$42+Projects!$D$42-1),Projects!$B$42/Projects!$D$42,"")</f>
        <v/>
      </c>
      <c r="AC48" s="194" t="str">
        <f aca="false">IF(AND(Projects!$C$42&lt;=AC$4,AC$4&lt;=Projects!$C$42+Projects!$D$42-1),Projects!$B$42/Projects!$D$42,"")</f>
        <v/>
      </c>
      <c r="AD48" s="194" t="str">
        <f aca="false">IF(AND(Projects!$C$42&lt;=AD$4,AD$4&lt;=Projects!$C$42+Projects!$D$42-1),Projects!$B$42/Projects!$D$42,"")</f>
        <v/>
      </c>
      <c r="AE48" s="194" t="str">
        <f aca="false">IF(AND(Projects!$C$42&lt;=AE$4,AE$4&lt;=Projects!$C$42+Projects!$D$42-1),Projects!$B$42/Projects!$D$42,"")</f>
        <v/>
      </c>
      <c r="AF48" s="194" t="str">
        <f aca="false">IF(AND(Projects!$C$42&lt;=AF$4,AF$4&lt;=Projects!$C$42+Projects!$D$42-1),Projects!$B$42/Projects!$D$42,"")</f>
        <v/>
      </c>
      <c r="AG48" s="194" t="str">
        <f aca="false">IF(AND(Projects!$C$42&lt;=AG$4,AG$4&lt;=Projects!$C$42+Projects!$D$42-1),Projects!$B$42/Projects!$D$42,"")</f>
        <v/>
      </c>
      <c r="AH48" s="194" t="str">
        <f aca="false">IF(AND(Projects!$C$42&lt;=AH$4,AH$4&lt;=Projects!$C$42+Projects!$D$42-1),Projects!$B$42/Projects!$D$42,"")</f>
        <v/>
      </c>
      <c r="AI48" s="194" t="str">
        <f aca="false">IF(AND(Projects!$C$42&lt;=AI$4,AI$4&lt;=Projects!$C$42+Projects!$D$42-1),Projects!$B$42/Projects!$D$42,"")</f>
        <v/>
      </c>
      <c r="AJ48" s="194" t="str">
        <f aca="false">IF(AND(Projects!$C$42&lt;=AJ$4,AJ$4&lt;=Projects!$C$42+Projects!$D$42-1),Projects!$B$42/Projects!$D$42,"")</f>
        <v/>
      </c>
      <c r="AK48" s="194" t="str">
        <f aca="false">IF(AND(Projects!$C$42&lt;=AK$4,AK$4&lt;=Projects!$C$42+Projects!$D$42-1),Projects!$B$42/Projects!$D$42,"")</f>
        <v/>
      </c>
      <c r="AL48" s="194" t="str">
        <f aca="false">IF(AND(Projects!$C$42&lt;=AL$4,AL$4&lt;=Projects!$C$42+Projects!$D$42-1),Projects!$B$42/Projects!$D$42,"")</f>
        <v/>
      </c>
      <c r="AM48" s="194" t="str">
        <f aca="false">IF(AND(Projects!$C$42&lt;=AM$4,AM$4&lt;=Projects!$C$42+Projects!$D$42-1),Projects!$B$42/Projects!$D$42,"")</f>
        <v/>
      </c>
      <c r="AN48" s="194" t="str">
        <f aca="false">IF(AND(Projects!$C$42&lt;=AN$4,AN$4&lt;=Projects!$C$42+Projects!$D$42-1),Projects!$B$42/Projects!$D$42,"")</f>
        <v/>
      </c>
      <c r="AO48" s="194" t="str">
        <f aca="false">IF(AND(Projects!$C$42&lt;=AO$4,AO$4&lt;=Projects!$C$42+Projects!$D$42-1),Projects!$B$42/Projects!$D$42,"")</f>
        <v/>
      </c>
      <c r="AP48" s="194" t="str">
        <f aca="false">IF(AND(Projects!$C$42&lt;=AP$4,AP$4&lt;=Projects!$C$42+Projects!$D$42-1),Projects!$B$42/Projects!$D$42,"")</f>
        <v/>
      </c>
      <c r="AQ48" s="194" t="str">
        <f aca="false">IF(AND(Projects!$C$42&lt;=AQ$4,AQ$4&lt;=Projects!$C$42+Projects!$D$42-1),Projects!$B$42/Projects!$D$42,"")</f>
        <v/>
      </c>
      <c r="AR48" s="194" t="str">
        <f aca="false">IF(AND(Projects!$C$42&lt;=AR$4,AR$4&lt;=Projects!$C$42+Projects!$D$42-1),Projects!$B$42/Projects!$D$42,"")</f>
        <v/>
      </c>
      <c r="AS48" s="194" t="str">
        <f aca="false">IF(AND(Projects!$C$42&lt;=AS$4,AS$4&lt;=Projects!$C$42+Projects!$D$42-1),Projects!$B$42/Projects!$D$42,"")</f>
        <v/>
      </c>
      <c r="AT48" s="194" t="str">
        <f aca="false">IF(AND(Projects!$C$42&lt;=AT$4,AT$4&lt;=Projects!$C$42+Projects!$D$42-1),Projects!$B$42/Projects!$D$42,"")</f>
        <v/>
      </c>
      <c r="AU48" s="194" t="str">
        <f aca="false">IF(AND(Projects!$C$42&lt;=AU$4,AU$4&lt;=Projects!$C$42+Projects!$D$42-1),Projects!$B$42/Projects!$D$42,"")</f>
        <v/>
      </c>
      <c r="AV48" s="194" t="str">
        <f aca="false">IF(AND(Projects!$C$42&lt;=AV$4,AV$4&lt;=Projects!$C$42+Projects!$D$42-1),Projects!$B$42/Projects!$D$42,"")</f>
        <v/>
      </c>
      <c r="AW48" s="194" t="str">
        <f aca="false">IF(AND(Projects!$C$42&lt;=AW$4,AW$4&lt;=Projects!$C$42+Projects!$D$42-1),Projects!$B$42/Projects!$D$42,"")</f>
        <v/>
      </c>
      <c r="AX48" s="194" t="str">
        <f aca="false">IF(AND(Projects!$C$42&lt;=AX$4,AX$4&lt;=Projects!$C$42+Projects!$D$42-1),Projects!$B$42/Projects!$D$42,"")</f>
        <v/>
      </c>
      <c r="AY48" s="194" t="str">
        <f aca="false">IF(AND(Projects!$C$42&lt;=AY$4,AY$4&lt;=Projects!$C$42+Projects!$D$42-1),Projects!$B$42/Projects!$D$42,"")</f>
        <v/>
      </c>
      <c r="AZ48" s="194" t="str">
        <f aca="false">IF(AND(Projects!$C$42&lt;=AZ$4,AZ$4&lt;=Projects!$C$42+Projects!$D$42-1),Projects!$B$42/Projects!$D$42,"")</f>
        <v/>
      </c>
      <c r="BA48" s="194" t="str">
        <f aca="false">IF(AND(Projects!$C$42&lt;=BA$4,BA$4&lt;=Projects!$C$42+Projects!$D$42-1),Projects!$B$42/Projects!$D$42,"")</f>
        <v/>
      </c>
      <c r="BB48" s="194" t="str">
        <f aca="false">IF(AND(Projects!$C$42&lt;=BB$4,BB$4&lt;=Projects!$C$42+Projects!$D$42-1),Projects!$B$42/Projects!$D$42,"")</f>
        <v/>
      </c>
      <c r="BC48" s="194" t="str">
        <f aca="false">IF(AND(Projects!$C$42&lt;=BC$4,BC$4&lt;=Projects!$C$42+Projects!$D$42-1),Projects!$B$42/Projects!$D$42,"")</f>
        <v/>
      </c>
      <c r="BD48" s="194" t="str">
        <f aca="false">IF(AND(Projects!$C$42&lt;=BD$4,BD$4&lt;=Projects!$C$42+Projects!$D$42-1),Projects!$B$42/Projects!$D$42,"")</f>
        <v/>
      </c>
      <c r="BE48" s="194" t="str">
        <f aca="false">IF(AND(Projects!$C$42&lt;=BE$4,BE$4&lt;=Projects!$C$42+Projects!$D$42-1),Projects!$B$42/Projects!$D$42,"")</f>
        <v/>
      </c>
      <c r="BF48" s="194" t="str">
        <f aca="false">IF(AND(Projects!$C$42&lt;=BF$4,BF$4&lt;=Projects!$C$42+Projects!$D$42-1),Projects!$B$42/Projects!$D$42,"")</f>
        <v/>
      </c>
      <c r="BG48" s="194" t="str">
        <f aca="false">IF(AND(Projects!$C$42&lt;=BG$4,BG$4&lt;=Projects!$C$42+Projects!$D$42-1),Projects!$B$42/Projects!$D$42,"")</f>
        <v/>
      </c>
      <c r="BH48" s="194" t="str">
        <f aca="false">IF(AND(Projects!$C$42&lt;=BH$4,BH$4&lt;=Projects!$C$42+Projects!$D$42-1),Projects!$B$42/Projects!$D$42,"")</f>
        <v/>
      </c>
      <c r="BI48" s="194" t="str">
        <f aca="false">IF(AND(Projects!$C$42&lt;=BI$4,BI$4&lt;=Projects!$C$42+Projects!$D$42-1),Projects!$B$42/Projects!$D$42,"")</f>
        <v/>
      </c>
      <c r="BJ48" s="194" t="str">
        <f aca="false">IF(AND(Projects!$C$42&lt;=BJ$4,BJ$4&lt;=Projects!$C$42+Projects!$D$42-1),Projects!$B$42/Projects!$D$42,"")</f>
        <v/>
      </c>
      <c r="BK48" s="194" t="str">
        <f aca="false">IF(AND(Projects!$C$42&lt;=BK$4,BK$4&lt;=Projects!$C$42+Projects!$D$42-1),Projects!$B$42/Projects!$D$42,"")</f>
        <v/>
      </c>
      <c r="BL48" s="194" t="str">
        <f aca="false">IF(AND(Projects!$C$42&lt;=BL$4,BL$4&lt;=Projects!$C$42+Projects!$D$42-1),Projects!$B$42/Projects!$D$42,"")</f>
        <v/>
      </c>
      <c r="BM48" s="194" t="str">
        <f aca="false">IF(AND(Projects!$C$42&lt;=BM$4,BM$4&lt;=Projects!$C$42+Projects!$D$42-1),Projects!$B$42/Projects!$D$42,"")</f>
        <v/>
      </c>
      <c r="BN48" s="194" t="str">
        <f aca="false">IF(AND(Projects!$C$42&lt;=BN$4,BN$4&lt;=Projects!$C$42+Projects!$D$42-1),Projects!$B$42/Projects!$D$42,"")</f>
        <v/>
      </c>
      <c r="BO48" s="194" t="str">
        <f aca="false">IF(AND(Projects!$C$42&lt;=BO$4,BO$4&lt;=Projects!$C$42+Projects!$D$42-1),Projects!$B$42/Projects!$D$42,"")</f>
        <v/>
      </c>
      <c r="BP48" s="194" t="str">
        <f aca="false">IF(AND(Projects!$C$42&lt;=BP$4,BP$4&lt;=Projects!$C$42+Projects!$D$42-1),Projects!$B$42/Projects!$D$42,"")</f>
        <v/>
      </c>
      <c r="BQ48" s="194" t="str">
        <f aca="false">IF(AND(Projects!$C$42&lt;=BQ$4,BQ$4&lt;=Projects!$C$42+Projects!$D$42-1),Projects!$B$42/Projects!$D$42,"")</f>
        <v/>
      </c>
      <c r="BR48" s="194" t="str">
        <f aca="false">IF(AND(Projects!$C$42&lt;=BR$4,BR$4&lt;=Projects!$C$42+Projects!$D$42-1),Projects!$B$42/Projects!$D$42,"")</f>
        <v/>
      </c>
      <c r="BS48" s="194" t="str">
        <f aca="false">IF(AND(Projects!$C$42&lt;=BS$4,BS$4&lt;=Projects!$C$42+Projects!$D$42-1),Projects!$B$42/Projects!$D$42,"")</f>
        <v/>
      </c>
      <c r="BT48" s="194" t="str">
        <f aca="false">IF(AND(Projects!$C$42&lt;=BT$4,BT$4&lt;=Projects!$C$42+Projects!$D$42-1),Projects!$B$42/Projects!$D$42,"")</f>
        <v/>
      </c>
      <c r="BU48" s="194" t="str">
        <f aca="false">IF(AND(Projects!$C$42&lt;=BU$4,BU$4&lt;=Projects!$C$42+Projects!$D$42-1),Projects!$B$42/Projects!$D$42,"")</f>
        <v/>
      </c>
      <c r="BV48" s="194" t="str">
        <f aca="false">IF(AND(Projects!$C$42&lt;=BV$4,BV$4&lt;=Projects!$C$42+Projects!$D$42-1),Projects!$B$42/Projects!$D$42,"")</f>
        <v/>
      </c>
      <c r="BW48" s="194" t="str">
        <f aca="false">IF(AND(Projects!$C$42&lt;=BW$4,BW$4&lt;=Projects!$C$42+Projects!$D$42-1),Projects!$B$42/Projects!$D$42,"")</f>
        <v/>
      </c>
      <c r="BX48" s="194" t="str">
        <f aca="false">IF(AND(Projects!$C$42&lt;=BX$4,BX$4&lt;=Projects!$C$42+Projects!$D$42-1),Projects!$B$42/Projects!$D$42,"")</f>
        <v/>
      </c>
      <c r="BY48" s="194" t="str">
        <f aca="false">IF(AND(Projects!$C$42&lt;=BY$4,BY$4&lt;=Projects!$C$42+Projects!$D$42-1),Projects!$B$42/Projects!$D$42,"")</f>
        <v/>
      </c>
      <c r="BZ48" s="194" t="str">
        <f aca="false">IF(AND(Projects!$C$42&lt;=BZ$4,BZ$4&lt;=Projects!$C$42+Projects!$D$42-1),Projects!$B$42/Projects!$D$42,"")</f>
        <v/>
      </c>
      <c r="CA48" s="194" t="str">
        <f aca="false">IF(AND(Projects!$C$42&lt;=CA$4,CA$4&lt;=Projects!$C$42+Projects!$D$42-1),Projects!$B$42/Projects!$D$42,"")</f>
        <v/>
      </c>
      <c r="CB48" s="194" t="n">
        <f aca="false">IF(AND(Projects!$C$42&lt;=CB$4,CB$4&lt;=Projects!$C$42+Projects!$D$42-1),Projects!$B$42/Projects!$D$42,"")</f>
        <v>947368.421052632</v>
      </c>
      <c r="CC48" s="194" t="n">
        <f aca="false">IF(AND(Projects!$C$42&lt;=CC$4,CC$4&lt;=Projects!$C$42+Projects!$D$42-1),Projects!$B$42/Projects!$D$42,"")</f>
        <v>947368.421052632</v>
      </c>
      <c r="CD48" s="194" t="n">
        <f aca="false">IF(AND(Projects!$C$42&lt;=CD$4,CD$4&lt;=Projects!$C$42+Projects!$D$42-1),Projects!$B$42/Projects!$D$42,"")</f>
        <v>947368.421052632</v>
      </c>
      <c r="CE48" s="194" t="n">
        <f aca="false">IF(AND(Projects!$C$42&lt;=CE$4,CE$4&lt;=Projects!$C$42+Projects!$D$42-1),Projects!$B$42/Projects!$D$42,"")</f>
        <v>947368.421052632</v>
      </c>
      <c r="CF48" s="194" t="n">
        <f aca="false">IF(AND(Projects!$C$42&lt;=CF$4,CF$4&lt;=Projects!$C$42+Projects!$D$42-1),Projects!$B$42/Projects!$D$42,"")</f>
        <v>947368.421052632</v>
      </c>
      <c r="CG48" s="194" t="n">
        <f aca="false">IF(AND(Projects!$C$42&lt;=CG$4,CG$4&lt;=Projects!$C$42+Projects!$D$42-1),Projects!$B$42/Projects!$D$42,"")</f>
        <v>947368.421052632</v>
      </c>
      <c r="CH48" s="194" t="n">
        <f aca="false">IF(AND(Projects!$C$42&lt;=CH$4,CH$4&lt;=Projects!$C$42+Projects!$D$42-1),Projects!$B$42/Projects!$D$42,"")</f>
        <v>947368.421052632</v>
      </c>
      <c r="CI48" s="194" t="n">
        <f aca="false">IF(AND(Projects!$C$42&lt;=CI$4,CI$4&lt;=Projects!$C$42+Projects!$D$42-1),Projects!$B$42/Projects!$D$42,"")</f>
        <v>947368.421052632</v>
      </c>
      <c r="CJ48" s="194" t="n">
        <f aca="false">IF(AND(Projects!$C$42&lt;=CJ$4,CJ$4&lt;=Projects!$C$42+Projects!$D$42-1),Projects!$B$42/Projects!$D$42,"")</f>
        <v>947368.421052632</v>
      </c>
      <c r="CK48" s="194" t="n">
        <f aca="false">IF(AND(Projects!$C$42&lt;=CK$4,CK$4&lt;=Projects!$C$42+Projects!$D$42-1),Projects!$B$42/Projects!$D$42,"")</f>
        <v>947368.421052632</v>
      </c>
      <c r="CL48" s="194" t="n">
        <f aca="false">IF(AND(Projects!$C$42&lt;=CL$4,CL$4&lt;=Projects!$C$42+Projects!$D$42-1),Projects!$B$42/Projects!$D$42,"")</f>
        <v>947368.421052632</v>
      </c>
      <c r="CM48" s="194" t="n">
        <f aca="false">IF(AND(Projects!$C$42&lt;=CM$4,CM$4&lt;=Projects!$C$42+Projects!$D$42-1),Projects!$B$42/Projects!$D$42,"")</f>
        <v>947368.421052632</v>
      </c>
      <c r="CN48" s="194" t="n">
        <f aca="false">IF(AND(Projects!$C$42&lt;=CN$4,CN$4&lt;=Projects!$C$42+Projects!$D$42-1),Projects!$B$42/Projects!$D$42,"")</f>
        <v>947368.421052632</v>
      </c>
      <c r="CO48" s="194" t="n">
        <f aca="false">IF(AND(Projects!$C$42&lt;=CO$4,CO$4&lt;=Projects!$C$42+Projects!$D$42-1),Projects!$B$42/Projects!$D$42,"")</f>
        <v>947368.421052632</v>
      </c>
      <c r="CP48" s="194" t="n">
        <f aca="false">IF(AND(Projects!$C$42&lt;=CP$4,CP$4&lt;=Projects!$C$42+Projects!$D$42-1),Projects!$B$42/Projects!$D$42,"")</f>
        <v>947368.421052632</v>
      </c>
      <c r="CQ48" s="194" t="n">
        <f aca="false">IF(AND(Projects!$C$42&lt;=CQ$4,CQ$4&lt;=Projects!$C$42+Projects!$D$42-1),Projects!$B$42/Projects!$D$42,"")</f>
        <v>947368.421052632</v>
      </c>
      <c r="CR48" s="194" t="n">
        <f aca="false">IF(AND(Projects!$C$42&lt;=CR$4,CR$4&lt;=Projects!$C$42+Projects!$D$42-1),Projects!$B$42/Projects!$D$42,"")</f>
        <v>947368.421052632</v>
      </c>
      <c r="CS48" s="194" t="n">
        <f aca="false">IF(AND(Projects!$C$42&lt;=CS$4,CS$4&lt;=Projects!$C$42+Projects!$D$42-1),Projects!$B$42/Projects!$D$42,"")</f>
        <v>947368.421052632</v>
      </c>
      <c r="CT48" s="194" t="n">
        <f aca="false">IF(AND(Projects!$C$42&lt;=CT$4,CT$4&lt;=Projects!$C$42+Projects!$D$42-1),Projects!$B$42/Projects!$D$42,"")</f>
        <v>947368.421052632</v>
      </c>
      <c r="CU48" s="194" t="str">
        <f aca="false">IF(AND(Projects!$C$42&lt;=CU$4,CU$4&lt;=Projects!$C$42+Projects!$D$42-1),Projects!$B$42/Projects!$D$42,"")</f>
        <v/>
      </c>
      <c r="CV48" s="194" t="str">
        <f aca="false">IF(AND(Projects!$C$42&lt;=CV$4,CV$4&lt;=Projects!$C$42+Projects!$D$42-1),Projects!$B$42/Projects!$D$42,"")</f>
        <v/>
      </c>
      <c r="CW48" s="194" t="str">
        <f aca="false">IF(AND(Projects!$C$42&lt;=CW$4,CW$4&lt;=Projects!$C$42+Projects!$D$42-1),Projects!$B$42/Projects!$D$42,"")</f>
        <v/>
      </c>
      <c r="CX48" s="194" t="str">
        <f aca="false">IF(AND(Projects!$C$42&lt;=CX$4,CX$4&lt;=Projects!$C$42+Projects!$D$42-1),Projects!$B$42/Projects!$D$42,"")</f>
        <v/>
      </c>
      <c r="CY48" s="194" t="str">
        <f aca="false">IF(AND(Projects!$C$42&lt;=CY$4,CY$4&lt;=Projects!$C$42+Projects!$D$42-1),Projects!$B$42/Projects!$D$42,"")</f>
        <v/>
      </c>
      <c r="CZ48" s="194" t="str">
        <f aca="false">IF(AND(Projects!$C$42&lt;=CZ$4,CZ$4&lt;=Projects!$C$42+Projects!$D$42-1),Projects!$B$42/Projects!$D$42,"")</f>
        <v/>
      </c>
      <c r="DA48" s="194" t="str">
        <f aca="false">IF(AND(Projects!$C$42&lt;=DA$4,DA$4&lt;=Projects!$C$42+Projects!$D$42-1),Projects!$B$42/Projects!$D$42,"")</f>
        <v/>
      </c>
      <c r="DB48" s="194" t="str">
        <f aca="false">IF(AND(Projects!$C$42&lt;=DB$4,DB$4&lt;=Projects!$C$42+Projects!$D$42-1),Projects!$B$42/Projects!$D$42,"")</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Projects!$B$43/Projects!$D$43</f>
        <v>789473.684210526</v>
      </c>
      <c r="G49" s="194" t="str">
        <f aca="false">IF(AND(Projects!$C$43&lt;=G$4,G$4&lt;=Projects!$C$43+Projects!$D$43-1),Projects!$B$43/Projects!$D$43,"")</f>
        <v/>
      </c>
      <c r="H49" s="194" t="str">
        <f aca="false">IF(AND(Projects!$C$43&lt;=H$4,H$4&lt;=Projects!$C$43+Projects!$D$43-1),Projects!$B$43/Projects!$D$43,"")</f>
        <v/>
      </c>
      <c r="I49" s="194" t="str">
        <f aca="false">IF(AND(Projects!$C$43&lt;=I$4,I$4&lt;=Projects!$C$43+Projects!$D$43-1),Projects!$B$43/Projects!$D$43,"")</f>
        <v/>
      </c>
      <c r="J49" s="194" t="str">
        <f aca="false">IF(AND(Projects!$C$43&lt;=J$4,J$4&lt;=Projects!$C$43+Projects!$D$43-1),Projects!$B$43/Projects!$D$43,"")</f>
        <v/>
      </c>
      <c r="K49" s="194" t="str">
        <f aca="false">IF(AND(Projects!$C$43&lt;=K$4,K$4&lt;=Projects!$C$43+Projects!$D$43-1),Projects!$B$43/Projects!$D$43,"")</f>
        <v/>
      </c>
      <c r="L49" s="194" t="str">
        <f aca="false">IF(AND(Projects!$C$43&lt;=L$4,L$4&lt;=Projects!$C$43+Projects!$D$43-1),Projects!$B$43/Projects!$D$43,"")</f>
        <v/>
      </c>
      <c r="M49" s="194" t="str">
        <f aca="false">IF(AND(Projects!$C$43&lt;=M$4,M$4&lt;=Projects!$C$43+Projects!$D$43-1),Projects!$B$43/Projects!$D$43,"")</f>
        <v/>
      </c>
      <c r="N49" s="194" t="str">
        <f aca="false">IF(AND(Projects!$C$43&lt;=N$4,N$4&lt;=Projects!$C$43+Projects!$D$43-1),Projects!$B$43/Projects!$D$43,"")</f>
        <v/>
      </c>
      <c r="O49" s="194" t="str">
        <f aca="false">IF(AND(Projects!$C$43&lt;=O$4,O$4&lt;=Projects!$C$43+Projects!$D$43-1),Projects!$B$43/Projects!$D$43,"")</f>
        <v/>
      </c>
      <c r="P49" s="194" t="str">
        <f aca="false">IF(AND(Projects!$C$43&lt;=P$4,P$4&lt;=Projects!$C$43+Projects!$D$43-1),Projects!$B$43/Projects!$D$43,"")</f>
        <v/>
      </c>
      <c r="Q49" s="194" t="str">
        <f aca="false">IF(AND(Projects!$C$43&lt;=Q$4,Q$4&lt;=Projects!$C$43+Projects!$D$43-1),Projects!$B$43/Projects!$D$43,"")</f>
        <v/>
      </c>
      <c r="R49" s="194" t="str">
        <f aca="false">IF(AND(Projects!$C$43&lt;=R$4,R$4&lt;=Projects!$C$43+Projects!$D$43-1),Projects!$B$43/Projects!$D$43,"")</f>
        <v/>
      </c>
      <c r="S49" s="194" t="str">
        <f aca="false">IF(AND(Projects!$C$43&lt;=S$4,S$4&lt;=Projects!$C$43+Projects!$D$43-1),Projects!$B$43/Projects!$D$43,"")</f>
        <v/>
      </c>
      <c r="T49" s="194" t="str">
        <f aca="false">IF(AND(Projects!$C$43&lt;=T$4,T$4&lt;=Projects!$C$43+Projects!$D$43-1),Projects!$B$43/Projects!$D$43,"")</f>
        <v/>
      </c>
      <c r="U49" s="194" t="str">
        <f aca="false">IF(AND(Projects!$C$43&lt;=U$4,U$4&lt;=Projects!$C$43+Projects!$D$43-1),Projects!$B$43/Projects!$D$43,"")</f>
        <v/>
      </c>
      <c r="V49" s="194" t="str">
        <f aca="false">IF(AND(Projects!$C$43&lt;=V$4,V$4&lt;=Projects!$C$43+Projects!$D$43-1),Projects!$B$43/Projects!$D$43,"")</f>
        <v/>
      </c>
      <c r="W49" s="194" t="str">
        <f aca="false">IF(AND(Projects!$C$43&lt;=W$4,W$4&lt;=Projects!$C$43+Projects!$D$43-1),Projects!$B$43/Projects!$D$43,"")</f>
        <v/>
      </c>
      <c r="X49" s="194" t="str">
        <f aca="false">IF(AND(Projects!$C$43&lt;=X$4,X$4&lt;=Projects!$C$43+Projects!$D$43-1),Projects!$B$43/Projects!$D$43,"")</f>
        <v/>
      </c>
      <c r="Y49" s="194" t="str">
        <f aca="false">IF(AND(Projects!$C$43&lt;=Y$4,Y$4&lt;=Projects!$C$43+Projects!$D$43-1),Projects!$B$43/Projects!$D$43,"")</f>
        <v/>
      </c>
      <c r="Z49" s="194" t="str">
        <f aca="false">IF(AND(Projects!$C$43&lt;=Z$4,Z$4&lt;=Projects!$C$43+Projects!$D$43-1),Projects!$B$43/Projects!$D$43,"")</f>
        <v/>
      </c>
      <c r="AA49" s="194" t="str">
        <f aca="false">IF(AND(Projects!$C$43&lt;=AA$4,AA$4&lt;=Projects!$C$43+Projects!$D$43-1),Projects!$B$43/Projects!$D$43,"")</f>
        <v/>
      </c>
      <c r="AB49" s="194" t="str">
        <f aca="false">IF(AND(Projects!$C$43&lt;=AB$4,AB$4&lt;=Projects!$C$43+Projects!$D$43-1),Projects!$B$43/Projects!$D$43,"")</f>
        <v/>
      </c>
      <c r="AC49" s="194" t="str">
        <f aca="false">IF(AND(Projects!$C$43&lt;=AC$4,AC$4&lt;=Projects!$C$43+Projects!$D$43-1),Projects!$B$43/Projects!$D$43,"")</f>
        <v/>
      </c>
      <c r="AD49" s="194" t="str">
        <f aca="false">IF(AND(Projects!$C$43&lt;=AD$4,AD$4&lt;=Projects!$C$43+Projects!$D$43-1),Projects!$B$43/Projects!$D$43,"")</f>
        <v/>
      </c>
      <c r="AE49" s="194" t="str">
        <f aca="false">IF(AND(Projects!$C$43&lt;=AE$4,AE$4&lt;=Projects!$C$43+Projects!$D$43-1),Projects!$B$43/Projects!$D$43,"")</f>
        <v/>
      </c>
      <c r="AF49" s="194" t="str">
        <f aca="false">IF(AND(Projects!$C$43&lt;=AF$4,AF$4&lt;=Projects!$C$43+Projects!$D$43-1),Projects!$B$43/Projects!$D$43,"")</f>
        <v/>
      </c>
      <c r="AG49" s="194" t="str">
        <f aca="false">IF(AND(Projects!$C$43&lt;=AG$4,AG$4&lt;=Projects!$C$43+Projects!$D$43-1),Projects!$B$43/Projects!$D$43,"")</f>
        <v/>
      </c>
      <c r="AH49" s="194" t="str">
        <f aca="false">IF(AND(Projects!$C$43&lt;=AH$4,AH$4&lt;=Projects!$C$43+Projects!$D$43-1),Projects!$B$43/Projects!$D$43,"")</f>
        <v/>
      </c>
      <c r="AI49" s="194" t="str">
        <f aca="false">IF(AND(Projects!$C$43&lt;=AI$4,AI$4&lt;=Projects!$C$43+Projects!$D$43-1),Projects!$B$43/Projects!$D$43,"")</f>
        <v/>
      </c>
      <c r="AJ49" s="194" t="str">
        <f aca="false">IF(AND(Projects!$C$43&lt;=AJ$4,AJ$4&lt;=Projects!$C$43+Projects!$D$43-1),Projects!$B$43/Projects!$D$43,"")</f>
        <v/>
      </c>
      <c r="AK49" s="194" t="str">
        <f aca="false">IF(AND(Projects!$C$43&lt;=AK$4,AK$4&lt;=Projects!$C$43+Projects!$D$43-1),Projects!$B$43/Projects!$D$43,"")</f>
        <v/>
      </c>
      <c r="AL49" s="194" t="str">
        <f aca="false">IF(AND(Projects!$C$43&lt;=AL$4,AL$4&lt;=Projects!$C$43+Projects!$D$43-1),Projects!$B$43/Projects!$D$43,"")</f>
        <v/>
      </c>
      <c r="AM49" s="194" t="str">
        <f aca="false">IF(AND(Projects!$C$43&lt;=AM$4,AM$4&lt;=Projects!$C$43+Projects!$D$43-1),Projects!$B$43/Projects!$D$43,"")</f>
        <v/>
      </c>
      <c r="AN49" s="194" t="str">
        <f aca="false">IF(AND(Projects!$C$43&lt;=AN$4,AN$4&lt;=Projects!$C$43+Projects!$D$43-1),Projects!$B$43/Projects!$D$43,"")</f>
        <v/>
      </c>
      <c r="AO49" s="194" t="str">
        <f aca="false">IF(AND(Projects!$C$43&lt;=AO$4,AO$4&lt;=Projects!$C$43+Projects!$D$43-1),Projects!$B$43/Projects!$D$43,"")</f>
        <v/>
      </c>
      <c r="AP49" s="194" t="str">
        <f aca="false">IF(AND(Projects!$C$43&lt;=AP$4,AP$4&lt;=Projects!$C$43+Projects!$D$43-1),Projects!$B$43/Projects!$D$43,"")</f>
        <v/>
      </c>
      <c r="AQ49" s="194" t="str">
        <f aca="false">IF(AND(Projects!$C$43&lt;=AQ$4,AQ$4&lt;=Projects!$C$43+Projects!$D$43-1),Projects!$B$43/Projects!$D$43,"")</f>
        <v/>
      </c>
      <c r="AR49" s="194" t="str">
        <f aca="false">IF(AND(Projects!$C$43&lt;=AR$4,AR$4&lt;=Projects!$C$43+Projects!$D$43-1),Projects!$B$43/Projects!$D$43,"")</f>
        <v/>
      </c>
      <c r="AS49" s="194" t="str">
        <f aca="false">IF(AND(Projects!$C$43&lt;=AS$4,AS$4&lt;=Projects!$C$43+Projects!$D$43-1),Projects!$B$43/Projects!$D$43,"")</f>
        <v/>
      </c>
      <c r="AT49" s="194" t="str">
        <f aca="false">IF(AND(Projects!$C$43&lt;=AT$4,AT$4&lt;=Projects!$C$43+Projects!$D$43-1),Projects!$B$43/Projects!$D$43,"")</f>
        <v/>
      </c>
      <c r="AU49" s="194" t="str">
        <f aca="false">IF(AND(Projects!$C$43&lt;=AU$4,AU$4&lt;=Projects!$C$43+Projects!$D$43-1),Projects!$B$43/Projects!$D$43,"")</f>
        <v/>
      </c>
      <c r="AV49" s="194" t="str">
        <f aca="false">IF(AND(Projects!$C$43&lt;=AV$4,AV$4&lt;=Projects!$C$43+Projects!$D$43-1),Projects!$B$43/Projects!$D$43,"")</f>
        <v/>
      </c>
      <c r="AW49" s="194" t="str">
        <f aca="false">IF(AND(Projects!$C$43&lt;=AW$4,AW$4&lt;=Projects!$C$43+Projects!$D$43-1),Projects!$B$43/Projects!$D$43,"")</f>
        <v/>
      </c>
      <c r="AX49" s="194" t="str">
        <f aca="false">IF(AND(Projects!$C$43&lt;=AX$4,AX$4&lt;=Projects!$C$43+Projects!$D$43-1),Projects!$B$43/Projects!$D$43,"")</f>
        <v/>
      </c>
      <c r="AY49" s="194" t="str">
        <f aca="false">IF(AND(Projects!$C$43&lt;=AY$4,AY$4&lt;=Projects!$C$43+Projects!$D$43-1),Projects!$B$43/Projects!$D$43,"")</f>
        <v/>
      </c>
      <c r="AZ49" s="194" t="str">
        <f aca="false">IF(AND(Projects!$C$43&lt;=AZ$4,AZ$4&lt;=Projects!$C$43+Projects!$D$43-1),Projects!$B$43/Projects!$D$43,"")</f>
        <v/>
      </c>
      <c r="BA49" s="194" t="str">
        <f aca="false">IF(AND(Projects!$C$43&lt;=BA$4,BA$4&lt;=Projects!$C$43+Projects!$D$43-1),Projects!$B$43/Projects!$D$43,"")</f>
        <v/>
      </c>
      <c r="BB49" s="194" t="str">
        <f aca="false">IF(AND(Projects!$C$43&lt;=BB$4,BB$4&lt;=Projects!$C$43+Projects!$D$43-1),Projects!$B$43/Projects!$D$43,"")</f>
        <v/>
      </c>
      <c r="BC49" s="194" t="str">
        <f aca="false">IF(AND(Projects!$C$43&lt;=BC$4,BC$4&lt;=Projects!$C$43+Projects!$D$43-1),Projects!$B$43/Projects!$D$43,"")</f>
        <v/>
      </c>
      <c r="BD49" s="194" t="str">
        <f aca="false">IF(AND(Projects!$C$43&lt;=BD$4,BD$4&lt;=Projects!$C$43+Projects!$D$43-1),Projects!$B$43/Projects!$D$43,"")</f>
        <v/>
      </c>
      <c r="BE49" s="194" t="str">
        <f aca="false">IF(AND(Projects!$C$43&lt;=BE$4,BE$4&lt;=Projects!$C$43+Projects!$D$43-1),Projects!$B$43/Projects!$D$43,"")</f>
        <v/>
      </c>
      <c r="BF49" s="194" t="str">
        <f aca="false">IF(AND(Projects!$C$43&lt;=BF$4,BF$4&lt;=Projects!$C$43+Projects!$D$43-1),Projects!$B$43/Projects!$D$43,"")</f>
        <v/>
      </c>
      <c r="BG49" s="194" t="str">
        <f aca="false">IF(AND(Projects!$C$43&lt;=BG$4,BG$4&lt;=Projects!$C$43+Projects!$D$43-1),Projects!$B$43/Projects!$D$43,"")</f>
        <v/>
      </c>
      <c r="BH49" s="194" t="str">
        <f aca="false">IF(AND(Projects!$C$43&lt;=BH$4,BH$4&lt;=Projects!$C$43+Projects!$D$43-1),Projects!$B$43/Projects!$D$43,"")</f>
        <v/>
      </c>
      <c r="BI49" s="194" t="str">
        <f aca="false">IF(AND(Projects!$C$43&lt;=BI$4,BI$4&lt;=Projects!$C$43+Projects!$D$43-1),Projects!$B$43/Projects!$D$43,"")</f>
        <v/>
      </c>
      <c r="BJ49" s="194" t="str">
        <f aca="false">IF(AND(Projects!$C$43&lt;=BJ$4,BJ$4&lt;=Projects!$C$43+Projects!$D$43-1),Projects!$B$43/Projects!$D$43,"")</f>
        <v/>
      </c>
      <c r="BK49" s="194" t="str">
        <f aca="false">IF(AND(Projects!$C$43&lt;=BK$4,BK$4&lt;=Projects!$C$43+Projects!$D$43-1),Projects!$B$43/Projects!$D$43,"")</f>
        <v/>
      </c>
      <c r="BL49" s="194" t="str">
        <f aca="false">IF(AND(Projects!$C$43&lt;=BL$4,BL$4&lt;=Projects!$C$43+Projects!$D$43-1),Projects!$B$43/Projects!$D$43,"")</f>
        <v/>
      </c>
      <c r="BM49" s="194" t="str">
        <f aca="false">IF(AND(Projects!$C$43&lt;=BM$4,BM$4&lt;=Projects!$C$43+Projects!$D$43-1),Projects!$B$43/Projects!$D$43,"")</f>
        <v/>
      </c>
      <c r="BN49" s="194" t="str">
        <f aca="false">IF(AND(Projects!$C$43&lt;=BN$4,BN$4&lt;=Projects!$C$43+Projects!$D$43-1),Projects!$B$43/Projects!$D$43,"")</f>
        <v/>
      </c>
      <c r="BO49" s="194" t="str">
        <f aca="false">IF(AND(Projects!$C$43&lt;=BO$4,BO$4&lt;=Projects!$C$43+Projects!$D$43-1),Projects!$B$43/Projects!$D$43,"")</f>
        <v/>
      </c>
      <c r="BP49" s="194" t="str">
        <f aca="false">IF(AND(Projects!$C$43&lt;=BP$4,BP$4&lt;=Projects!$C$43+Projects!$D$43-1),Projects!$B$43/Projects!$D$43,"")</f>
        <v/>
      </c>
      <c r="BQ49" s="194" t="str">
        <f aca="false">IF(AND(Projects!$C$43&lt;=BQ$4,BQ$4&lt;=Projects!$C$43+Projects!$D$43-1),Projects!$B$43/Projects!$D$43,"")</f>
        <v/>
      </c>
      <c r="BR49" s="194" t="str">
        <f aca="false">IF(AND(Projects!$C$43&lt;=BR$4,BR$4&lt;=Projects!$C$43+Projects!$D$43-1),Projects!$B$43/Projects!$D$43,"")</f>
        <v/>
      </c>
      <c r="BS49" s="194" t="str">
        <f aca="false">IF(AND(Projects!$C$43&lt;=BS$4,BS$4&lt;=Projects!$C$43+Projects!$D$43-1),Projects!$B$43/Projects!$D$43,"")</f>
        <v/>
      </c>
      <c r="BT49" s="194" t="str">
        <f aca="false">IF(AND(Projects!$C$43&lt;=BT$4,BT$4&lt;=Projects!$C$43+Projects!$D$43-1),Projects!$B$43/Projects!$D$43,"")</f>
        <v/>
      </c>
      <c r="BU49" s="194" t="str">
        <f aca="false">IF(AND(Projects!$C$43&lt;=BU$4,BU$4&lt;=Projects!$C$43+Projects!$D$43-1),Projects!$B$43/Projects!$D$43,"")</f>
        <v/>
      </c>
      <c r="BV49" s="194" t="str">
        <f aca="false">IF(AND(Projects!$C$43&lt;=BV$4,BV$4&lt;=Projects!$C$43+Projects!$D$43-1),Projects!$B$43/Projects!$D$43,"")</f>
        <v/>
      </c>
      <c r="BW49" s="194" t="str">
        <f aca="false">IF(AND(Projects!$C$43&lt;=BW$4,BW$4&lt;=Projects!$C$43+Projects!$D$43-1),Projects!$B$43/Projects!$D$43,"")</f>
        <v/>
      </c>
      <c r="BX49" s="194" t="str">
        <f aca="false">IF(AND(Projects!$C$43&lt;=BX$4,BX$4&lt;=Projects!$C$43+Projects!$D$43-1),Projects!$B$43/Projects!$D$43,"")</f>
        <v/>
      </c>
      <c r="BY49" s="194" t="str">
        <f aca="false">IF(AND(Projects!$C$43&lt;=BY$4,BY$4&lt;=Projects!$C$43+Projects!$D$43-1),Projects!$B$43/Projects!$D$43,"")</f>
        <v/>
      </c>
      <c r="BZ49" s="194" t="str">
        <f aca="false">IF(AND(Projects!$C$43&lt;=BZ$4,BZ$4&lt;=Projects!$C$43+Projects!$D$43-1),Projects!$B$43/Projects!$D$43,"")</f>
        <v/>
      </c>
      <c r="CA49" s="194" t="str">
        <f aca="false">IF(AND(Projects!$C$43&lt;=CA$4,CA$4&lt;=Projects!$C$43+Projects!$D$43-1),Projects!$B$43/Projects!$D$43,"")</f>
        <v/>
      </c>
      <c r="CB49" s="194" t="str">
        <f aca="false">IF(AND(Projects!$C$43&lt;=CB$4,CB$4&lt;=Projects!$C$43+Projects!$D$43-1),Projects!$B$43/Projects!$D$43,"")</f>
        <v/>
      </c>
      <c r="CC49" s="194" t="str">
        <f aca="false">IF(AND(Projects!$C$43&lt;=CC$4,CC$4&lt;=Projects!$C$43+Projects!$D$43-1),Projects!$B$43/Projects!$D$43,"")</f>
        <v/>
      </c>
      <c r="CD49" s="194" t="n">
        <f aca="false">IF(AND(Projects!$C$43&lt;=CD$4,CD$4&lt;=Projects!$C$43+Projects!$D$43-1),Projects!$B$43/Projects!$D$43,"")</f>
        <v>789473.684210526</v>
      </c>
      <c r="CE49" s="194" t="n">
        <f aca="false">IF(AND(Projects!$C$43&lt;=CE$4,CE$4&lt;=Projects!$C$43+Projects!$D$43-1),Projects!$B$43/Projects!$D$43,"")</f>
        <v>789473.684210526</v>
      </c>
      <c r="CF49" s="194" t="n">
        <f aca="false">IF(AND(Projects!$C$43&lt;=CF$4,CF$4&lt;=Projects!$C$43+Projects!$D$43-1),Projects!$B$43/Projects!$D$43,"")</f>
        <v>789473.684210526</v>
      </c>
      <c r="CG49" s="194" t="n">
        <f aca="false">IF(AND(Projects!$C$43&lt;=CG$4,CG$4&lt;=Projects!$C$43+Projects!$D$43-1),Projects!$B$43/Projects!$D$43,"")</f>
        <v>789473.684210526</v>
      </c>
      <c r="CH49" s="194" t="n">
        <f aca="false">IF(AND(Projects!$C$43&lt;=CH$4,CH$4&lt;=Projects!$C$43+Projects!$D$43-1),Projects!$B$43/Projects!$D$43,"")</f>
        <v>789473.684210526</v>
      </c>
      <c r="CI49" s="194" t="n">
        <f aca="false">IF(AND(Projects!$C$43&lt;=CI$4,CI$4&lt;=Projects!$C$43+Projects!$D$43-1),Projects!$B$43/Projects!$D$43,"")</f>
        <v>789473.684210526</v>
      </c>
      <c r="CJ49" s="194" t="n">
        <f aca="false">IF(AND(Projects!$C$43&lt;=CJ$4,CJ$4&lt;=Projects!$C$43+Projects!$D$43-1),Projects!$B$43/Projects!$D$43,"")</f>
        <v>789473.684210526</v>
      </c>
      <c r="CK49" s="194" t="n">
        <f aca="false">IF(AND(Projects!$C$43&lt;=CK$4,CK$4&lt;=Projects!$C$43+Projects!$D$43-1),Projects!$B$43/Projects!$D$43,"")</f>
        <v>789473.684210526</v>
      </c>
      <c r="CL49" s="194" t="n">
        <f aca="false">IF(AND(Projects!$C$43&lt;=CL$4,CL$4&lt;=Projects!$C$43+Projects!$D$43-1),Projects!$B$43/Projects!$D$43,"")</f>
        <v>789473.684210526</v>
      </c>
      <c r="CM49" s="194" t="n">
        <f aca="false">IF(AND(Projects!$C$43&lt;=CM$4,CM$4&lt;=Projects!$C$43+Projects!$D$43-1),Projects!$B$43/Projects!$D$43,"")</f>
        <v>789473.684210526</v>
      </c>
      <c r="CN49" s="194" t="n">
        <f aca="false">IF(AND(Projects!$C$43&lt;=CN$4,CN$4&lt;=Projects!$C$43+Projects!$D$43-1),Projects!$B$43/Projects!$D$43,"")</f>
        <v>789473.684210526</v>
      </c>
      <c r="CO49" s="194" t="n">
        <f aca="false">IF(AND(Projects!$C$43&lt;=CO$4,CO$4&lt;=Projects!$C$43+Projects!$D$43-1),Projects!$B$43/Projects!$D$43,"")</f>
        <v>789473.684210526</v>
      </c>
      <c r="CP49" s="194" t="n">
        <f aca="false">IF(AND(Projects!$C$43&lt;=CP$4,CP$4&lt;=Projects!$C$43+Projects!$D$43-1),Projects!$B$43/Projects!$D$43,"")</f>
        <v>789473.684210526</v>
      </c>
      <c r="CQ49" s="194" t="n">
        <f aca="false">IF(AND(Projects!$C$43&lt;=CQ$4,CQ$4&lt;=Projects!$C$43+Projects!$D$43-1),Projects!$B$43/Projects!$D$43,"")</f>
        <v>789473.684210526</v>
      </c>
      <c r="CR49" s="194" t="n">
        <f aca="false">IF(AND(Projects!$C$43&lt;=CR$4,CR$4&lt;=Projects!$C$43+Projects!$D$43-1),Projects!$B$43/Projects!$D$43,"")</f>
        <v>789473.684210526</v>
      </c>
      <c r="CS49" s="194" t="n">
        <f aca="false">IF(AND(Projects!$C$43&lt;=CS$4,CS$4&lt;=Projects!$C$43+Projects!$D$43-1),Projects!$B$43/Projects!$D$43,"")</f>
        <v>789473.684210526</v>
      </c>
      <c r="CT49" s="194" t="n">
        <f aca="false">IF(AND(Projects!$C$43&lt;=CT$4,CT$4&lt;=Projects!$C$43+Projects!$D$43-1),Projects!$B$43/Projects!$D$43,"")</f>
        <v>789473.684210526</v>
      </c>
      <c r="CU49" s="194" t="n">
        <f aca="false">IF(AND(Projects!$C$43&lt;=CU$4,CU$4&lt;=Projects!$C$43+Projects!$D$43-1),Projects!$B$43/Projects!$D$43,"")</f>
        <v>789473.684210526</v>
      </c>
      <c r="CV49" s="194" t="n">
        <f aca="false">IF(AND(Projects!$C$43&lt;=CV$4,CV$4&lt;=Projects!$C$43+Projects!$D$43-1),Projects!$B$43/Projects!$D$43,"")</f>
        <v>789473.684210526</v>
      </c>
      <c r="CW49" s="194" t="str">
        <f aca="false">IF(AND(Projects!$C$43&lt;=CW$4,CW$4&lt;=Projects!$C$43+Projects!$D$43-1),Projects!$B$43/Projects!$D$43,"")</f>
        <v/>
      </c>
      <c r="CX49" s="194" t="str">
        <f aca="false">IF(AND(Projects!$C$43&lt;=CX$4,CX$4&lt;=Projects!$C$43+Projects!$D$43-1),Projects!$B$43/Projects!$D$43,"")</f>
        <v/>
      </c>
      <c r="CY49" s="194" t="str">
        <f aca="false">IF(AND(Projects!$C$43&lt;=CY$4,CY$4&lt;=Projects!$C$43+Projects!$D$43-1),Projects!$B$43/Projects!$D$43,"")</f>
        <v/>
      </c>
      <c r="CZ49" s="194" t="str">
        <f aca="false">IF(AND(Projects!$C$43&lt;=CZ$4,CZ$4&lt;=Projects!$C$43+Projects!$D$43-1),Projects!$B$43/Projects!$D$43,"")</f>
        <v/>
      </c>
      <c r="DA49" s="194" t="str">
        <f aca="false">IF(AND(Projects!$C$43&lt;=DA$4,DA$4&lt;=Projects!$C$43+Projects!$D$43-1),Projects!$B$43/Projects!$D$43,"")</f>
        <v/>
      </c>
      <c r="DB49" s="194" t="str">
        <f aca="false">IF(AND(Projects!$C$43&lt;=DB$4,DB$4&lt;=Projects!$C$43+Projects!$D$43-1),Projects!$B$43/Projects!$D$43,"")</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Projects!$B$44/Projects!$D$44</f>
        <v>789473.684210526</v>
      </c>
      <c r="G50" s="194" t="str">
        <f aca="false">IF(AND(Projects!$C$44&lt;=G$4,G$4&lt;=Projects!$C$44+Projects!$D$44-1),Projects!$B$44/Projects!$D$44,"")</f>
        <v/>
      </c>
      <c r="H50" s="194" t="str">
        <f aca="false">IF(AND(Projects!$C$44&lt;=H$4,H$4&lt;=Projects!$C$44+Projects!$D$44-1),Projects!$B$44/Projects!$D$44,"")</f>
        <v/>
      </c>
      <c r="I50" s="194" t="str">
        <f aca="false">IF(AND(Projects!$C$44&lt;=I$4,I$4&lt;=Projects!$C$44+Projects!$D$44-1),Projects!$B$44/Projects!$D$44,"")</f>
        <v/>
      </c>
      <c r="J50" s="194" t="str">
        <f aca="false">IF(AND(Projects!$C$44&lt;=J$4,J$4&lt;=Projects!$C$44+Projects!$D$44-1),Projects!$B$44/Projects!$D$44,"")</f>
        <v/>
      </c>
      <c r="K50" s="194" t="str">
        <f aca="false">IF(AND(Projects!$C$44&lt;=K$4,K$4&lt;=Projects!$C$44+Projects!$D$44-1),Projects!$B$44/Projects!$D$44,"")</f>
        <v/>
      </c>
      <c r="L50" s="194" t="str">
        <f aca="false">IF(AND(Projects!$C$44&lt;=L$4,L$4&lt;=Projects!$C$44+Projects!$D$44-1),Projects!$B$44/Projects!$D$44,"")</f>
        <v/>
      </c>
      <c r="M50" s="194" t="str">
        <f aca="false">IF(AND(Projects!$C$44&lt;=M$4,M$4&lt;=Projects!$C$44+Projects!$D$44-1),Projects!$B$44/Projects!$D$44,"")</f>
        <v/>
      </c>
      <c r="N50" s="194" t="str">
        <f aca="false">IF(AND(Projects!$C$44&lt;=N$4,N$4&lt;=Projects!$C$44+Projects!$D$44-1),Projects!$B$44/Projects!$D$44,"")</f>
        <v/>
      </c>
      <c r="O50" s="194" t="str">
        <f aca="false">IF(AND(Projects!$C$44&lt;=O$4,O$4&lt;=Projects!$C$44+Projects!$D$44-1),Projects!$B$44/Projects!$D$44,"")</f>
        <v/>
      </c>
      <c r="P50" s="194" t="str">
        <f aca="false">IF(AND(Projects!$C$44&lt;=P$4,P$4&lt;=Projects!$C$44+Projects!$D$44-1),Projects!$B$44/Projects!$D$44,"")</f>
        <v/>
      </c>
      <c r="Q50" s="194" t="str">
        <f aca="false">IF(AND(Projects!$C$44&lt;=Q$4,Q$4&lt;=Projects!$C$44+Projects!$D$44-1),Projects!$B$44/Projects!$D$44,"")</f>
        <v/>
      </c>
      <c r="R50" s="194" t="str">
        <f aca="false">IF(AND(Projects!$C$44&lt;=R$4,R$4&lt;=Projects!$C$44+Projects!$D$44-1),Projects!$B$44/Projects!$D$44,"")</f>
        <v/>
      </c>
      <c r="S50" s="194" t="str">
        <f aca="false">IF(AND(Projects!$C$44&lt;=S$4,S$4&lt;=Projects!$C$44+Projects!$D$44-1),Projects!$B$44/Projects!$D$44,"")</f>
        <v/>
      </c>
      <c r="T50" s="194" t="str">
        <f aca="false">IF(AND(Projects!$C$44&lt;=T$4,T$4&lt;=Projects!$C$44+Projects!$D$44-1),Projects!$B$44/Projects!$D$44,"")</f>
        <v/>
      </c>
      <c r="U50" s="194" t="str">
        <f aca="false">IF(AND(Projects!$C$44&lt;=U$4,U$4&lt;=Projects!$C$44+Projects!$D$44-1),Projects!$B$44/Projects!$D$44,"")</f>
        <v/>
      </c>
      <c r="V50" s="194" t="str">
        <f aca="false">IF(AND(Projects!$C$44&lt;=V$4,V$4&lt;=Projects!$C$44+Projects!$D$44-1),Projects!$B$44/Projects!$D$44,"")</f>
        <v/>
      </c>
      <c r="W50" s="194" t="str">
        <f aca="false">IF(AND(Projects!$C$44&lt;=W$4,W$4&lt;=Projects!$C$44+Projects!$D$44-1),Projects!$B$44/Projects!$D$44,"")</f>
        <v/>
      </c>
      <c r="X50" s="194" t="str">
        <f aca="false">IF(AND(Projects!$C$44&lt;=X$4,X$4&lt;=Projects!$C$44+Projects!$D$44-1),Projects!$B$44/Projects!$D$44,"")</f>
        <v/>
      </c>
      <c r="Y50" s="194" t="str">
        <f aca="false">IF(AND(Projects!$C$44&lt;=Y$4,Y$4&lt;=Projects!$C$44+Projects!$D$44-1),Projects!$B$44/Projects!$D$44,"")</f>
        <v/>
      </c>
      <c r="Z50" s="194" t="str">
        <f aca="false">IF(AND(Projects!$C$44&lt;=Z$4,Z$4&lt;=Projects!$C$44+Projects!$D$44-1),Projects!$B$44/Projects!$D$44,"")</f>
        <v/>
      </c>
      <c r="AA50" s="194" t="str">
        <f aca="false">IF(AND(Projects!$C$44&lt;=AA$4,AA$4&lt;=Projects!$C$44+Projects!$D$44-1),Projects!$B$44/Projects!$D$44,"")</f>
        <v/>
      </c>
      <c r="AB50" s="194" t="str">
        <f aca="false">IF(AND(Projects!$C$44&lt;=AB$4,AB$4&lt;=Projects!$C$44+Projects!$D$44-1),Projects!$B$44/Projects!$D$44,"")</f>
        <v/>
      </c>
      <c r="AC50" s="194" t="str">
        <f aca="false">IF(AND(Projects!$C$44&lt;=AC$4,AC$4&lt;=Projects!$C$44+Projects!$D$44-1),Projects!$B$44/Projects!$D$44,"")</f>
        <v/>
      </c>
      <c r="AD50" s="194" t="str">
        <f aca="false">IF(AND(Projects!$C$44&lt;=AD$4,AD$4&lt;=Projects!$C$44+Projects!$D$44-1),Projects!$B$44/Projects!$D$44,"")</f>
        <v/>
      </c>
      <c r="AE50" s="194" t="str">
        <f aca="false">IF(AND(Projects!$C$44&lt;=AE$4,AE$4&lt;=Projects!$C$44+Projects!$D$44-1),Projects!$B$44/Projects!$D$44,"")</f>
        <v/>
      </c>
      <c r="AF50" s="194" t="str">
        <f aca="false">IF(AND(Projects!$C$44&lt;=AF$4,AF$4&lt;=Projects!$C$44+Projects!$D$44-1),Projects!$B$44/Projects!$D$44,"")</f>
        <v/>
      </c>
      <c r="AG50" s="194" t="str">
        <f aca="false">IF(AND(Projects!$C$44&lt;=AG$4,AG$4&lt;=Projects!$C$44+Projects!$D$44-1),Projects!$B$44/Projects!$D$44,"")</f>
        <v/>
      </c>
      <c r="AH50" s="194" t="str">
        <f aca="false">IF(AND(Projects!$C$44&lt;=AH$4,AH$4&lt;=Projects!$C$44+Projects!$D$44-1),Projects!$B$44/Projects!$D$44,"")</f>
        <v/>
      </c>
      <c r="AI50" s="194" t="str">
        <f aca="false">IF(AND(Projects!$C$44&lt;=AI$4,AI$4&lt;=Projects!$C$44+Projects!$D$44-1),Projects!$B$44/Projects!$D$44,"")</f>
        <v/>
      </c>
      <c r="AJ50" s="194" t="str">
        <f aca="false">IF(AND(Projects!$C$44&lt;=AJ$4,AJ$4&lt;=Projects!$C$44+Projects!$D$44-1),Projects!$B$44/Projects!$D$44,"")</f>
        <v/>
      </c>
      <c r="AK50" s="194" t="str">
        <f aca="false">IF(AND(Projects!$C$44&lt;=AK$4,AK$4&lt;=Projects!$C$44+Projects!$D$44-1),Projects!$B$44/Projects!$D$44,"")</f>
        <v/>
      </c>
      <c r="AL50" s="194" t="str">
        <f aca="false">IF(AND(Projects!$C$44&lt;=AL$4,AL$4&lt;=Projects!$C$44+Projects!$D$44-1),Projects!$B$44/Projects!$D$44,"")</f>
        <v/>
      </c>
      <c r="AM50" s="194" t="str">
        <f aca="false">IF(AND(Projects!$C$44&lt;=AM$4,AM$4&lt;=Projects!$C$44+Projects!$D$44-1),Projects!$B$44/Projects!$D$44,"")</f>
        <v/>
      </c>
      <c r="AN50" s="194" t="str">
        <f aca="false">IF(AND(Projects!$C$44&lt;=AN$4,AN$4&lt;=Projects!$C$44+Projects!$D$44-1),Projects!$B$44/Projects!$D$44,"")</f>
        <v/>
      </c>
      <c r="AO50" s="194" t="str">
        <f aca="false">IF(AND(Projects!$C$44&lt;=AO$4,AO$4&lt;=Projects!$C$44+Projects!$D$44-1),Projects!$B$44/Projects!$D$44,"")</f>
        <v/>
      </c>
      <c r="AP50" s="194" t="str">
        <f aca="false">IF(AND(Projects!$C$44&lt;=AP$4,AP$4&lt;=Projects!$C$44+Projects!$D$44-1),Projects!$B$44/Projects!$D$44,"")</f>
        <v/>
      </c>
      <c r="AQ50" s="194" t="str">
        <f aca="false">IF(AND(Projects!$C$44&lt;=AQ$4,AQ$4&lt;=Projects!$C$44+Projects!$D$44-1),Projects!$B$44/Projects!$D$44,"")</f>
        <v/>
      </c>
      <c r="AR50" s="194" t="str">
        <f aca="false">IF(AND(Projects!$C$44&lt;=AR$4,AR$4&lt;=Projects!$C$44+Projects!$D$44-1),Projects!$B$44/Projects!$D$44,"")</f>
        <v/>
      </c>
      <c r="AS50" s="194" t="str">
        <f aca="false">IF(AND(Projects!$C$44&lt;=AS$4,AS$4&lt;=Projects!$C$44+Projects!$D$44-1),Projects!$B$44/Projects!$D$44,"")</f>
        <v/>
      </c>
      <c r="AT50" s="194" t="str">
        <f aca="false">IF(AND(Projects!$C$44&lt;=AT$4,AT$4&lt;=Projects!$C$44+Projects!$D$44-1),Projects!$B$44/Projects!$D$44,"")</f>
        <v/>
      </c>
      <c r="AU50" s="194" t="str">
        <f aca="false">IF(AND(Projects!$C$44&lt;=AU$4,AU$4&lt;=Projects!$C$44+Projects!$D$44-1),Projects!$B$44/Projects!$D$44,"")</f>
        <v/>
      </c>
      <c r="AV50" s="194" t="str">
        <f aca="false">IF(AND(Projects!$C$44&lt;=AV$4,AV$4&lt;=Projects!$C$44+Projects!$D$44-1),Projects!$B$44/Projects!$D$44,"")</f>
        <v/>
      </c>
      <c r="AW50" s="194" t="str">
        <f aca="false">IF(AND(Projects!$C$44&lt;=AW$4,AW$4&lt;=Projects!$C$44+Projects!$D$44-1),Projects!$B$44/Projects!$D$44,"")</f>
        <v/>
      </c>
      <c r="AX50" s="194" t="str">
        <f aca="false">IF(AND(Projects!$C$44&lt;=AX$4,AX$4&lt;=Projects!$C$44+Projects!$D$44-1),Projects!$B$44/Projects!$D$44,"")</f>
        <v/>
      </c>
      <c r="AY50" s="194" t="str">
        <f aca="false">IF(AND(Projects!$C$44&lt;=AY$4,AY$4&lt;=Projects!$C$44+Projects!$D$44-1),Projects!$B$44/Projects!$D$44,"")</f>
        <v/>
      </c>
      <c r="AZ50" s="194" t="str">
        <f aca="false">IF(AND(Projects!$C$44&lt;=AZ$4,AZ$4&lt;=Projects!$C$44+Projects!$D$44-1),Projects!$B$44/Projects!$D$44,"")</f>
        <v/>
      </c>
      <c r="BA50" s="194" t="str">
        <f aca="false">IF(AND(Projects!$C$44&lt;=BA$4,BA$4&lt;=Projects!$C$44+Projects!$D$44-1),Projects!$B$44/Projects!$D$44,"")</f>
        <v/>
      </c>
      <c r="BB50" s="194" t="str">
        <f aca="false">IF(AND(Projects!$C$44&lt;=BB$4,BB$4&lt;=Projects!$C$44+Projects!$D$44-1),Projects!$B$44/Projects!$D$44,"")</f>
        <v/>
      </c>
      <c r="BC50" s="194" t="str">
        <f aca="false">IF(AND(Projects!$C$44&lt;=BC$4,BC$4&lt;=Projects!$C$44+Projects!$D$44-1),Projects!$B$44/Projects!$D$44,"")</f>
        <v/>
      </c>
      <c r="BD50" s="194" t="str">
        <f aca="false">IF(AND(Projects!$C$44&lt;=BD$4,BD$4&lt;=Projects!$C$44+Projects!$D$44-1),Projects!$B$44/Projects!$D$44,"")</f>
        <v/>
      </c>
      <c r="BE50" s="194" t="str">
        <f aca="false">IF(AND(Projects!$C$44&lt;=BE$4,BE$4&lt;=Projects!$C$44+Projects!$D$44-1),Projects!$B$44/Projects!$D$44,"")</f>
        <v/>
      </c>
      <c r="BF50" s="194" t="str">
        <f aca="false">IF(AND(Projects!$C$44&lt;=BF$4,BF$4&lt;=Projects!$C$44+Projects!$D$44-1),Projects!$B$44/Projects!$D$44,"")</f>
        <v/>
      </c>
      <c r="BG50" s="194" t="str">
        <f aca="false">IF(AND(Projects!$C$44&lt;=BG$4,BG$4&lt;=Projects!$C$44+Projects!$D$44-1),Projects!$B$44/Projects!$D$44,"")</f>
        <v/>
      </c>
      <c r="BH50" s="194" t="str">
        <f aca="false">IF(AND(Projects!$C$44&lt;=BH$4,BH$4&lt;=Projects!$C$44+Projects!$D$44-1),Projects!$B$44/Projects!$D$44,"")</f>
        <v/>
      </c>
      <c r="BI50" s="194" t="str">
        <f aca="false">IF(AND(Projects!$C$44&lt;=BI$4,BI$4&lt;=Projects!$C$44+Projects!$D$44-1),Projects!$B$44/Projects!$D$44,"")</f>
        <v/>
      </c>
      <c r="BJ50" s="194" t="str">
        <f aca="false">IF(AND(Projects!$C$44&lt;=BJ$4,BJ$4&lt;=Projects!$C$44+Projects!$D$44-1),Projects!$B$44/Projects!$D$44,"")</f>
        <v/>
      </c>
      <c r="BK50" s="194" t="str">
        <f aca="false">IF(AND(Projects!$C$44&lt;=BK$4,BK$4&lt;=Projects!$C$44+Projects!$D$44-1),Projects!$B$44/Projects!$D$44,"")</f>
        <v/>
      </c>
      <c r="BL50" s="194" t="str">
        <f aca="false">IF(AND(Projects!$C$44&lt;=BL$4,BL$4&lt;=Projects!$C$44+Projects!$D$44-1),Projects!$B$44/Projects!$D$44,"")</f>
        <v/>
      </c>
      <c r="BM50" s="194" t="str">
        <f aca="false">IF(AND(Projects!$C$44&lt;=BM$4,BM$4&lt;=Projects!$C$44+Projects!$D$44-1),Projects!$B$44/Projects!$D$44,"")</f>
        <v/>
      </c>
      <c r="BN50" s="194" t="str">
        <f aca="false">IF(AND(Projects!$C$44&lt;=BN$4,BN$4&lt;=Projects!$C$44+Projects!$D$44-1),Projects!$B$44/Projects!$D$44,"")</f>
        <v/>
      </c>
      <c r="BO50" s="194" t="str">
        <f aca="false">IF(AND(Projects!$C$44&lt;=BO$4,BO$4&lt;=Projects!$C$44+Projects!$D$44-1),Projects!$B$44/Projects!$D$44,"")</f>
        <v/>
      </c>
      <c r="BP50" s="194" t="str">
        <f aca="false">IF(AND(Projects!$C$44&lt;=BP$4,BP$4&lt;=Projects!$C$44+Projects!$D$44-1),Projects!$B$44/Projects!$D$44,"")</f>
        <v/>
      </c>
      <c r="BQ50" s="194" t="str">
        <f aca="false">IF(AND(Projects!$C$44&lt;=BQ$4,BQ$4&lt;=Projects!$C$44+Projects!$D$44-1),Projects!$B$44/Projects!$D$44,"")</f>
        <v/>
      </c>
      <c r="BR50" s="194" t="str">
        <f aca="false">IF(AND(Projects!$C$44&lt;=BR$4,BR$4&lt;=Projects!$C$44+Projects!$D$44-1),Projects!$B$44/Projects!$D$44,"")</f>
        <v/>
      </c>
      <c r="BS50" s="194" t="str">
        <f aca="false">IF(AND(Projects!$C$44&lt;=BS$4,BS$4&lt;=Projects!$C$44+Projects!$D$44-1),Projects!$B$44/Projects!$D$44,"")</f>
        <v/>
      </c>
      <c r="BT50" s="194" t="str">
        <f aca="false">IF(AND(Projects!$C$44&lt;=BT$4,BT$4&lt;=Projects!$C$44+Projects!$D$44-1),Projects!$B$44/Projects!$D$44,"")</f>
        <v/>
      </c>
      <c r="BU50" s="194" t="str">
        <f aca="false">IF(AND(Projects!$C$44&lt;=BU$4,BU$4&lt;=Projects!$C$44+Projects!$D$44-1),Projects!$B$44/Projects!$D$44,"")</f>
        <v/>
      </c>
      <c r="BV50" s="194" t="str">
        <f aca="false">IF(AND(Projects!$C$44&lt;=BV$4,BV$4&lt;=Projects!$C$44+Projects!$D$44-1),Projects!$B$44/Projects!$D$44,"")</f>
        <v/>
      </c>
      <c r="BW50" s="194" t="str">
        <f aca="false">IF(AND(Projects!$C$44&lt;=BW$4,BW$4&lt;=Projects!$C$44+Projects!$D$44-1),Projects!$B$44/Projects!$D$44,"")</f>
        <v/>
      </c>
      <c r="BX50" s="194" t="str">
        <f aca="false">IF(AND(Projects!$C$44&lt;=BX$4,BX$4&lt;=Projects!$C$44+Projects!$D$44-1),Projects!$B$44/Projects!$D$44,"")</f>
        <v/>
      </c>
      <c r="BY50" s="194" t="str">
        <f aca="false">IF(AND(Projects!$C$44&lt;=BY$4,BY$4&lt;=Projects!$C$44+Projects!$D$44-1),Projects!$B$44/Projects!$D$44,"")</f>
        <v/>
      </c>
      <c r="BZ50" s="194" t="str">
        <f aca="false">IF(AND(Projects!$C$44&lt;=BZ$4,BZ$4&lt;=Projects!$C$44+Projects!$D$44-1),Projects!$B$44/Projects!$D$44,"")</f>
        <v/>
      </c>
      <c r="CA50" s="194" t="str">
        <f aca="false">IF(AND(Projects!$C$44&lt;=CA$4,CA$4&lt;=Projects!$C$44+Projects!$D$44-1),Projects!$B$44/Projects!$D$44,"")</f>
        <v/>
      </c>
      <c r="CB50" s="194" t="str">
        <f aca="false">IF(AND(Projects!$C$44&lt;=CB$4,CB$4&lt;=Projects!$C$44+Projects!$D$44-1),Projects!$B$44/Projects!$D$44,"")</f>
        <v/>
      </c>
      <c r="CC50" s="194" t="str">
        <f aca="false">IF(AND(Projects!$C$44&lt;=CC$4,CC$4&lt;=Projects!$C$44+Projects!$D$44-1),Projects!$B$44/Projects!$D$44,"")</f>
        <v/>
      </c>
      <c r="CD50" s="194" t="str">
        <f aca="false">IF(AND(Projects!$C$44&lt;=CD$4,CD$4&lt;=Projects!$C$44+Projects!$D$44-1),Projects!$B$44/Projects!$D$44,"")</f>
        <v/>
      </c>
      <c r="CE50" s="194" t="str">
        <f aca="false">IF(AND(Projects!$C$44&lt;=CE$4,CE$4&lt;=Projects!$C$44+Projects!$D$44-1),Projects!$B$44/Projects!$D$44,"")</f>
        <v/>
      </c>
      <c r="CF50" s="194" t="n">
        <f aca="false">IF(AND(Projects!$C$44&lt;=CF$4,CF$4&lt;=Projects!$C$44+Projects!$D$44-1),Projects!$B$44/Projects!$D$44,"")</f>
        <v>789473.684210526</v>
      </c>
      <c r="CG50" s="194" t="n">
        <f aca="false">IF(AND(Projects!$C$44&lt;=CG$4,CG$4&lt;=Projects!$C$44+Projects!$D$44-1),Projects!$B$44/Projects!$D$44,"")</f>
        <v>789473.684210526</v>
      </c>
      <c r="CH50" s="194" t="n">
        <f aca="false">IF(AND(Projects!$C$44&lt;=CH$4,CH$4&lt;=Projects!$C$44+Projects!$D$44-1),Projects!$B$44/Projects!$D$44,"")</f>
        <v>789473.684210526</v>
      </c>
      <c r="CI50" s="194" t="n">
        <f aca="false">IF(AND(Projects!$C$44&lt;=CI$4,CI$4&lt;=Projects!$C$44+Projects!$D$44-1),Projects!$B$44/Projects!$D$44,"")</f>
        <v>789473.684210526</v>
      </c>
      <c r="CJ50" s="194" t="n">
        <f aca="false">IF(AND(Projects!$C$44&lt;=CJ$4,CJ$4&lt;=Projects!$C$44+Projects!$D$44-1),Projects!$B$44/Projects!$D$44,"")</f>
        <v>789473.684210526</v>
      </c>
      <c r="CK50" s="194" t="n">
        <f aca="false">IF(AND(Projects!$C$44&lt;=CK$4,CK$4&lt;=Projects!$C$44+Projects!$D$44-1),Projects!$B$44/Projects!$D$44,"")</f>
        <v>789473.684210526</v>
      </c>
      <c r="CL50" s="194" t="n">
        <f aca="false">IF(AND(Projects!$C$44&lt;=CL$4,CL$4&lt;=Projects!$C$44+Projects!$D$44-1),Projects!$B$44/Projects!$D$44,"")</f>
        <v>789473.684210526</v>
      </c>
      <c r="CM50" s="194" t="n">
        <f aca="false">IF(AND(Projects!$C$44&lt;=CM$4,CM$4&lt;=Projects!$C$44+Projects!$D$44-1),Projects!$B$44/Projects!$D$44,"")</f>
        <v>789473.684210526</v>
      </c>
      <c r="CN50" s="194" t="n">
        <f aca="false">IF(AND(Projects!$C$44&lt;=CN$4,CN$4&lt;=Projects!$C$44+Projects!$D$44-1),Projects!$B$44/Projects!$D$44,"")</f>
        <v>789473.684210526</v>
      </c>
      <c r="CO50" s="194" t="n">
        <f aca="false">IF(AND(Projects!$C$44&lt;=CO$4,CO$4&lt;=Projects!$C$44+Projects!$D$44-1),Projects!$B$44/Projects!$D$44,"")</f>
        <v>789473.684210526</v>
      </c>
      <c r="CP50" s="194" t="n">
        <f aca="false">IF(AND(Projects!$C$44&lt;=CP$4,CP$4&lt;=Projects!$C$44+Projects!$D$44-1),Projects!$B$44/Projects!$D$44,"")</f>
        <v>789473.684210526</v>
      </c>
      <c r="CQ50" s="194" t="n">
        <f aca="false">IF(AND(Projects!$C$44&lt;=CQ$4,CQ$4&lt;=Projects!$C$44+Projects!$D$44-1),Projects!$B$44/Projects!$D$44,"")</f>
        <v>789473.684210526</v>
      </c>
      <c r="CR50" s="194" t="n">
        <f aca="false">IF(AND(Projects!$C$44&lt;=CR$4,CR$4&lt;=Projects!$C$44+Projects!$D$44-1),Projects!$B$44/Projects!$D$44,"")</f>
        <v>789473.684210526</v>
      </c>
      <c r="CS50" s="194" t="n">
        <f aca="false">IF(AND(Projects!$C$44&lt;=CS$4,CS$4&lt;=Projects!$C$44+Projects!$D$44-1),Projects!$B$44/Projects!$D$44,"")</f>
        <v>789473.684210526</v>
      </c>
      <c r="CT50" s="194" t="n">
        <f aca="false">IF(AND(Projects!$C$44&lt;=CT$4,CT$4&lt;=Projects!$C$44+Projects!$D$44-1),Projects!$B$44/Projects!$D$44,"")</f>
        <v>789473.684210526</v>
      </c>
      <c r="CU50" s="194" t="n">
        <f aca="false">IF(AND(Projects!$C$44&lt;=CU$4,CU$4&lt;=Projects!$C$44+Projects!$D$44-1),Projects!$B$44/Projects!$D$44,"")</f>
        <v>789473.684210526</v>
      </c>
      <c r="CV50" s="194" t="n">
        <f aca="false">IF(AND(Projects!$C$44&lt;=CV$4,CV$4&lt;=Projects!$C$44+Projects!$D$44-1),Projects!$B$44/Projects!$D$44,"")</f>
        <v>789473.684210526</v>
      </c>
      <c r="CW50" s="194" t="n">
        <f aca="false">IF(AND(Projects!$C$44&lt;=CW$4,CW$4&lt;=Projects!$C$44+Projects!$D$44-1),Projects!$B$44/Projects!$D$44,"")</f>
        <v>789473.684210526</v>
      </c>
      <c r="CX50" s="194" t="n">
        <f aca="false">IF(AND(Projects!$C$44&lt;=CX$4,CX$4&lt;=Projects!$C$44+Projects!$D$44-1),Projects!$B$44/Projects!$D$44,"")</f>
        <v>789473.684210526</v>
      </c>
      <c r="CY50" s="194" t="str">
        <f aca="false">IF(AND(Projects!$C$44&lt;=CY$4,CY$4&lt;=Projects!$C$44+Projects!$D$44-1),Projects!$B$44/Projects!$D$44,"")</f>
        <v/>
      </c>
      <c r="CZ50" s="194" t="str">
        <f aca="false">IF(AND(Projects!$C$44&lt;=CZ$4,CZ$4&lt;=Projects!$C$44+Projects!$D$44-1),Projects!$B$44/Projects!$D$44,"")</f>
        <v/>
      </c>
      <c r="DA50" s="194" t="str">
        <f aca="false">IF(AND(Projects!$C$44&lt;=DA$4,DA$4&lt;=Projects!$C$44+Projects!$D$44-1),Projects!$B$44/Projects!$D$44,"")</f>
        <v/>
      </c>
      <c r="DB50" s="194" t="str">
        <f aca="false">IF(AND(Projects!$C$44&lt;=DB$4,DB$4&lt;=Projects!$C$44+Projects!$D$44-1),Projects!$B$44/Projects!$D$44,"")</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Projects!$B$45/Projects!$D$45</f>
        <v>947368.421052632</v>
      </c>
      <c r="G51" s="194" t="str">
        <f aca="false">IF(AND(Projects!$C$45&lt;=G$4,G$4&lt;=Projects!$C$45+Projects!$D$45-1),Projects!$B$45/Projects!$D$45,"")</f>
        <v/>
      </c>
      <c r="H51" s="194" t="str">
        <f aca="false">IF(AND(Projects!$C$45&lt;=H$4,H$4&lt;=Projects!$C$45+Projects!$D$45-1),Projects!$B$45/Projects!$D$45,"")</f>
        <v/>
      </c>
      <c r="I51" s="194" t="str">
        <f aca="false">IF(AND(Projects!$C$45&lt;=I$4,I$4&lt;=Projects!$C$45+Projects!$D$45-1),Projects!$B$45/Projects!$D$45,"")</f>
        <v/>
      </c>
      <c r="J51" s="194" t="str">
        <f aca="false">IF(AND(Projects!$C$45&lt;=J$4,J$4&lt;=Projects!$C$45+Projects!$D$45-1),Projects!$B$45/Projects!$D$45,"")</f>
        <v/>
      </c>
      <c r="K51" s="194" t="str">
        <f aca="false">IF(AND(Projects!$C$45&lt;=K$4,K$4&lt;=Projects!$C$45+Projects!$D$45-1),Projects!$B$45/Projects!$D$45,"")</f>
        <v/>
      </c>
      <c r="L51" s="194" t="str">
        <f aca="false">IF(AND(Projects!$C$45&lt;=L$4,L$4&lt;=Projects!$C$45+Projects!$D$45-1),Projects!$B$45/Projects!$D$45,"")</f>
        <v/>
      </c>
      <c r="M51" s="194" t="str">
        <f aca="false">IF(AND(Projects!$C$45&lt;=M$4,M$4&lt;=Projects!$C$45+Projects!$D$45-1),Projects!$B$45/Projects!$D$45,"")</f>
        <v/>
      </c>
      <c r="N51" s="194" t="str">
        <f aca="false">IF(AND(Projects!$C$45&lt;=N$4,N$4&lt;=Projects!$C$45+Projects!$D$45-1),Projects!$B$45/Projects!$D$45,"")</f>
        <v/>
      </c>
      <c r="O51" s="194" t="str">
        <f aca="false">IF(AND(Projects!$C$45&lt;=O$4,O$4&lt;=Projects!$C$45+Projects!$D$45-1),Projects!$B$45/Projects!$D$45,"")</f>
        <v/>
      </c>
      <c r="P51" s="194" t="str">
        <f aca="false">IF(AND(Projects!$C$45&lt;=P$4,P$4&lt;=Projects!$C$45+Projects!$D$45-1),Projects!$B$45/Projects!$D$45,"")</f>
        <v/>
      </c>
      <c r="Q51" s="194" t="str">
        <f aca="false">IF(AND(Projects!$C$45&lt;=Q$4,Q$4&lt;=Projects!$C$45+Projects!$D$45-1),Projects!$B$45/Projects!$D$45,"")</f>
        <v/>
      </c>
      <c r="R51" s="194" t="str">
        <f aca="false">IF(AND(Projects!$C$45&lt;=R$4,R$4&lt;=Projects!$C$45+Projects!$D$45-1),Projects!$B$45/Projects!$D$45,"")</f>
        <v/>
      </c>
      <c r="S51" s="194" t="str">
        <f aca="false">IF(AND(Projects!$C$45&lt;=S$4,S$4&lt;=Projects!$C$45+Projects!$D$45-1),Projects!$B$45/Projects!$D$45,"")</f>
        <v/>
      </c>
      <c r="T51" s="194" t="str">
        <f aca="false">IF(AND(Projects!$C$45&lt;=T$4,T$4&lt;=Projects!$C$45+Projects!$D$45-1),Projects!$B$45/Projects!$D$45,"")</f>
        <v/>
      </c>
      <c r="U51" s="194" t="str">
        <f aca="false">IF(AND(Projects!$C$45&lt;=U$4,U$4&lt;=Projects!$C$45+Projects!$D$45-1),Projects!$B$45/Projects!$D$45,"")</f>
        <v/>
      </c>
      <c r="V51" s="194" t="str">
        <f aca="false">IF(AND(Projects!$C$45&lt;=V$4,V$4&lt;=Projects!$C$45+Projects!$D$45-1),Projects!$B$45/Projects!$D$45,"")</f>
        <v/>
      </c>
      <c r="W51" s="194" t="str">
        <f aca="false">IF(AND(Projects!$C$45&lt;=W$4,W$4&lt;=Projects!$C$45+Projects!$D$45-1),Projects!$B$45/Projects!$D$45,"")</f>
        <v/>
      </c>
      <c r="X51" s="194" t="str">
        <f aca="false">IF(AND(Projects!$C$45&lt;=X$4,X$4&lt;=Projects!$C$45+Projects!$D$45-1),Projects!$B$45/Projects!$D$45,"")</f>
        <v/>
      </c>
      <c r="Y51" s="194" t="str">
        <f aca="false">IF(AND(Projects!$C$45&lt;=Y$4,Y$4&lt;=Projects!$C$45+Projects!$D$45-1),Projects!$B$45/Projects!$D$45,"")</f>
        <v/>
      </c>
      <c r="Z51" s="194" t="str">
        <f aca="false">IF(AND(Projects!$C$45&lt;=Z$4,Z$4&lt;=Projects!$C$45+Projects!$D$45-1),Projects!$B$45/Projects!$D$45,"")</f>
        <v/>
      </c>
      <c r="AA51" s="194" t="str">
        <f aca="false">IF(AND(Projects!$C$45&lt;=AA$4,AA$4&lt;=Projects!$C$45+Projects!$D$45-1),Projects!$B$45/Projects!$D$45,"")</f>
        <v/>
      </c>
      <c r="AB51" s="194" t="str">
        <f aca="false">IF(AND(Projects!$C$45&lt;=AB$4,AB$4&lt;=Projects!$C$45+Projects!$D$45-1),Projects!$B$45/Projects!$D$45,"")</f>
        <v/>
      </c>
      <c r="AC51" s="194" t="str">
        <f aca="false">IF(AND(Projects!$C$45&lt;=AC$4,AC$4&lt;=Projects!$C$45+Projects!$D$45-1),Projects!$B$45/Projects!$D$45,"")</f>
        <v/>
      </c>
      <c r="AD51" s="194" t="str">
        <f aca="false">IF(AND(Projects!$C$45&lt;=AD$4,AD$4&lt;=Projects!$C$45+Projects!$D$45-1),Projects!$B$45/Projects!$D$45,"")</f>
        <v/>
      </c>
      <c r="AE51" s="194" t="str">
        <f aca="false">IF(AND(Projects!$C$45&lt;=AE$4,AE$4&lt;=Projects!$C$45+Projects!$D$45-1),Projects!$B$45/Projects!$D$45,"")</f>
        <v/>
      </c>
      <c r="AF51" s="194" t="str">
        <f aca="false">IF(AND(Projects!$C$45&lt;=AF$4,AF$4&lt;=Projects!$C$45+Projects!$D$45-1),Projects!$B$45/Projects!$D$45,"")</f>
        <v/>
      </c>
      <c r="AG51" s="194" t="str">
        <f aca="false">IF(AND(Projects!$C$45&lt;=AG$4,AG$4&lt;=Projects!$C$45+Projects!$D$45-1),Projects!$B$45/Projects!$D$45,"")</f>
        <v/>
      </c>
      <c r="AH51" s="194" t="str">
        <f aca="false">IF(AND(Projects!$C$45&lt;=AH$4,AH$4&lt;=Projects!$C$45+Projects!$D$45-1),Projects!$B$45/Projects!$D$45,"")</f>
        <v/>
      </c>
      <c r="AI51" s="194" t="str">
        <f aca="false">IF(AND(Projects!$C$45&lt;=AI$4,AI$4&lt;=Projects!$C$45+Projects!$D$45-1),Projects!$B$45/Projects!$D$45,"")</f>
        <v/>
      </c>
      <c r="AJ51" s="194" t="str">
        <f aca="false">IF(AND(Projects!$C$45&lt;=AJ$4,AJ$4&lt;=Projects!$C$45+Projects!$D$45-1),Projects!$B$45/Projects!$D$45,"")</f>
        <v/>
      </c>
      <c r="AK51" s="194" t="str">
        <f aca="false">IF(AND(Projects!$C$45&lt;=AK$4,AK$4&lt;=Projects!$C$45+Projects!$D$45-1),Projects!$B$45/Projects!$D$45,"")</f>
        <v/>
      </c>
      <c r="AL51" s="194" t="str">
        <f aca="false">IF(AND(Projects!$C$45&lt;=AL$4,AL$4&lt;=Projects!$C$45+Projects!$D$45-1),Projects!$B$45/Projects!$D$45,"")</f>
        <v/>
      </c>
      <c r="AM51" s="194" t="str">
        <f aca="false">IF(AND(Projects!$C$45&lt;=AM$4,AM$4&lt;=Projects!$C$45+Projects!$D$45-1),Projects!$B$45/Projects!$D$45,"")</f>
        <v/>
      </c>
      <c r="AN51" s="194" t="str">
        <f aca="false">IF(AND(Projects!$C$45&lt;=AN$4,AN$4&lt;=Projects!$C$45+Projects!$D$45-1),Projects!$B$45/Projects!$D$45,"")</f>
        <v/>
      </c>
      <c r="AO51" s="194" t="str">
        <f aca="false">IF(AND(Projects!$C$45&lt;=AO$4,AO$4&lt;=Projects!$C$45+Projects!$D$45-1),Projects!$B$45/Projects!$D$45,"")</f>
        <v/>
      </c>
      <c r="AP51" s="194" t="str">
        <f aca="false">IF(AND(Projects!$C$45&lt;=AP$4,AP$4&lt;=Projects!$C$45+Projects!$D$45-1),Projects!$B$45/Projects!$D$45,"")</f>
        <v/>
      </c>
      <c r="AQ51" s="194" t="str">
        <f aca="false">IF(AND(Projects!$C$45&lt;=AQ$4,AQ$4&lt;=Projects!$C$45+Projects!$D$45-1),Projects!$B$45/Projects!$D$45,"")</f>
        <v/>
      </c>
      <c r="AR51" s="194" t="str">
        <f aca="false">IF(AND(Projects!$C$45&lt;=AR$4,AR$4&lt;=Projects!$C$45+Projects!$D$45-1),Projects!$B$45/Projects!$D$45,"")</f>
        <v/>
      </c>
      <c r="AS51" s="194" t="str">
        <f aca="false">IF(AND(Projects!$C$45&lt;=AS$4,AS$4&lt;=Projects!$C$45+Projects!$D$45-1),Projects!$B$45/Projects!$D$45,"")</f>
        <v/>
      </c>
      <c r="AT51" s="194" t="str">
        <f aca="false">IF(AND(Projects!$C$45&lt;=AT$4,AT$4&lt;=Projects!$C$45+Projects!$D$45-1),Projects!$B$45/Projects!$D$45,"")</f>
        <v/>
      </c>
      <c r="AU51" s="194" t="str">
        <f aca="false">IF(AND(Projects!$C$45&lt;=AU$4,AU$4&lt;=Projects!$C$45+Projects!$D$45-1),Projects!$B$45/Projects!$D$45,"")</f>
        <v/>
      </c>
      <c r="AV51" s="194" t="str">
        <f aca="false">IF(AND(Projects!$C$45&lt;=AV$4,AV$4&lt;=Projects!$C$45+Projects!$D$45-1),Projects!$B$45/Projects!$D$45,"")</f>
        <v/>
      </c>
      <c r="AW51" s="194" t="str">
        <f aca="false">IF(AND(Projects!$C$45&lt;=AW$4,AW$4&lt;=Projects!$C$45+Projects!$D$45-1),Projects!$B$45/Projects!$D$45,"")</f>
        <v/>
      </c>
      <c r="AX51" s="194" t="str">
        <f aca="false">IF(AND(Projects!$C$45&lt;=AX$4,AX$4&lt;=Projects!$C$45+Projects!$D$45-1),Projects!$B$45/Projects!$D$45,"")</f>
        <v/>
      </c>
      <c r="AY51" s="194" t="str">
        <f aca="false">IF(AND(Projects!$C$45&lt;=AY$4,AY$4&lt;=Projects!$C$45+Projects!$D$45-1),Projects!$B$45/Projects!$D$45,"")</f>
        <v/>
      </c>
      <c r="AZ51" s="194" t="str">
        <f aca="false">IF(AND(Projects!$C$45&lt;=AZ$4,AZ$4&lt;=Projects!$C$45+Projects!$D$45-1),Projects!$B$45/Projects!$D$45,"")</f>
        <v/>
      </c>
      <c r="BA51" s="194" t="str">
        <f aca="false">IF(AND(Projects!$C$45&lt;=BA$4,BA$4&lt;=Projects!$C$45+Projects!$D$45-1),Projects!$B$45/Projects!$D$45,"")</f>
        <v/>
      </c>
      <c r="BB51" s="194" t="str">
        <f aca="false">IF(AND(Projects!$C$45&lt;=BB$4,BB$4&lt;=Projects!$C$45+Projects!$D$45-1),Projects!$B$45/Projects!$D$45,"")</f>
        <v/>
      </c>
      <c r="BC51" s="194" t="str">
        <f aca="false">IF(AND(Projects!$C$45&lt;=BC$4,BC$4&lt;=Projects!$C$45+Projects!$D$45-1),Projects!$B$45/Projects!$D$45,"")</f>
        <v/>
      </c>
      <c r="BD51" s="194" t="str">
        <f aca="false">IF(AND(Projects!$C$45&lt;=BD$4,BD$4&lt;=Projects!$C$45+Projects!$D$45-1),Projects!$B$45/Projects!$D$45,"")</f>
        <v/>
      </c>
      <c r="BE51" s="194" t="str">
        <f aca="false">IF(AND(Projects!$C$45&lt;=BE$4,BE$4&lt;=Projects!$C$45+Projects!$D$45-1),Projects!$B$45/Projects!$D$45,"")</f>
        <v/>
      </c>
      <c r="BF51" s="194" t="str">
        <f aca="false">IF(AND(Projects!$C$45&lt;=BF$4,BF$4&lt;=Projects!$C$45+Projects!$D$45-1),Projects!$B$45/Projects!$D$45,"")</f>
        <v/>
      </c>
      <c r="BG51" s="194" t="str">
        <f aca="false">IF(AND(Projects!$C$45&lt;=BG$4,BG$4&lt;=Projects!$C$45+Projects!$D$45-1),Projects!$B$45/Projects!$D$45,"")</f>
        <v/>
      </c>
      <c r="BH51" s="194" t="str">
        <f aca="false">IF(AND(Projects!$C$45&lt;=BH$4,BH$4&lt;=Projects!$C$45+Projects!$D$45-1),Projects!$B$45/Projects!$D$45,"")</f>
        <v/>
      </c>
      <c r="BI51" s="194" t="str">
        <f aca="false">IF(AND(Projects!$C$45&lt;=BI$4,BI$4&lt;=Projects!$C$45+Projects!$D$45-1),Projects!$B$45/Projects!$D$45,"")</f>
        <v/>
      </c>
      <c r="BJ51" s="194" t="str">
        <f aca="false">IF(AND(Projects!$C$45&lt;=BJ$4,BJ$4&lt;=Projects!$C$45+Projects!$D$45-1),Projects!$B$45/Projects!$D$45,"")</f>
        <v/>
      </c>
      <c r="BK51" s="194" t="str">
        <f aca="false">IF(AND(Projects!$C$45&lt;=BK$4,BK$4&lt;=Projects!$C$45+Projects!$D$45-1),Projects!$B$45/Projects!$D$45,"")</f>
        <v/>
      </c>
      <c r="BL51" s="194" t="str">
        <f aca="false">IF(AND(Projects!$C$45&lt;=BL$4,BL$4&lt;=Projects!$C$45+Projects!$D$45-1),Projects!$B$45/Projects!$D$45,"")</f>
        <v/>
      </c>
      <c r="BM51" s="194" t="str">
        <f aca="false">IF(AND(Projects!$C$45&lt;=BM$4,BM$4&lt;=Projects!$C$45+Projects!$D$45-1),Projects!$B$45/Projects!$D$45,"")</f>
        <v/>
      </c>
      <c r="BN51" s="194" t="str">
        <f aca="false">IF(AND(Projects!$C$45&lt;=BN$4,BN$4&lt;=Projects!$C$45+Projects!$D$45-1),Projects!$B$45/Projects!$D$45,"")</f>
        <v/>
      </c>
      <c r="BO51" s="194" t="str">
        <f aca="false">IF(AND(Projects!$C$45&lt;=BO$4,BO$4&lt;=Projects!$C$45+Projects!$D$45-1),Projects!$B$45/Projects!$D$45,"")</f>
        <v/>
      </c>
      <c r="BP51" s="194" t="str">
        <f aca="false">IF(AND(Projects!$C$45&lt;=BP$4,BP$4&lt;=Projects!$C$45+Projects!$D$45-1),Projects!$B$45/Projects!$D$45,"")</f>
        <v/>
      </c>
      <c r="BQ51" s="194" t="str">
        <f aca="false">IF(AND(Projects!$C$45&lt;=BQ$4,BQ$4&lt;=Projects!$C$45+Projects!$D$45-1),Projects!$B$45/Projects!$D$45,"")</f>
        <v/>
      </c>
      <c r="BR51" s="194" t="str">
        <f aca="false">IF(AND(Projects!$C$45&lt;=BR$4,BR$4&lt;=Projects!$C$45+Projects!$D$45-1),Projects!$B$45/Projects!$D$45,"")</f>
        <v/>
      </c>
      <c r="BS51" s="194" t="str">
        <f aca="false">IF(AND(Projects!$C$45&lt;=BS$4,BS$4&lt;=Projects!$C$45+Projects!$D$45-1),Projects!$B$45/Projects!$D$45,"")</f>
        <v/>
      </c>
      <c r="BT51" s="194" t="str">
        <f aca="false">IF(AND(Projects!$C$45&lt;=BT$4,BT$4&lt;=Projects!$C$45+Projects!$D$45-1),Projects!$B$45/Projects!$D$45,"")</f>
        <v/>
      </c>
      <c r="BU51" s="194" t="str">
        <f aca="false">IF(AND(Projects!$C$45&lt;=BU$4,BU$4&lt;=Projects!$C$45+Projects!$D$45-1),Projects!$B$45/Projects!$D$45,"")</f>
        <v/>
      </c>
      <c r="BV51" s="194" t="str">
        <f aca="false">IF(AND(Projects!$C$45&lt;=BV$4,BV$4&lt;=Projects!$C$45+Projects!$D$45-1),Projects!$B$45/Projects!$D$45,"")</f>
        <v/>
      </c>
      <c r="BW51" s="194" t="str">
        <f aca="false">IF(AND(Projects!$C$45&lt;=BW$4,BW$4&lt;=Projects!$C$45+Projects!$D$45-1),Projects!$B$45/Projects!$D$45,"")</f>
        <v/>
      </c>
      <c r="BX51" s="194" t="str">
        <f aca="false">IF(AND(Projects!$C$45&lt;=BX$4,BX$4&lt;=Projects!$C$45+Projects!$D$45-1),Projects!$B$45/Projects!$D$45,"")</f>
        <v/>
      </c>
      <c r="BY51" s="194" t="str">
        <f aca="false">IF(AND(Projects!$C$45&lt;=BY$4,BY$4&lt;=Projects!$C$45+Projects!$D$45-1),Projects!$B$45/Projects!$D$45,"")</f>
        <v/>
      </c>
      <c r="BZ51" s="194" t="str">
        <f aca="false">IF(AND(Projects!$C$45&lt;=BZ$4,BZ$4&lt;=Projects!$C$45+Projects!$D$45-1),Projects!$B$45/Projects!$D$45,"")</f>
        <v/>
      </c>
      <c r="CA51" s="194" t="str">
        <f aca="false">IF(AND(Projects!$C$45&lt;=CA$4,CA$4&lt;=Projects!$C$45+Projects!$D$45-1),Projects!$B$45/Projects!$D$45,"")</f>
        <v/>
      </c>
      <c r="CB51" s="194" t="str">
        <f aca="false">IF(AND(Projects!$C$45&lt;=CB$4,CB$4&lt;=Projects!$C$45+Projects!$D$45-1),Projects!$B$45/Projects!$D$45,"")</f>
        <v/>
      </c>
      <c r="CC51" s="194" t="str">
        <f aca="false">IF(AND(Projects!$C$45&lt;=CC$4,CC$4&lt;=Projects!$C$45+Projects!$D$45-1),Projects!$B$45/Projects!$D$45,"")</f>
        <v/>
      </c>
      <c r="CD51" s="194" t="str">
        <f aca="false">IF(AND(Projects!$C$45&lt;=CD$4,CD$4&lt;=Projects!$C$45+Projects!$D$45-1),Projects!$B$45/Projects!$D$45,"")</f>
        <v/>
      </c>
      <c r="CE51" s="194" t="str">
        <f aca="false">IF(AND(Projects!$C$45&lt;=CE$4,CE$4&lt;=Projects!$C$45+Projects!$D$45-1),Projects!$B$45/Projects!$D$45,"")</f>
        <v/>
      </c>
      <c r="CF51" s="194" t="str">
        <f aca="false">IF(AND(Projects!$C$45&lt;=CF$4,CF$4&lt;=Projects!$C$45+Projects!$D$45-1),Projects!$B$45/Projects!$D$45,"")</f>
        <v/>
      </c>
      <c r="CG51" s="194" t="str">
        <f aca="false">IF(AND(Projects!$C$45&lt;=CG$4,CG$4&lt;=Projects!$C$45+Projects!$D$45-1),Projects!$B$45/Projects!$D$45,"")</f>
        <v/>
      </c>
      <c r="CH51" s="194" t="n">
        <f aca="false">IF(AND(Projects!$C$45&lt;=CH$4,CH$4&lt;=Projects!$C$45+Projects!$D$45-1),Projects!$B$45/Projects!$D$45,"")</f>
        <v>947368.421052632</v>
      </c>
      <c r="CI51" s="194" t="n">
        <f aca="false">IF(AND(Projects!$C$45&lt;=CI$4,CI$4&lt;=Projects!$C$45+Projects!$D$45-1),Projects!$B$45/Projects!$D$45,"")</f>
        <v>947368.421052632</v>
      </c>
      <c r="CJ51" s="194" t="n">
        <f aca="false">IF(AND(Projects!$C$45&lt;=CJ$4,CJ$4&lt;=Projects!$C$45+Projects!$D$45-1),Projects!$B$45/Projects!$D$45,"")</f>
        <v>947368.421052632</v>
      </c>
      <c r="CK51" s="194" t="n">
        <f aca="false">IF(AND(Projects!$C$45&lt;=CK$4,CK$4&lt;=Projects!$C$45+Projects!$D$45-1),Projects!$B$45/Projects!$D$45,"")</f>
        <v>947368.421052632</v>
      </c>
      <c r="CL51" s="194" t="n">
        <f aca="false">IF(AND(Projects!$C$45&lt;=CL$4,CL$4&lt;=Projects!$C$45+Projects!$D$45-1),Projects!$B$45/Projects!$D$45,"")</f>
        <v>947368.421052632</v>
      </c>
      <c r="CM51" s="194" t="n">
        <f aca="false">IF(AND(Projects!$C$45&lt;=CM$4,CM$4&lt;=Projects!$C$45+Projects!$D$45-1),Projects!$B$45/Projects!$D$45,"")</f>
        <v>947368.421052632</v>
      </c>
      <c r="CN51" s="194" t="n">
        <f aca="false">IF(AND(Projects!$C$45&lt;=CN$4,CN$4&lt;=Projects!$C$45+Projects!$D$45-1),Projects!$B$45/Projects!$D$45,"")</f>
        <v>947368.421052632</v>
      </c>
      <c r="CO51" s="194" t="n">
        <f aca="false">IF(AND(Projects!$C$45&lt;=CO$4,CO$4&lt;=Projects!$C$45+Projects!$D$45-1),Projects!$B$45/Projects!$D$45,"")</f>
        <v>947368.421052632</v>
      </c>
      <c r="CP51" s="194" t="n">
        <f aca="false">IF(AND(Projects!$C$45&lt;=CP$4,CP$4&lt;=Projects!$C$45+Projects!$D$45-1),Projects!$B$45/Projects!$D$45,"")</f>
        <v>947368.421052632</v>
      </c>
      <c r="CQ51" s="194" t="n">
        <f aca="false">IF(AND(Projects!$C$45&lt;=CQ$4,CQ$4&lt;=Projects!$C$45+Projects!$D$45-1),Projects!$B$45/Projects!$D$45,"")</f>
        <v>947368.421052632</v>
      </c>
      <c r="CR51" s="194" t="n">
        <f aca="false">IF(AND(Projects!$C$45&lt;=CR$4,CR$4&lt;=Projects!$C$45+Projects!$D$45-1),Projects!$B$45/Projects!$D$45,"")</f>
        <v>947368.421052632</v>
      </c>
      <c r="CS51" s="194" t="n">
        <f aca="false">IF(AND(Projects!$C$45&lt;=CS$4,CS$4&lt;=Projects!$C$45+Projects!$D$45-1),Projects!$B$45/Projects!$D$45,"")</f>
        <v>947368.421052632</v>
      </c>
      <c r="CT51" s="194" t="n">
        <f aca="false">IF(AND(Projects!$C$45&lt;=CT$4,CT$4&lt;=Projects!$C$45+Projects!$D$45-1),Projects!$B$45/Projects!$D$45,"")</f>
        <v>947368.421052632</v>
      </c>
      <c r="CU51" s="194" t="n">
        <f aca="false">IF(AND(Projects!$C$45&lt;=CU$4,CU$4&lt;=Projects!$C$45+Projects!$D$45-1),Projects!$B$45/Projects!$D$45,"")</f>
        <v>947368.421052632</v>
      </c>
      <c r="CV51" s="194" t="n">
        <f aca="false">IF(AND(Projects!$C$45&lt;=CV$4,CV$4&lt;=Projects!$C$45+Projects!$D$45-1),Projects!$B$45/Projects!$D$45,"")</f>
        <v>947368.421052632</v>
      </c>
      <c r="CW51" s="194" t="n">
        <f aca="false">IF(AND(Projects!$C$45&lt;=CW$4,CW$4&lt;=Projects!$C$45+Projects!$D$45-1),Projects!$B$45/Projects!$D$45,"")</f>
        <v>947368.421052632</v>
      </c>
      <c r="CX51" s="194" t="n">
        <f aca="false">IF(AND(Projects!$C$45&lt;=CX$4,CX$4&lt;=Projects!$C$45+Projects!$D$45-1),Projects!$B$45/Projects!$D$45,"")</f>
        <v>947368.421052632</v>
      </c>
      <c r="CY51" s="194" t="n">
        <f aca="false">IF(AND(Projects!$C$45&lt;=CY$4,CY$4&lt;=Projects!$C$45+Projects!$D$45-1),Projects!$B$45/Projects!$D$45,"")</f>
        <v>947368.421052632</v>
      </c>
      <c r="CZ51" s="194" t="n">
        <f aca="false">IF(AND(Projects!$C$45&lt;=CZ$4,CZ$4&lt;=Projects!$C$45+Projects!$D$45-1),Projects!$B$45/Projects!$D$45,"")</f>
        <v>947368.421052632</v>
      </c>
      <c r="DA51" s="194" t="str">
        <f aca="false">IF(AND(Projects!$C$45&lt;=DA$4,DA$4&lt;=Projects!$C$45+Projects!$D$45-1),Projects!$B$45/Projects!$D$45,"")</f>
        <v/>
      </c>
      <c r="DB51" s="194" t="str">
        <f aca="false">IF(AND(Projects!$C$45&lt;=DB$4,DB$4&lt;=Projects!$C$45+Projects!$D$45-1),Projects!$B$45/Projects!$D$45,"")</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Projects!$B$46/Projects!$D$46</f>
        <v>789473.684210526</v>
      </c>
      <c r="G52" s="194" t="str">
        <f aca="false">IF(AND(Projects!$C$46&lt;=G$4,G$4&lt;=Projects!$C$46+Projects!$D$46-1),Projects!$B$46/Projects!$D$46,"")</f>
        <v/>
      </c>
      <c r="H52" s="194" t="str">
        <f aca="false">IF(AND(Projects!$C$46&lt;=H$4,H$4&lt;=Projects!$C$46+Projects!$D$46-1),Projects!$B$46/Projects!$D$46,"")</f>
        <v/>
      </c>
      <c r="I52" s="194" t="str">
        <f aca="false">IF(AND(Projects!$C$46&lt;=I$4,I$4&lt;=Projects!$C$46+Projects!$D$46-1),Projects!$B$46/Projects!$D$46,"")</f>
        <v/>
      </c>
      <c r="J52" s="194" t="str">
        <f aca="false">IF(AND(Projects!$C$46&lt;=J$4,J$4&lt;=Projects!$C$46+Projects!$D$46-1),Projects!$B$46/Projects!$D$46,"")</f>
        <v/>
      </c>
      <c r="K52" s="194" t="str">
        <f aca="false">IF(AND(Projects!$C$46&lt;=K$4,K$4&lt;=Projects!$C$46+Projects!$D$46-1),Projects!$B$46/Projects!$D$46,"")</f>
        <v/>
      </c>
      <c r="L52" s="194" t="str">
        <f aca="false">IF(AND(Projects!$C$46&lt;=L$4,L$4&lt;=Projects!$C$46+Projects!$D$46-1),Projects!$B$46/Projects!$D$46,"")</f>
        <v/>
      </c>
      <c r="M52" s="194" t="str">
        <f aca="false">IF(AND(Projects!$C$46&lt;=M$4,M$4&lt;=Projects!$C$46+Projects!$D$46-1),Projects!$B$46/Projects!$D$46,"")</f>
        <v/>
      </c>
      <c r="N52" s="194" t="str">
        <f aca="false">IF(AND(Projects!$C$46&lt;=N$4,N$4&lt;=Projects!$C$46+Projects!$D$46-1),Projects!$B$46/Projects!$D$46,"")</f>
        <v/>
      </c>
      <c r="O52" s="194" t="str">
        <f aca="false">IF(AND(Projects!$C$46&lt;=O$4,O$4&lt;=Projects!$C$46+Projects!$D$46-1),Projects!$B$46/Projects!$D$46,"")</f>
        <v/>
      </c>
      <c r="P52" s="194" t="str">
        <f aca="false">IF(AND(Projects!$C$46&lt;=P$4,P$4&lt;=Projects!$C$46+Projects!$D$46-1),Projects!$B$46/Projects!$D$46,"")</f>
        <v/>
      </c>
      <c r="Q52" s="194" t="str">
        <f aca="false">IF(AND(Projects!$C$46&lt;=Q$4,Q$4&lt;=Projects!$C$46+Projects!$D$46-1),Projects!$B$46/Projects!$D$46,"")</f>
        <v/>
      </c>
      <c r="R52" s="194" t="str">
        <f aca="false">IF(AND(Projects!$C$46&lt;=R$4,R$4&lt;=Projects!$C$46+Projects!$D$46-1),Projects!$B$46/Projects!$D$46,"")</f>
        <v/>
      </c>
      <c r="S52" s="194" t="str">
        <f aca="false">IF(AND(Projects!$C$46&lt;=S$4,S$4&lt;=Projects!$C$46+Projects!$D$46-1),Projects!$B$46/Projects!$D$46,"")</f>
        <v/>
      </c>
      <c r="T52" s="194" t="str">
        <f aca="false">IF(AND(Projects!$C$46&lt;=T$4,T$4&lt;=Projects!$C$46+Projects!$D$46-1),Projects!$B$46/Projects!$D$46,"")</f>
        <v/>
      </c>
      <c r="U52" s="194" t="str">
        <f aca="false">IF(AND(Projects!$C$46&lt;=U$4,U$4&lt;=Projects!$C$46+Projects!$D$46-1),Projects!$B$46/Projects!$D$46,"")</f>
        <v/>
      </c>
      <c r="V52" s="194" t="str">
        <f aca="false">IF(AND(Projects!$C$46&lt;=V$4,V$4&lt;=Projects!$C$46+Projects!$D$46-1),Projects!$B$46/Projects!$D$46,"")</f>
        <v/>
      </c>
      <c r="W52" s="194" t="str">
        <f aca="false">IF(AND(Projects!$C$46&lt;=W$4,W$4&lt;=Projects!$C$46+Projects!$D$46-1),Projects!$B$46/Projects!$D$46,"")</f>
        <v/>
      </c>
      <c r="X52" s="194" t="str">
        <f aca="false">IF(AND(Projects!$C$46&lt;=X$4,X$4&lt;=Projects!$C$46+Projects!$D$46-1),Projects!$B$46/Projects!$D$46,"")</f>
        <v/>
      </c>
      <c r="Y52" s="194" t="str">
        <f aca="false">IF(AND(Projects!$C$46&lt;=Y$4,Y$4&lt;=Projects!$C$46+Projects!$D$46-1),Projects!$B$46/Projects!$D$46,"")</f>
        <v/>
      </c>
      <c r="Z52" s="194" t="str">
        <f aca="false">IF(AND(Projects!$C$46&lt;=Z$4,Z$4&lt;=Projects!$C$46+Projects!$D$46-1),Projects!$B$46/Projects!$D$46,"")</f>
        <v/>
      </c>
      <c r="AA52" s="194" t="str">
        <f aca="false">IF(AND(Projects!$C$46&lt;=AA$4,AA$4&lt;=Projects!$C$46+Projects!$D$46-1),Projects!$B$46/Projects!$D$46,"")</f>
        <v/>
      </c>
      <c r="AB52" s="194" t="str">
        <f aca="false">IF(AND(Projects!$C$46&lt;=AB$4,AB$4&lt;=Projects!$C$46+Projects!$D$46-1),Projects!$B$46/Projects!$D$46,"")</f>
        <v/>
      </c>
      <c r="AC52" s="194" t="str">
        <f aca="false">IF(AND(Projects!$C$46&lt;=AC$4,AC$4&lt;=Projects!$C$46+Projects!$D$46-1),Projects!$B$46/Projects!$D$46,"")</f>
        <v/>
      </c>
      <c r="AD52" s="194" t="str">
        <f aca="false">IF(AND(Projects!$C$46&lt;=AD$4,AD$4&lt;=Projects!$C$46+Projects!$D$46-1),Projects!$B$46/Projects!$D$46,"")</f>
        <v/>
      </c>
      <c r="AE52" s="194" t="str">
        <f aca="false">IF(AND(Projects!$C$46&lt;=AE$4,AE$4&lt;=Projects!$C$46+Projects!$D$46-1),Projects!$B$46/Projects!$D$46,"")</f>
        <v/>
      </c>
      <c r="AF52" s="194" t="str">
        <f aca="false">IF(AND(Projects!$C$46&lt;=AF$4,AF$4&lt;=Projects!$C$46+Projects!$D$46-1),Projects!$B$46/Projects!$D$46,"")</f>
        <v/>
      </c>
      <c r="AG52" s="194" t="str">
        <f aca="false">IF(AND(Projects!$C$46&lt;=AG$4,AG$4&lt;=Projects!$C$46+Projects!$D$46-1),Projects!$B$46/Projects!$D$46,"")</f>
        <v/>
      </c>
      <c r="AH52" s="194" t="str">
        <f aca="false">IF(AND(Projects!$C$46&lt;=AH$4,AH$4&lt;=Projects!$C$46+Projects!$D$46-1),Projects!$B$46/Projects!$D$46,"")</f>
        <v/>
      </c>
      <c r="AI52" s="194" t="str">
        <f aca="false">IF(AND(Projects!$C$46&lt;=AI$4,AI$4&lt;=Projects!$C$46+Projects!$D$46-1),Projects!$B$46/Projects!$D$46,"")</f>
        <v/>
      </c>
      <c r="AJ52" s="194" t="str">
        <f aca="false">IF(AND(Projects!$C$46&lt;=AJ$4,AJ$4&lt;=Projects!$C$46+Projects!$D$46-1),Projects!$B$46/Projects!$D$46,"")</f>
        <v/>
      </c>
      <c r="AK52" s="194" t="str">
        <f aca="false">IF(AND(Projects!$C$46&lt;=AK$4,AK$4&lt;=Projects!$C$46+Projects!$D$46-1),Projects!$B$46/Projects!$D$46,"")</f>
        <v/>
      </c>
      <c r="AL52" s="194" t="str">
        <f aca="false">IF(AND(Projects!$C$46&lt;=AL$4,AL$4&lt;=Projects!$C$46+Projects!$D$46-1),Projects!$B$46/Projects!$D$46,"")</f>
        <v/>
      </c>
      <c r="AM52" s="194" t="str">
        <f aca="false">IF(AND(Projects!$C$46&lt;=AM$4,AM$4&lt;=Projects!$C$46+Projects!$D$46-1),Projects!$B$46/Projects!$D$46,"")</f>
        <v/>
      </c>
      <c r="AN52" s="194" t="str">
        <f aca="false">IF(AND(Projects!$C$46&lt;=AN$4,AN$4&lt;=Projects!$C$46+Projects!$D$46-1),Projects!$B$46/Projects!$D$46,"")</f>
        <v/>
      </c>
      <c r="AO52" s="194" t="str">
        <f aca="false">IF(AND(Projects!$C$46&lt;=AO$4,AO$4&lt;=Projects!$C$46+Projects!$D$46-1),Projects!$B$46/Projects!$D$46,"")</f>
        <v/>
      </c>
      <c r="AP52" s="194" t="str">
        <f aca="false">IF(AND(Projects!$C$46&lt;=AP$4,AP$4&lt;=Projects!$C$46+Projects!$D$46-1),Projects!$B$46/Projects!$D$46,"")</f>
        <v/>
      </c>
      <c r="AQ52" s="194" t="str">
        <f aca="false">IF(AND(Projects!$C$46&lt;=AQ$4,AQ$4&lt;=Projects!$C$46+Projects!$D$46-1),Projects!$B$46/Projects!$D$46,"")</f>
        <v/>
      </c>
      <c r="AR52" s="194" t="str">
        <f aca="false">IF(AND(Projects!$C$46&lt;=AR$4,AR$4&lt;=Projects!$C$46+Projects!$D$46-1),Projects!$B$46/Projects!$D$46,"")</f>
        <v/>
      </c>
      <c r="AS52" s="194" t="str">
        <f aca="false">IF(AND(Projects!$C$46&lt;=AS$4,AS$4&lt;=Projects!$C$46+Projects!$D$46-1),Projects!$B$46/Projects!$D$46,"")</f>
        <v/>
      </c>
      <c r="AT52" s="194" t="str">
        <f aca="false">IF(AND(Projects!$C$46&lt;=AT$4,AT$4&lt;=Projects!$C$46+Projects!$D$46-1),Projects!$B$46/Projects!$D$46,"")</f>
        <v/>
      </c>
      <c r="AU52" s="194" t="str">
        <f aca="false">IF(AND(Projects!$C$46&lt;=AU$4,AU$4&lt;=Projects!$C$46+Projects!$D$46-1),Projects!$B$46/Projects!$D$46,"")</f>
        <v/>
      </c>
      <c r="AV52" s="194" t="str">
        <f aca="false">IF(AND(Projects!$C$46&lt;=AV$4,AV$4&lt;=Projects!$C$46+Projects!$D$46-1),Projects!$B$46/Projects!$D$46,"")</f>
        <v/>
      </c>
      <c r="AW52" s="194" t="str">
        <f aca="false">IF(AND(Projects!$C$46&lt;=AW$4,AW$4&lt;=Projects!$C$46+Projects!$D$46-1),Projects!$B$46/Projects!$D$46,"")</f>
        <v/>
      </c>
      <c r="AX52" s="194" t="str">
        <f aca="false">IF(AND(Projects!$C$46&lt;=AX$4,AX$4&lt;=Projects!$C$46+Projects!$D$46-1),Projects!$B$46/Projects!$D$46,"")</f>
        <v/>
      </c>
      <c r="AY52" s="194" t="str">
        <f aca="false">IF(AND(Projects!$C$46&lt;=AY$4,AY$4&lt;=Projects!$C$46+Projects!$D$46-1),Projects!$B$46/Projects!$D$46,"")</f>
        <v/>
      </c>
      <c r="AZ52" s="194" t="str">
        <f aca="false">IF(AND(Projects!$C$46&lt;=AZ$4,AZ$4&lt;=Projects!$C$46+Projects!$D$46-1),Projects!$B$46/Projects!$D$46,"")</f>
        <v/>
      </c>
      <c r="BA52" s="194" t="str">
        <f aca="false">IF(AND(Projects!$C$46&lt;=BA$4,BA$4&lt;=Projects!$C$46+Projects!$D$46-1),Projects!$B$46/Projects!$D$46,"")</f>
        <v/>
      </c>
      <c r="BB52" s="194" t="str">
        <f aca="false">IF(AND(Projects!$C$46&lt;=BB$4,BB$4&lt;=Projects!$C$46+Projects!$D$46-1),Projects!$B$46/Projects!$D$46,"")</f>
        <v/>
      </c>
      <c r="BC52" s="194" t="str">
        <f aca="false">IF(AND(Projects!$C$46&lt;=BC$4,BC$4&lt;=Projects!$C$46+Projects!$D$46-1),Projects!$B$46/Projects!$D$46,"")</f>
        <v/>
      </c>
      <c r="BD52" s="194" t="str">
        <f aca="false">IF(AND(Projects!$C$46&lt;=BD$4,BD$4&lt;=Projects!$C$46+Projects!$D$46-1),Projects!$B$46/Projects!$D$46,"")</f>
        <v/>
      </c>
      <c r="BE52" s="194" t="str">
        <f aca="false">IF(AND(Projects!$C$46&lt;=BE$4,BE$4&lt;=Projects!$C$46+Projects!$D$46-1),Projects!$B$46/Projects!$D$46,"")</f>
        <v/>
      </c>
      <c r="BF52" s="194" t="str">
        <f aca="false">IF(AND(Projects!$C$46&lt;=BF$4,BF$4&lt;=Projects!$C$46+Projects!$D$46-1),Projects!$B$46/Projects!$D$46,"")</f>
        <v/>
      </c>
      <c r="BG52" s="194" t="str">
        <f aca="false">IF(AND(Projects!$C$46&lt;=BG$4,BG$4&lt;=Projects!$C$46+Projects!$D$46-1),Projects!$B$46/Projects!$D$46,"")</f>
        <v/>
      </c>
      <c r="BH52" s="194" t="str">
        <f aca="false">IF(AND(Projects!$C$46&lt;=BH$4,BH$4&lt;=Projects!$C$46+Projects!$D$46-1),Projects!$B$46/Projects!$D$46,"")</f>
        <v/>
      </c>
      <c r="BI52" s="194" t="str">
        <f aca="false">IF(AND(Projects!$C$46&lt;=BI$4,BI$4&lt;=Projects!$C$46+Projects!$D$46-1),Projects!$B$46/Projects!$D$46,"")</f>
        <v/>
      </c>
      <c r="BJ52" s="194" t="str">
        <f aca="false">IF(AND(Projects!$C$46&lt;=BJ$4,BJ$4&lt;=Projects!$C$46+Projects!$D$46-1),Projects!$B$46/Projects!$D$46,"")</f>
        <v/>
      </c>
      <c r="BK52" s="194" t="str">
        <f aca="false">IF(AND(Projects!$C$46&lt;=BK$4,BK$4&lt;=Projects!$C$46+Projects!$D$46-1),Projects!$B$46/Projects!$D$46,"")</f>
        <v/>
      </c>
      <c r="BL52" s="194" t="str">
        <f aca="false">IF(AND(Projects!$C$46&lt;=BL$4,BL$4&lt;=Projects!$C$46+Projects!$D$46-1),Projects!$B$46/Projects!$D$46,"")</f>
        <v/>
      </c>
      <c r="BM52" s="194" t="str">
        <f aca="false">IF(AND(Projects!$C$46&lt;=BM$4,BM$4&lt;=Projects!$C$46+Projects!$D$46-1),Projects!$B$46/Projects!$D$46,"")</f>
        <v/>
      </c>
      <c r="BN52" s="194" t="str">
        <f aca="false">IF(AND(Projects!$C$46&lt;=BN$4,BN$4&lt;=Projects!$C$46+Projects!$D$46-1),Projects!$B$46/Projects!$D$46,"")</f>
        <v/>
      </c>
      <c r="BO52" s="194" t="str">
        <f aca="false">IF(AND(Projects!$C$46&lt;=BO$4,BO$4&lt;=Projects!$C$46+Projects!$D$46-1),Projects!$B$46/Projects!$D$46,"")</f>
        <v/>
      </c>
      <c r="BP52" s="194" t="str">
        <f aca="false">IF(AND(Projects!$C$46&lt;=BP$4,BP$4&lt;=Projects!$C$46+Projects!$D$46-1),Projects!$B$46/Projects!$D$46,"")</f>
        <v/>
      </c>
      <c r="BQ52" s="194" t="str">
        <f aca="false">IF(AND(Projects!$C$46&lt;=BQ$4,BQ$4&lt;=Projects!$C$46+Projects!$D$46-1),Projects!$B$46/Projects!$D$46,"")</f>
        <v/>
      </c>
      <c r="BR52" s="194" t="str">
        <f aca="false">IF(AND(Projects!$C$46&lt;=BR$4,BR$4&lt;=Projects!$C$46+Projects!$D$46-1),Projects!$B$46/Projects!$D$46,"")</f>
        <v/>
      </c>
      <c r="BS52" s="194" t="str">
        <f aca="false">IF(AND(Projects!$C$46&lt;=BS$4,BS$4&lt;=Projects!$C$46+Projects!$D$46-1),Projects!$B$46/Projects!$D$46,"")</f>
        <v/>
      </c>
      <c r="BT52" s="194" t="str">
        <f aca="false">IF(AND(Projects!$C$46&lt;=BT$4,BT$4&lt;=Projects!$C$46+Projects!$D$46-1),Projects!$B$46/Projects!$D$46,"")</f>
        <v/>
      </c>
      <c r="BU52" s="194" t="str">
        <f aca="false">IF(AND(Projects!$C$46&lt;=BU$4,BU$4&lt;=Projects!$C$46+Projects!$D$46-1),Projects!$B$46/Projects!$D$46,"")</f>
        <v/>
      </c>
      <c r="BV52" s="194" t="str">
        <f aca="false">IF(AND(Projects!$C$46&lt;=BV$4,BV$4&lt;=Projects!$C$46+Projects!$D$46-1),Projects!$B$46/Projects!$D$46,"")</f>
        <v/>
      </c>
      <c r="BW52" s="194" t="str">
        <f aca="false">IF(AND(Projects!$C$46&lt;=BW$4,BW$4&lt;=Projects!$C$46+Projects!$D$46-1),Projects!$B$46/Projects!$D$46,"")</f>
        <v/>
      </c>
      <c r="BX52" s="194" t="str">
        <f aca="false">IF(AND(Projects!$C$46&lt;=BX$4,BX$4&lt;=Projects!$C$46+Projects!$D$46-1),Projects!$B$46/Projects!$D$46,"")</f>
        <v/>
      </c>
      <c r="BY52" s="194" t="str">
        <f aca="false">IF(AND(Projects!$C$46&lt;=BY$4,BY$4&lt;=Projects!$C$46+Projects!$D$46-1),Projects!$B$46/Projects!$D$46,"")</f>
        <v/>
      </c>
      <c r="BZ52" s="194" t="str">
        <f aca="false">IF(AND(Projects!$C$46&lt;=BZ$4,BZ$4&lt;=Projects!$C$46+Projects!$D$46-1),Projects!$B$46/Projects!$D$46,"")</f>
        <v/>
      </c>
      <c r="CA52" s="194" t="str">
        <f aca="false">IF(AND(Projects!$C$46&lt;=CA$4,CA$4&lt;=Projects!$C$46+Projects!$D$46-1),Projects!$B$46/Projects!$D$46,"")</f>
        <v/>
      </c>
      <c r="CB52" s="194" t="str">
        <f aca="false">IF(AND(Projects!$C$46&lt;=CB$4,CB$4&lt;=Projects!$C$46+Projects!$D$46-1),Projects!$B$46/Projects!$D$46,"")</f>
        <v/>
      </c>
      <c r="CC52" s="194" t="str">
        <f aca="false">IF(AND(Projects!$C$46&lt;=CC$4,CC$4&lt;=Projects!$C$46+Projects!$D$46-1),Projects!$B$46/Projects!$D$46,"")</f>
        <v/>
      </c>
      <c r="CD52" s="194" t="str">
        <f aca="false">IF(AND(Projects!$C$46&lt;=CD$4,CD$4&lt;=Projects!$C$46+Projects!$D$46-1),Projects!$B$46/Projects!$D$46,"")</f>
        <v/>
      </c>
      <c r="CE52" s="194" t="str">
        <f aca="false">IF(AND(Projects!$C$46&lt;=CE$4,CE$4&lt;=Projects!$C$46+Projects!$D$46-1),Projects!$B$46/Projects!$D$46,"")</f>
        <v/>
      </c>
      <c r="CF52" s="194" t="str">
        <f aca="false">IF(AND(Projects!$C$46&lt;=CF$4,CF$4&lt;=Projects!$C$46+Projects!$D$46-1),Projects!$B$46/Projects!$D$46,"")</f>
        <v/>
      </c>
      <c r="CG52" s="194" t="str">
        <f aca="false">IF(AND(Projects!$C$46&lt;=CG$4,CG$4&lt;=Projects!$C$46+Projects!$D$46-1),Projects!$B$46/Projects!$D$46,"")</f>
        <v/>
      </c>
      <c r="CH52" s="194" t="str">
        <f aca="false">IF(AND(Projects!$C$46&lt;=CH$4,CH$4&lt;=Projects!$C$46+Projects!$D$46-1),Projects!$B$46/Projects!$D$46,"")</f>
        <v/>
      </c>
      <c r="CI52" s="194" t="str">
        <f aca="false">IF(AND(Projects!$C$46&lt;=CI$4,CI$4&lt;=Projects!$C$46+Projects!$D$46-1),Projects!$B$46/Projects!$D$46,"")</f>
        <v/>
      </c>
      <c r="CJ52" s="194" t="n">
        <f aca="false">IF(AND(Projects!$C$46&lt;=CJ$4,CJ$4&lt;=Projects!$C$46+Projects!$D$46-1),Projects!$B$46/Projects!$D$46,"")</f>
        <v>789473.684210526</v>
      </c>
      <c r="CK52" s="194" t="n">
        <f aca="false">IF(AND(Projects!$C$46&lt;=CK$4,CK$4&lt;=Projects!$C$46+Projects!$D$46-1),Projects!$B$46/Projects!$D$46,"")</f>
        <v>789473.684210526</v>
      </c>
      <c r="CL52" s="194" t="n">
        <f aca="false">IF(AND(Projects!$C$46&lt;=CL$4,CL$4&lt;=Projects!$C$46+Projects!$D$46-1),Projects!$B$46/Projects!$D$46,"")</f>
        <v>789473.684210526</v>
      </c>
      <c r="CM52" s="194" t="n">
        <f aca="false">IF(AND(Projects!$C$46&lt;=CM$4,CM$4&lt;=Projects!$C$46+Projects!$D$46-1),Projects!$B$46/Projects!$D$46,"")</f>
        <v>789473.684210526</v>
      </c>
      <c r="CN52" s="194" t="n">
        <f aca="false">IF(AND(Projects!$C$46&lt;=CN$4,CN$4&lt;=Projects!$C$46+Projects!$D$46-1),Projects!$B$46/Projects!$D$46,"")</f>
        <v>789473.684210526</v>
      </c>
      <c r="CO52" s="194" t="n">
        <f aca="false">IF(AND(Projects!$C$46&lt;=CO$4,CO$4&lt;=Projects!$C$46+Projects!$D$46-1),Projects!$B$46/Projects!$D$46,"")</f>
        <v>789473.684210526</v>
      </c>
      <c r="CP52" s="194" t="n">
        <f aca="false">IF(AND(Projects!$C$46&lt;=CP$4,CP$4&lt;=Projects!$C$46+Projects!$D$46-1),Projects!$B$46/Projects!$D$46,"")</f>
        <v>789473.684210526</v>
      </c>
      <c r="CQ52" s="194" t="n">
        <f aca="false">IF(AND(Projects!$C$46&lt;=CQ$4,CQ$4&lt;=Projects!$C$46+Projects!$D$46-1),Projects!$B$46/Projects!$D$46,"")</f>
        <v>789473.684210526</v>
      </c>
      <c r="CR52" s="194" t="n">
        <f aca="false">IF(AND(Projects!$C$46&lt;=CR$4,CR$4&lt;=Projects!$C$46+Projects!$D$46-1),Projects!$B$46/Projects!$D$46,"")</f>
        <v>789473.684210526</v>
      </c>
      <c r="CS52" s="194" t="n">
        <f aca="false">IF(AND(Projects!$C$46&lt;=CS$4,CS$4&lt;=Projects!$C$46+Projects!$D$46-1),Projects!$B$46/Projects!$D$46,"")</f>
        <v>789473.684210526</v>
      </c>
      <c r="CT52" s="194" t="n">
        <f aca="false">IF(AND(Projects!$C$46&lt;=CT$4,CT$4&lt;=Projects!$C$46+Projects!$D$46-1),Projects!$B$46/Projects!$D$46,"")</f>
        <v>789473.684210526</v>
      </c>
      <c r="CU52" s="194" t="n">
        <f aca="false">IF(AND(Projects!$C$46&lt;=CU$4,CU$4&lt;=Projects!$C$46+Projects!$D$46-1),Projects!$B$46/Projects!$D$46,"")</f>
        <v>789473.684210526</v>
      </c>
      <c r="CV52" s="194" t="n">
        <f aca="false">IF(AND(Projects!$C$46&lt;=CV$4,CV$4&lt;=Projects!$C$46+Projects!$D$46-1),Projects!$B$46/Projects!$D$46,"")</f>
        <v>789473.684210526</v>
      </c>
      <c r="CW52" s="194" t="n">
        <f aca="false">IF(AND(Projects!$C$46&lt;=CW$4,CW$4&lt;=Projects!$C$46+Projects!$D$46-1),Projects!$B$46/Projects!$D$46,"")</f>
        <v>789473.684210526</v>
      </c>
      <c r="CX52" s="194" t="n">
        <f aca="false">IF(AND(Projects!$C$46&lt;=CX$4,CX$4&lt;=Projects!$C$46+Projects!$D$46-1),Projects!$B$46/Projects!$D$46,"")</f>
        <v>789473.684210526</v>
      </c>
      <c r="CY52" s="194" t="n">
        <f aca="false">IF(AND(Projects!$C$46&lt;=CY$4,CY$4&lt;=Projects!$C$46+Projects!$D$46-1),Projects!$B$46/Projects!$D$46,"")</f>
        <v>789473.684210526</v>
      </c>
      <c r="CZ52" s="194" t="n">
        <f aca="false">IF(AND(Projects!$C$46&lt;=CZ$4,CZ$4&lt;=Projects!$C$46+Projects!$D$46-1),Projects!$B$46/Projects!$D$46,"")</f>
        <v>789473.684210526</v>
      </c>
      <c r="DA52" s="194" t="n">
        <f aca="false">IF(AND(Projects!$C$46&lt;=DA$4,DA$4&lt;=Projects!$C$46+Projects!$D$46-1),Projects!$B$46/Projects!$D$46,"")</f>
        <v>789473.684210526</v>
      </c>
      <c r="DB52" s="194" t="n">
        <f aca="false">IF(AND(Projects!$C$46&lt;=DB$4,DB$4&lt;=Projects!$C$46+Projects!$D$46-1),Projects!$B$46/Projects!$D$46,"")</f>
        <v>789473.684210526</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789473.684210526</v>
      </c>
      <c r="AL53" s="195" t="n">
        <f aca="false">SUM(AL28:AL52)</f>
        <v>789473.684210526</v>
      </c>
      <c r="AM53" s="195" t="n">
        <f aca="false">SUM(AM28:AM52)</f>
        <v>789473.684210526</v>
      </c>
      <c r="AN53" s="195" t="n">
        <f aca="false">SUM(AN28:AN52)</f>
        <v>1578947.36842105</v>
      </c>
      <c r="AO53" s="195" t="n">
        <f aca="false">SUM(AO28:AO52)</f>
        <v>1578947.36842105</v>
      </c>
      <c r="AP53" s="195" t="n">
        <f aca="false">SUM(AP28:AP52)</f>
        <v>1578947.36842105</v>
      </c>
      <c r="AQ53" s="195" t="n">
        <f aca="false">SUM(AQ28:AQ52)</f>
        <v>2526315.78947368</v>
      </c>
      <c r="AR53" s="195" t="n">
        <f aca="false">SUM(AR28:AR52)</f>
        <v>2526315.78947368</v>
      </c>
      <c r="AS53" s="195" t="n">
        <f aca="false">SUM(AS28:AS52)</f>
        <v>2526315.78947368</v>
      </c>
      <c r="AT53" s="195" t="n">
        <f aca="false">SUM(AT28:AT52)</f>
        <v>3473684.21052632</v>
      </c>
      <c r="AU53" s="195" t="n">
        <f aca="false">SUM(AU28:AU52)</f>
        <v>3473684.21052632</v>
      </c>
      <c r="AV53" s="195" t="n">
        <f aca="false">SUM(AV28:AV52)</f>
        <v>4421052.63157895</v>
      </c>
      <c r="AW53" s="195" t="n">
        <f aca="false">SUM(AW28:AW52)</f>
        <v>4421052.63157895</v>
      </c>
      <c r="AX53" s="195" t="n">
        <f aca="false">SUM(AX28:AX52)</f>
        <v>5210526.31578947</v>
      </c>
      <c r="AY53" s="195" t="n">
        <f aca="false">SUM(AY28:AY52)</f>
        <v>5210526.31578947</v>
      </c>
      <c r="AZ53" s="195" t="n">
        <f aca="false">SUM(AZ28:AZ52)</f>
        <v>6000000</v>
      </c>
      <c r="BA53" s="195" t="n">
        <f aca="false">SUM(BA28:BA52)</f>
        <v>6000000</v>
      </c>
      <c r="BB53" s="195" t="n">
        <f aca="false">SUM(BB28:BB52)</f>
        <v>6789473.68421053</v>
      </c>
      <c r="BC53" s="195" t="n">
        <f aca="false">SUM(BC28:BC52)</f>
        <v>6789473.68421053</v>
      </c>
      <c r="BD53" s="195" t="n">
        <f aca="false">SUM(BD28:BD52)</f>
        <v>6789473.68421053</v>
      </c>
      <c r="BE53" s="195" t="n">
        <f aca="false">SUM(BE28:BE52)</f>
        <v>6789473.68421053</v>
      </c>
      <c r="BF53" s="195" t="n">
        <f aca="false">SUM(BF28:BF52)</f>
        <v>7736842.10526316</v>
      </c>
      <c r="BG53" s="195" t="n">
        <f aca="false">SUM(BG28:BG52)</f>
        <v>6947368.42105263</v>
      </c>
      <c r="BH53" s="195" t="n">
        <f aca="false">SUM(BH28:BH52)</f>
        <v>7736842.10526316</v>
      </c>
      <c r="BI53" s="195" t="n">
        <f aca="false">SUM(BI28:BI52)</f>
        <v>7736842.10526316</v>
      </c>
      <c r="BJ53" s="195" t="n">
        <f aca="false">SUM(BJ28:BJ52)</f>
        <v>7578947.36842105</v>
      </c>
      <c r="BK53" s="195" t="n">
        <f aca="false">SUM(BK28:BK52)</f>
        <v>7578947.36842105</v>
      </c>
      <c r="BL53" s="195" t="n">
        <f aca="false">SUM(BL28:BL52)</f>
        <v>8526315.78947369</v>
      </c>
      <c r="BM53" s="195" t="n">
        <f aca="false">SUM(BM28:BM52)</f>
        <v>7578947.36842105</v>
      </c>
      <c r="BN53" s="195" t="n">
        <f aca="false">SUM(BN28:BN52)</f>
        <v>8368421.05263158</v>
      </c>
      <c r="BO53" s="195" t="n">
        <f aca="false">SUM(BO28:BO52)</f>
        <v>7421052.63157895</v>
      </c>
      <c r="BP53" s="195" t="n">
        <f aca="false">SUM(BP28:BP52)</f>
        <v>8368421.05263158</v>
      </c>
      <c r="BQ53" s="195" t="n">
        <f aca="false">SUM(BQ28:BQ52)</f>
        <v>7578947.36842105</v>
      </c>
      <c r="BR53" s="195" t="n">
        <f aca="false">SUM(BR28:BR52)</f>
        <v>8368421.05263158</v>
      </c>
      <c r="BS53" s="195" t="n">
        <f aca="false">SUM(BS28:BS52)</f>
        <v>7578947.36842105</v>
      </c>
      <c r="BT53" s="195" t="n">
        <f aca="false">SUM(BT28:BT52)</f>
        <v>8368421.05263158</v>
      </c>
      <c r="BU53" s="195" t="n">
        <f aca="false">SUM(BU28:BU52)</f>
        <v>7578947.36842105</v>
      </c>
      <c r="BV53" s="195" t="n">
        <f aca="false">SUM(BV28:BV52)</f>
        <v>8526315.78947369</v>
      </c>
      <c r="BW53" s="195" t="n">
        <f aca="false">SUM(BW28:BW52)</f>
        <v>7736842.10526316</v>
      </c>
      <c r="BX53" s="195" t="n">
        <f aca="false">SUM(BX28:BX52)</f>
        <v>8526315.78947369</v>
      </c>
      <c r="BY53" s="195" t="n">
        <f aca="false">SUM(BY28:BY52)</f>
        <v>7578947.36842105</v>
      </c>
      <c r="BZ53" s="195" t="n">
        <f aca="false">SUM(BZ28:BZ52)</f>
        <v>8368421.05263158</v>
      </c>
      <c r="CA53" s="195" t="n">
        <f aca="false">SUM(CA28:CA52)</f>
        <v>7578947.36842105</v>
      </c>
      <c r="CB53" s="195" t="n">
        <f aca="false">SUM(CB28:CB52)</f>
        <v>8526315.78947369</v>
      </c>
      <c r="CC53" s="195" t="n">
        <f aca="false">SUM(CC28:CC52)</f>
        <v>7736842.10526316</v>
      </c>
      <c r="CD53" s="195" t="n">
        <f aca="false">SUM(CD28:CD52)</f>
        <v>8526315.78947369</v>
      </c>
      <c r="CE53" s="195" t="n">
        <f aca="false">SUM(CE28:CE52)</f>
        <v>7578947.36842105</v>
      </c>
      <c r="CF53" s="195" t="n">
        <f aca="false">SUM(CF28:CF52)</f>
        <v>8368421.05263158</v>
      </c>
      <c r="CG53" s="195" t="n">
        <f aca="false">SUM(CG28:CG52)</f>
        <v>7578947.36842105</v>
      </c>
      <c r="CH53" s="195" t="n">
        <f aca="false">SUM(CH28:CH52)</f>
        <v>8526315.78947369</v>
      </c>
      <c r="CI53" s="195" t="n">
        <f aca="false">SUM(CI28:CI52)</f>
        <v>7578947.36842105</v>
      </c>
      <c r="CJ53" s="195" t="n">
        <f aca="false">SUM(CJ28:CJ52)</f>
        <v>8368421.05263158</v>
      </c>
      <c r="CK53" s="195" t="n">
        <f aca="false">SUM(CK28:CK52)</f>
        <v>7578947.36842105</v>
      </c>
      <c r="CL53" s="195" t="n">
        <f aca="false">SUM(CL28:CL52)</f>
        <v>7578947.36842105</v>
      </c>
      <c r="CM53" s="195" t="n">
        <f aca="false">SUM(CM28:CM52)</f>
        <v>6789473.68421053</v>
      </c>
      <c r="CN53" s="195" t="n">
        <f aca="false">SUM(CN28:CN52)</f>
        <v>6789473.68421053</v>
      </c>
      <c r="CO53" s="195" t="n">
        <f aca="false">SUM(CO28:CO52)</f>
        <v>5842105.2631579</v>
      </c>
      <c r="CP53" s="195" t="n">
        <f aca="false">SUM(CP28:CP52)</f>
        <v>5842105.2631579</v>
      </c>
      <c r="CQ53" s="195" t="n">
        <f aca="false">SUM(CQ28:CQ52)</f>
        <v>5052631.57894737</v>
      </c>
      <c r="CR53" s="195" t="n">
        <f aca="false">SUM(CR28:CR52)</f>
        <v>5052631.57894737</v>
      </c>
      <c r="CS53" s="195" t="n">
        <f aca="false">SUM(CS28:CS52)</f>
        <v>4263157.89473684</v>
      </c>
      <c r="CT53" s="195" t="n">
        <f aca="false">SUM(CT28:CT52)</f>
        <v>4263157.89473684</v>
      </c>
      <c r="CU53" s="195" t="n">
        <f aca="false">SUM(CU28:CU52)</f>
        <v>3315789.47368421</v>
      </c>
      <c r="CV53" s="195" t="n">
        <f aca="false">SUM(CV28:CV52)</f>
        <v>3315789.47368421</v>
      </c>
      <c r="CW53" s="195" t="n">
        <f aca="false">SUM(CW28:CW52)</f>
        <v>2526315.78947368</v>
      </c>
      <c r="CX53" s="195" t="n">
        <f aca="false">SUM(CX28:CX52)</f>
        <v>2526315.78947368</v>
      </c>
      <c r="CY53" s="195" t="n">
        <f aca="false">SUM(CY28:CY52)</f>
        <v>1736842.10526316</v>
      </c>
      <c r="CZ53" s="195" t="n">
        <f aca="false">SUM(CZ28:CZ52)</f>
        <v>1736842.10526316</v>
      </c>
      <c r="DA53" s="195" t="n">
        <f aca="false">SUM(DA28:DA52)</f>
        <v>789473.684210526</v>
      </c>
      <c r="DB53" s="195" t="n">
        <f aca="false">SUM(DB28:DB52)</f>
        <v>789473.684210526</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1</v>
      </c>
      <c r="AL54" s="196" t="n">
        <f aca="false">COUNT(AL28:AL52)</f>
        <v>1</v>
      </c>
      <c r="AM54" s="196" t="n">
        <f aca="false">COUNT(AM28:AM52)</f>
        <v>1</v>
      </c>
      <c r="AN54" s="196" t="n">
        <f aca="false">COUNT(AN28:AN52)</f>
        <v>2</v>
      </c>
      <c r="AO54" s="196" t="n">
        <f aca="false">COUNT(AO28:AO52)</f>
        <v>2</v>
      </c>
      <c r="AP54" s="196" t="n">
        <f aca="false">COUNT(AP28:AP52)</f>
        <v>2</v>
      </c>
      <c r="AQ54" s="196" t="n">
        <f aca="false">COUNT(AQ28:AQ52)</f>
        <v>3</v>
      </c>
      <c r="AR54" s="196" t="n">
        <f aca="false">COUNT(AR28:AR52)</f>
        <v>3</v>
      </c>
      <c r="AS54" s="196" t="n">
        <f aca="false">COUNT(AS28:AS52)</f>
        <v>3</v>
      </c>
      <c r="AT54" s="196" t="n">
        <f aca="false">COUNT(AT28:AT52)</f>
        <v>4</v>
      </c>
      <c r="AU54" s="196" t="n">
        <f aca="false">COUNT(AU28:AU52)</f>
        <v>4</v>
      </c>
      <c r="AV54" s="196" t="n">
        <f aca="false">COUNT(AV28:AV52)</f>
        <v>5</v>
      </c>
      <c r="AW54" s="196" t="n">
        <f aca="false">COUNT(AW28:AW52)</f>
        <v>5</v>
      </c>
      <c r="AX54" s="196" t="n">
        <f aca="false">COUNT(AX28:AX52)</f>
        <v>6</v>
      </c>
      <c r="AY54" s="196" t="n">
        <f aca="false">COUNT(AY28:AY52)</f>
        <v>6</v>
      </c>
      <c r="AZ54" s="196" t="n">
        <f aca="false">COUNT(AZ28:AZ52)</f>
        <v>7</v>
      </c>
      <c r="BA54" s="196" t="n">
        <f aca="false">COUNT(BA28:BA52)</f>
        <v>7</v>
      </c>
      <c r="BB54" s="196" t="n">
        <f aca="false">COUNT(BB28:BB52)</f>
        <v>8</v>
      </c>
      <c r="BC54" s="196" t="n">
        <f aca="false">COUNT(BC28:BC52)</f>
        <v>8</v>
      </c>
      <c r="BD54" s="196" t="n">
        <f aca="false">COUNT(BD28:BD52)</f>
        <v>8</v>
      </c>
      <c r="BE54" s="196" t="n">
        <f aca="false">COUNT(BE28:BE52)</f>
        <v>8</v>
      </c>
      <c r="BF54" s="196" t="n">
        <f aca="false">COUNT(BF28:BF52)</f>
        <v>9</v>
      </c>
      <c r="BG54" s="196" t="n">
        <f aca="false">COUNT(BG28:BG52)</f>
        <v>8</v>
      </c>
      <c r="BH54" s="196" t="n">
        <f aca="false">COUNT(BH28:BH52)</f>
        <v>9</v>
      </c>
      <c r="BI54" s="196" t="n">
        <f aca="false">COUNT(BI28:BI52)</f>
        <v>9</v>
      </c>
      <c r="BJ54" s="196" t="n">
        <f aca="false">COUNT(BJ28:BJ52)</f>
        <v>9</v>
      </c>
      <c r="BK54" s="196" t="n">
        <f aca="false">COUNT(BK28:BK52)</f>
        <v>9</v>
      </c>
      <c r="BL54" s="196" t="n">
        <f aca="false">COUNT(BL28:BL52)</f>
        <v>10</v>
      </c>
      <c r="BM54" s="196" t="n">
        <f aca="false">COUNT(BM28:BM52)</f>
        <v>9</v>
      </c>
      <c r="BN54" s="196" t="n">
        <f aca="false">COUNT(BN28:BN52)</f>
        <v>10</v>
      </c>
      <c r="BO54" s="196" t="n">
        <f aca="false">COUNT(BO28:BO52)</f>
        <v>9</v>
      </c>
      <c r="BP54" s="196" t="n">
        <f aca="false">COUNT(BP28:BP52)</f>
        <v>10</v>
      </c>
      <c r="BQ54" s="196" t="n">
        <f aca="false">COUNT(BQ28:BQ52)</f>
        <v>9</v>
      </c>
      <c r="BR54" s="196" t="n">
        <f aca="false">COUNT(BR28:BR52)</f>
        <v>10</v>
      </c>
      <c r="BS54" s="196" t="n">
        <f aca="false">COUNT(BS28:BS52)</f>
        <v>9</v>
      </c>
      <c r="BT54" s="196" t="n">
        <f aca="false">COUNT(BT28:BT52)</f>
        <v>10</v>
      </c>
      <c r="BU54" s="196" t="n">
        <f aca="false">COUNT(BU28:BU52)</f>
        <v>9</v>
      </c>
      <c r="BV54" s="196" t="n">
        <f aca="false">COUNT(BV28:BV52)</f>
        <v>10</v>
      </c>
      <c r="BW54" s="196" t="n">
        <f aca="false">COUNT(BW28:BW52)</f>
        <v>9</v>
      </c>
      <c r="BX54" s="196" t="n">
        <f aca="false">COUNT(BX28:BX52)</f>
        <v>10</v>
      </c>
      <c r="BY54" s="196" t="n">
        <f aca="false">COUNT(BY28:BY52)</f>
        <v>9</v>
      </c>
      <c r="BZ54" s="196" t="n">
        <f aca="false">COUNT(BZ28:BZ52)</f>
        <v>10</v>
      </c>
      <c r="CA54" s="196" t="n">
        <f aca="false">COUNT(CA28:CA52)</f>
        <v>9</v>
      </c>
      <c r="CB54" s="196" t="n">
        <f aca="false">COUNT(CB28:CB52)</f>
        <v>10</v>
      </c>
      <c r="CC54" s="196" t="n">
        <f aca="false">COUNT(CC28:CC52)</f>
        <v>9</v>
      </c>
      <c r="CD54" s="196" t="n">
        <f aca="false">COUNT(CD28:CD52)</f>
        <v>10</v>
      </c>
      <c r="CE54" s="196" t="n">
        <f aca="false">COUNT(CE28:CE52)</f>
        <v>9</v>
      </c>
      <c r="CF54" s="196" t="n">
        <f aca="false">COUNT(CF28:CF52)</f>
        <v>10</v>
      </c>
      <c r="CG54" s="196" t="n">
        <f aca="false">COUNT(CG28:CG52)</f>
        <v>9</v>
      </c>
      <c r="CH54" s="196" t="n">
        <f aca="false">COUNT(CH28:CH52)</f>
        <v>10</v>
      </c>
      <c r="CI54" s="196" t="n">
        <f aca="false">COUNT(CI28:CI52)</f>
        <v>9</v>
      </c>
      <c r="CJ54" s="196" t="n">
        <f aca="false">COUNT(CJ28:CJ52)</f>
        <v>10</v>
      </c>
      <c r="CK54" s="196" t="n">
        <f aca="false">COUNT(CK28:CK52)</f>
        <v>9</v>
      </c>
      <c r="CL54" s="196" t="n">
        <f aca="false">COUNT(CL28:CL52)</f>
        <v>9</v>
      </c>
      <c r="CM54" s="196" t="n">
        <f aca="false">COUNT(CM28:CM52)</f>
        <v>8</v>
      </c>
      <c r="CN54" s="196" t="n">
        <f aca="false">COUNT(CN28:CN52)</f>
        <v>8</v>
      </c>
      <c r="CO54" s="196" t="n">
        <f aca="false">COUNT(CO28:CO52)</f>
        <v>7</v>
      </c>
      <c r="CP54" s="196" t="n">
        <f aca="false">COUNT(CP28:CP52)</f>
        <v>7</v>
      </c>
      <c r="CQ54" s="196" t="n">
        <f aca="false">COUNT(CQ28:CQ52)</f>
        <v>6</v>
      </c>
      <c r="CR54" s="196" t="n">
        <f aca="false">COUNT(CR28:CR52)</f>
        <v>6</v>
      </c>
      <c r="CS54" s="196" t="n">
        <f aca="false">COUNT(CS28:CS52)</f>
        <v>5</v>
      </c>
      <c r="CT54" s="196" t="n">
        <f aca="false">COUNT(CT28:CT52)</f>
        <v>5</v>
      </c>
      <c r="CU54" s="196" t="n">
        <f aca="false">COUNT(CU28:CU52)</f>
        <v>4</v>
      </c>
      <c r="CV54" s="196" t="n">
        <f aca="false">COUNT(CV28:CV52)</f>
        <v>4</v>
      </c>
      <c r="CW54" s="196" t="n">
        <f aca="false">COUNT(CW28:CW52)</f>
        <v>3</v>
      </c>
      <c r="CX54" s="196" t="n">
        <f aca="false">COUNT(CX28:CX52)</f>
        <v>3</v>
      </c>
      <c r="CY54" s="196" t="n">
        <f aca="false">COUNT(CY28:CY52)</f>
        <v>2</v>
      </c>
      <c r="CZ54" s="196" t="n">
        <f aca="false">COUNT(CZ28:CZ52)</f>
        <v>2</v>
      </c>
      <c r="DA54" s="196" t="n">
        <f aca="false">COUNT(DA28:DA52)</f>
        <v>1</v>
      </c>
      <c r="DB54" s="196" t="n">
        <f aca="false">COUNT(DB28:DB52)</f>
        <v>1</v>
      </c>
    </row>
    <row r="56" customFormat="false" ht="15" hidden="false" customHeight="true" outlineLevel="0" collapsed="false">
      <c r="A56" s="197" t="s">
        <v>587</v>
      </c>
      <c r="B56" s="198"/>
      <c r="C56" s="198"/>
      <c r="D56" s="198"/>
      <c r="E56" s="198"/>
      <c r="F56" s="198"/>
      <c r="G56" s="199" t="n">
        <f aca="false">G21+G53</f>
        <v>3714342.8378483</v>
      </c>
      <c r="H56" s="199" t="n">
        <f aca="false">H21+H53</f>
        <v>3714342.8378483</v>
      </c>
      <c r="I56" s="199" t="n">
        <f aca="false">I21+I53</f>
        <v>3714342.8378483</v>
      </c>
      <c r="J56" s="199" t="n">
        <f aca="false">J21+J53</f>
        <v>3714342.8378483</v>
      </c>
      <c r="K56" s="199" t="n">
        <f aca="false">K21+K53</f>
        <v>5806258.75988777</v>
      </c>
      <c r="L56" s="199" t="n">
        <f aca="false">L21+L53</f>
        <v>6490141.70988777</v>
      </c>
      <c r="M56" s="199" t="n">
        <f aca="false">M21+M53</f>
        <v>6490141.70988777</v>
      </c>
      <c r="N56" s="199" t="n">
        <f aca="false">N21+N53</f>
        <v>6490141.70988777</v>
      </c>
      <c r="O56" s="199" t="n">
        <f aca="false">O21+O53</f>
        <v>6485357.5432211</v>
      </c>
      <c r="P56" s="199" t="n">
        <f aca="false">P21+P53</f>
        <v>7681921.31953689</v>
      </c>
      <c r="Q56" s="199" t="n">
        <f aca="false">Q21+Q53</f>
        <v>8185979.68795795</v>
      </c>
      <c r="R56" s="199" t="n">
        <f aca="false">R21+R53</f>
        <v>8185979.68795795</v>
      </c>
      <c r="S56" s="199" t="n">
        <f aca="false">S21+S53</f>
        <v>9694872.02129128</v>
      </c>
      <c r="T56" s="199" t="n">
        <f aca="false">T21+T53</f>
        <v>10500978.0739229</v>
      </c>
      <c r="U56" s="199" t="n">
        <f aca="false">U21+U53</f>
        <v>11096629.9160281</v>
      </c>
      <c r="V56" s="199" t="n">
        <f aca="false">V21+V53</f>
        <v>11825752.301993</v>
      </c>
      <c r="W56" s="199" t="n">
        <f aca="false">W21+W53</f>
        <v>11825752.301993</v>
      </c>
      <c r="X56" s="199" t="n">
        <f aca="false">X21+X53</f>
        <v>11123994.6549342</v>
      </c>
      <c r="Y56" s="199" t="n">
        <f aca="false">Y21+Y53</f>
        <v>10003080.8216009</v>
      </c>
      <c r="Z56" s="199" t="n">
        <f aca="false">Z21+Z53</f>
        <v>10286482.2799781</v>
      </c>
      <c r="AA56" s="199" t="n">
        <f aca="false">AA21+AA53</f>
        <v>10286482.2799781</v>
      </c>
      <c r="AB56" s="199" t="n">
        <f aca="false">AB21+AB53</f>
        <v>10286482.2799781</v>
      </c>
      <c r="AC56" s="199" t="n">
        <f aca="false">AC21+AC53</f>
        <v>10286482.2799781</v>
      </c>
      <c r="AD56" s="199" t="n">
        <f aca="false">AD21+AD53</f>
        <v>9531902.7641886</v>
      </c>
      <c r="AE56" s="199" t="n">
        <f aca="false">AE21+AE53</f>
        <v>8848019.8141886</v>
      </c>
      <c r="AF56" s="199" t="n">
        <f aca="false">AF21+AF53</f>
        <v>8848019.8141886</v>
      </c>
      <c r="AG56" s="199" t="n">
        <f aca="false">AG21+AG53</f>
        <v>10226507.5475219</v>
      </c>
      <c r="AH56" s="199" t="n">
        <f aca="false">AH21+AH53</f>
        <v>10226507.5475219</v>
      </c>
      <c r="AI56" s="199" t="n">
        <f aca="false">AI21+AI53</f>
        <v>9029943.77120614</v>
      </c>
      <c r="AJ56" s="199" t="n">
        <f aca="false">AJ21+AJ53</f>
        <v>8525885.40278509</v>
      </c>
      <c r="AK56" s="199" t="n">
        <f aca="false">AK21+AK53</f>
        <v>9315359.08699561</v>
      </c>
      <c r="AL56" s="199" t="n">
        <f aca="false">AL21+AL53</f>
        <v>9315359.08699561</v>
      </c>
      <c r="AM56" s="199" t="n">
        <f aca="false">AM21+AM53</f>
        <v>7623277.8260307</v>
      </c>
      <c r="AN56" s="199" t="n">
        <f aca="false">AN21+AN53</f>
        <v>7817099.66813597</v>
      </c>
      <c r="AO56" s="199" t="n">
        <f aca="false">AO21+AO53</f>
        <v>6846427.61550439</v>
      </c>
      <c r="AP56" s="199" t="n">
        <f aca="false">AP21+AP53</f>
        <v>6846427.61550439</v>
      </c>
      <c r="AQ56" s="199" t="n">
        <f aca="false">AQ21+AQ53</f>
        <v>6456459.63030702</v>
      </c>
      <c r="AR56" s="199" t="n">
        <f aca="false">AR21+AR53</f>
        <v>6456459.63030702</v>
      </c>
      <c r="AS56" s="199" t="n">
        <f aca="false">AS21+AS53</f>
        <v>6456459.63030702</v>
      </c>
      <c r="AT56" s="199" t="n">
        <f aca="false">AT21+AT53</f>
        <v>7403828.05135965</v>
      </c>
      <c r="AU56" s="199" t="n">
        <f aca="false">AU21+AU53</f>
        <v>7403828.05135965</v>
      </c>
      <c r="AV56" s="199" t="n">
        <f aca="false">AV21+AV53</f>
        <v>8351196.47241228</v>
      </c>
      <c r="AW56" s="199" t="n">
        <f aca="false">AW21+AW53</f>
        <v>6842304.13907895</v>
      </c>
      <c r="AX56" s="199" t="n">
        <f aca="false">AX21+AX53</f>
        <v>6589014.04912281</v>
      </c>
      <c r="AY56" s="199" t="n">
        <f aca="false">AY21+AY53</f>
        <v>6589014.04912281</v>
      </c>
      <c r="AZ56" s="199" t="n">
        <f aca="false">AZ21+AZ53</f>
        <v>7378487.73333333</v>
      </c>
      <c r="BA56" s="199" t="n">
        <f aca="false">BA21+BA53</f>
        <v>7378487.73333333</v>
      </c>
      <c r="BB56" s="199" t="n">
        <f aca="false">BB21+BB53</f>
        <v>8167961.41754386</v>
      </c>
      <c r="BC56" s="199" t="n">
        <f aca="false">BC21+BC53</f>
        <v>8167961.41754386</v>
      </c>
      <c r="BD56" s="199" t="n">
        <f aca="false">BD21+BD53</f>
        <v>8167961.41754386</v>
      </c>
      <c r="BE56" s="199" t="n">
        <f aca="false">BE21+BE53</f>
        <v>8167961.41754386</v>
      </c>
      <c r="BF56" s="199" t="n">
        <f aca="false">BF21+BF53</f>
        <v>9115329.83859649</v>
      </c>
      <c r="BG56" s="199" t="n">
        <f aca="false">BG21+BG53</f>
        <v>8325856.15438597</v>
      </c>
      <c r="BH56" s="199" t="n">
        <f aca="false">BH21+BH53</f>
        <v>9115329.83859649</v>
      </c>
      <c r="BI56" s="199" t="n">
        <f aca="false">BI21+BI53</f>
        <v>9115329.83859649</v>
      </c>
      <c r="BJ56" s="199" t="n">
        <f aca="false">BJ21+BJ53</f>
        <v>8957435.10175439</v>
      </c>
      <c r="BK56" s="199" t="n">
        <f aca="false">BK21+BK53</f>
        <v>7578947.36842105</v>
      </c>
      <c r="BL56" s="199" t="n">
        <f aca="false">BL21+BL53</f>
        <v>8526315.78947369</v>
      </c>
      <c r="BM56" s="199" t="n">
        <f aca="false">BM21+BM53</f>
        <v>7578947.36842105</v>
      </c>
      <c r="BN56" s="199" t="n">
        <f aca="false">BN21+BN53</f>
        <v>8368421.05263158</v>
      </c>
      <c r="BO56" s="199" t="n">
        <f aca="false">BO21+BO53</f>
        <v>7421052.63157895</v>
      </c>
      <c r="BP56" s="199" t="n">
        <f aca="false">BP21+BP53</f>
        <v>8368421.05263158</v>
      </c>
      <c r="BQ56" s="199" t="n">
        <f aca="false">BQ21+BQ53</f>
        <v>7578947.36842105</v>
      </c>
      <c r="BR56" s="199" t="n">
        <f aca="false">BR21+BR53</f>
        <v>8368421.05263158</v>
      </c>
      <c r="BS56" s="199" t="n">
        <f aca="false">BS21+BS53</f>
        <v>7578947.36842105</v>
      </c>
      <c r="BT56" s="199" t="n">
        <f aca="false">BT21+BT53</f>
        <v>8368421.05263158</v>
      </c>
      <c r="BU56" s="199" t="n">
        <f aca="false">BU21+BU53</f>
        <v>7578947.36842105</v>
      </c>
      <c r="BV56" s="199" t="n">
        <f aca="false">BV21+BV53</f>
        <v>8526315.78947369</v>
      </c>
      <c r="BW56" s="199" t="n">
        <f aca="false">BW21+BW53</f>
        <v>7736842.10526316</v>
      </c>
      <c r="BX56" s="199" t="n">
        <f aca="false">BX21+BX53</f>
        <v>8526315.78947369</v>
      </c>
      <c r="BY56" s="199" t="n">
        <f aca="false">BY21+BY53</f>
        <v>7578947.36842105</v>
      </c>
      <c r="BZ56" s="199" t="n">
        <f aca="false">BZ21+BZ53</f>
        <v>8368421.05263158</v>
      </c>
      <c r="CA56" s="199" t="n">
        <f aca="false">CA21+CA53</f>
        <v>7578947.36842105</v>
      </c>
      <c r="CB56" s="199" t="n">
        <f aca="false">CB21+CB53</f>
        <v>8526315.78947369</v>
      </c>
      <c r="CC56" s="199" t="n">
        <f aca="false">CC21+CC53</f>
        <v>7736842.10526316</v>
      </c>
      <c r="CD56" s="199" t="n">
        <f aca="false">CD21+CD53</f>
        <v>8526315.78947369</v>
      </c>
      <c r="CE56" s="199" t="n">
        <f aca="false">CE21+CE53</f>
        <v>7578947.36842105</v>
      </c>
      <c r="CF56" s="199" t="n">
        <f aca="false">CF21+CF53</f>
        <v>8368421.05263158</v>
      </c>
      <c r="CG56" s="199" t="n">
        <f aca="false">CG21+CG53</f>
        <v>7578947.36842105</v>
      </c>
      <c r="CH56" s="199" t="n">
        <f aca="false">CH21+CH53</f>
        <v>8526315.78947369</v>
      </c>
      <c r="CI56" s="199" t="n">
        <f aca="false">CI21+CI53</f>
        <v>7578947.36842105</v>
      </c>
      <c r="CJ56" s="199" t="n">
        <f aca="false">CJ21+CJ53</f>
        <v>8368421.05263158</v>
      </c>
      <c r="CK56" s="199" t="n">
        <f aca="false">CK21+CK53</f>
        <v>7578947.36842105</v>
      </c>
      <c r="CL56" s="199" t="n">
        <f aca="false">CL21+CL53</f>
        <v>7578947.36842105</v>
      </c>
      <c r="CM56" s="199" t="n">
        <f aca="false">CM21+CM53</f>
        <v>6789473.68421053</v>
      </c>
      <c r="CN56" s="199" t="n">
        <f aca="false">CN21+CN53</f>
        <v>6789473.68421053</v>
      </c>
      <c r="CO56" s="199" t="n">
        <f aca="false">CO21+CO53</f>
        <v>5842105.2631579</v>
      </c>
      <c r="CP56" s="199" t="n">
        <f aca="false">CP21+CP53</f>
        <v>5842105.2631579</v>
      </c>
      <c r="CQ56" s="199" t="n">
        <f aca="false">CQ21+CQ53</f>
        <v>5052631.57894737</v>
      </c>
      <c r="CR56" s="199" t="n">
        <f aca="false">CR21+CR53</f>
        <v>5052631.57894737</v>
      </c>
      <c r="CS56" s="199" t="n">
        <f aca="false">CS21+CS53</f>
        <v>4263157.89473684</v>
      </c>
      <c r="CT56" s="199" t="n">
        <f aca="false">CT21+CT53</f>
        <v>4263157.89473684</v>
      </c>
      <c r="CU56" s="199" t="n">
        <f aca="false">CU21+CU53</f>
        <v>3315789.47368421</v>
      </c>
      <c r="CV56" s="199" t="n">
        <f aca="false">CV21+CV53</f>
        <v>3315789.47368421</v>
      </c>
      <c r="CW56" s="199" t="n">
        <f aca="false">CW21+CW53</f>
        <v>2526315.78947368</v>
      </c>
      <c r="CX56" s="199" t="n">
        <f aca="false">CX21+CX53</f>
        <v>2526315.78947368</v>
      </c>
      <c r="CY56" s="199" t="n">
        <f aca="false">CY21+CY53</f>
        <v>1736842.10526316</v>
      </c>
      <c r="CZ56" s="199" t="n">
        <f aca="false">CZ21+CZ53</f>
        <v>1736842.10526316</v>
      </c>
      <c r="DA56" s="199" t="n">
        <f aca="false">DA21+DA53</f>
        <v>789473.684210526</v>
      </c>
      <c r="DB56" s="199" t="n">
        <f aca="false">DB21+DB53</f>
        <v>789473.684210526</v>
      </c>
    </row>
    <row r="57" customFormat="false" ht="15" hidden="false" customHeight="true" outlineLevel="0" collapsed="false">
      <c r="A57" s="197" t="s">
        <v>588</v>
      </c>
      <c r="B57" s="198"/>
      <c r="C57" s="198"/>
      <c r="D57" s="198"/>
      <c r="E57" s="198"/>
      <c r="F57" s="198"/>
      <c r="G57" s="200" t="n">
        <f aca="false">G22+G54</f>
        <v>5</v>
      </c>
      <c r="H57" s="200" t="n">
        <f aca="false">H22+H54</f>
        <v>5</v>
      </c>
      <c r="I57" s="200" t="n">
        <f aca="false">I22+I54</f>
        <v>5</v>
      </c>
      <c r="J57" s="200" t="n">
        <f aca="false">J22+J54</f>
        <v>5</v>
      </c>
      <c r="K57" s="200" t="n">
        <f aca="false">K22+K54</f>
        <v>7</v>
      </c>
      <c r="L57" s="200" t="n">
        <f aca="false">L22+L54</f>
        <v>8</v>
      </c>
      <c r="M57" s="200" t="n">
        <f aca="false">M22+M54</f>
        <v>8</v>
      </c>
      <c r="N57" s="200" t="n">
        <f aca="false">N22+N54</f>
        <v>8</v>
      </c>
      <c r="O57" s="200" t="n">
        <f aca="false">O22+O54</f>
        <v>8</v>
      </c>
      <c r="P57" s="200" t="n">
        <f aca="false">P22+P54</f>
        <v>10</v>
      </c>
      <c r="Q57" s="200" t="n">
        <f aca="false">Q22+Q54</f>
        <v>11</v>
      </c>
      <c r="R57" s="200" t="n">
        <f aca="false">R22+R54</f>
        <v>11</v>
      </c>
      <c r="S57" s="200" t="n">
        <f aca="false">S22+S54</f>
        <v>12</v>
      </c>
      <c r="T57" s="200" t="n">
        <f aca="false">T22+T54</f>
        <v>13</v>
      </c>
      <c r="U57" s="200" t="n">
        <f aca="false">U22+U54</f>
        <v>14</v>
      </c>
      <c r="V57" s="200" t="n">
        <f aca="false">V22+V54</f>
        <v>14</v>
      </c>
      <c r="W57" s="200" t="n">
        <f aca="false">W22+W54</f>
        <v>14</v>
      </c>
      <c r="X57" s="200" t="n">
        <f aca="false">X22+X54</f>
        <v>13</v>
      </c>
      <c r="Y57" s="200" t="n">
        <f aca="false">Y22+Y54</f>
        <v>12</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9</v>
      </c>
      <c r="AL57" s="200" t="n">
        <f aca="false">AL22+AL54</f>
        <v>9</v>
      </c>
      <c r="AM57" s="200" t="n">
        <f aca="false">AM22+AM54</f>
        <v>7</v>
      </c>
      <c r="AN57" s="200" t="n">
        <f aca="false">AN22+AN54</f>
        <v>7</v>
      </c>
      <c r="AO57" s="200" t="n">
        <f aca="false">AO22+AO54</f>
        <v>6</v>
      </c>
      <c r="AP57" s="200" t="n">
        <f aca="false">AP22+AP54</f>
        <v>6</v>
      </c>
      <c r="AQ57" s="200" t="n">
        <f aca="false">AQ22+AQ54</f>
        <v>6</v>
      </c>
      <c r="AR57" s="200" t="n">
        <f aca="false">AR22+AR54</f>
        <v>6</v>
      </c>
      <c r="AS57" s="200" t="n">
        <f aca="false">AS22+AS54</f>
        <v>6</v>
      </c>
      <c r="AT57" s="200" t="n">
        <f aca="false">AT22+AT54</f>
        <v>7</v>
      </c>
      <c r="AU57" s="200" t="n">
        <f aca="false">AU22+AU54</f>
        <v>7</v>
      </c>
      <c r="AV57" s="200" t="n">
        <f aca="false">AV22+AV54</f>
        <v>8</v>
      </c>
      <c r="AW57" s="200" t="n">
        <f aca="false">AW22+AW54</f>
        <v>7</v>
      </c>
      <c r="AX57" s="200" t="n">
        <f aca="false">AX22+AX54</f>
        <v>7</v>
      </c>
      <c r="AY57" s="200" t="n">
        <f aca="false">AY22+AY54</f>
        <v>7</v>
      </c>
      <c r="AZ57" s="200" t="n">
        <f aca="false">AZ22+AZ54</f>
        <v>8</v>
      </c>
      <c r="BA57" s="200" t="n">
        <f aca="false">BA22+BA54</f>
        <v>8</v>
      </c>
      <c r="BB57" s="200" t="n">
        <f aca="false">BB22+BB54</f>
        <v>9</v>
      </c>
      <c r="BC57" s="200" t="n">
        <f aca="false">BC22+BC54</f>
        <v>9</v>
      </c>
      <c r="BD57" s="200" t="n">
        <f aca="false">BD22+BD54</f>
        <v>9</v>
      </c>
      <c r="BE57" s="200" t="n">
        <f aca="false">BE22+BE54</f>
        <v>9</v>
      </c>
      <c r="BF57" s="200" t="n">
        <f aca="false">BF22+BF54</f>
        <v>10</v>
      </c>
      <c r="BG57" s="200" t="n">
        <f aca="false">BG22+BG54</f>
        <v>9</v>
      </c>
      <c r="BH57" s="200" t="n">
        <f aca="false">BH22+BH54</f>
        <v>10</v>
      </c>
      <c r="BI57" s="200" t="n">
        <f aca="false">BI22+BI54</f>
        <v>10</v>
      </c>
      <c r="BJ57" s="200" t="n">
        <f aca="false">BJ22+BJ54</f>
        <v>10</v>
      </c>
      <c r="BK57" s="200" t="n">
        <f aca="false">BK22+BK54</f>
        <v>9</v>
      </c>
      <c r="BL57" s="200" t="n">
        <f aca="false">BL22+BL54</f>
        <v>10</v>
      </c>
      <c r="BM57" s="200" t="n">
        <f aca="false">BM22+BM54</f>
        <v>9</v>
      </c>
      <c r="BN57" s="200" t="n">
        <f aca="false">BN22+BN54</f>
        <v>10</v>
      </c>
      <c r="BO57" s="200" t="n">
        <f aca="false">BO22+BO54</f>
        <v>9</v>
      </c>
      <c r="BP57" s="200" t="n">
        <f aca="false">BP22+BP54</f>
        <v>10</v>
      </c>
      <c r="BQ57" s="200" t="n">
        <f aca="false">BQ22+BQ54</f>
        <v>9</v>
      </c>
      <c r="BR57" s="200" t="n">
        <f aca="false">BR22+BR54</f>
        <v>10</v>
      </c>
      <c r="BS57" s="200" t="n">
        <f aca="false">BS22+BS54</f>
        <v>9</v>
      </c>
      <c r="BT57" s="200" t="n">
        <f aca="false">BT22+BT54</f>
        <v>10</v>
      </c>
      <c r="BU57" s="200" t="n">
        <f aca="false">BU22+BU54</f>
        <v>9</v>
      </c>
      <c r="BV57" s="200" t="n">
        <f aca="false">BV22+BV54</f>
        <v>10</v>
      </c>
      <c r="BW57" s="200" t="n">
        <f aca="false">BW22+BW54</f>
        <v>9</v>
      </c>
      <c r="BX57" s="200" t="n">
        <f aca="false">BX22+BX54</f>
        <v>10</v>
      </c>
      <c r="BY57" s="200" t="n">
        <f aca="false">BY22+BY54</f>
        <v>9</v>
      </c>
      <c r="BZ57" s="200" t="n">
        <f aca="false">BZ22+BZ54</f>
        <v>10</v>
      </c>
      <c r="CA57" s="200" t="n">
        <f aca="false">CA22+CA54</f>
        <v>9</v>
      </c>
      <c r="CB57" s="200" t="n">
        <f aca="false">CB22+CB54</f>
        <v>10</v>
      </c>
      <c r="CC57" s="200" t="n">
        <f aca="false">CC22+CC54</f>
        <v>9</v>
      </c>
      <c r="CD57" s="200" t="n">
        <f aca="false">CD22+CD54</f>
        <v>10</v>
      </c>
      <c r="CE57" s="200" t="n">
        <f aca="false">CE22+CE54</f>
        <v>9</v>
      </c>
      <c r="CF57" s="200" t="n">
        <f aca="false">CF22+CF54</f>
        <v>10</v>
      </c>
      <c r="CG57" s="200" t="n">
        <f aca="false">CG22+CG54</f>
        <v>9</v>
      </c>
      <c r="CH57" s="200" t="n">
        <f aca="false">CH22+CH54</f>
        <v>10</v>
      </c>
      <c r="CI57" s="200" t="n">
        <f aca="false">CI22+CI54</f>
        <v>9</v>
      </c>
      <c r="CJ57" s="200" t="n">
        <f aca="false">CJ22+CJ54</f>
        <v>10</v>
      </c>
      <c r="CK57" s="200" t="n">
        <f aca="false">CK22+CK54</f>
        <v>9</v>
      </c>
      <c r="CL57" s="200" t="n">
        <f aca="false">CL22+CL54</f>
        <v>9</v>
      </c>
      <c r="CM57" s="200" t="n">
        <f aca="false">CM22+CM54</f>
        <v>8</v>
      </c>
      <c r="CN57" s="200" t="n">
        <f aca="false">CN22+CN54</f>
        <v>8</v>
      </c>
      <c r="CO57" s="200" t="n">
        <f aca="false">CO22+CO54</f>
        <v>7</v>
      </c>
      <c r="CP57" s="200" t="n">
        <f aca="false">CP22+CP54</f>
        <v>7</v>
      </c>
      <c r="CQ57" s="200" t="n">
        <f aca="false">CQ22+CQ54</f>
        <v>6</v>
      </c>
      <c r="CR57" s="200" t="n">
        <f aca="false">CR22+CR54</f>
        <v>6</v>
      </c>
      <c r="CS57" s="200" t="n">
        <f aca="false">CS22+CS54</f>
        <v>5</v>
      </c>
      <c r="CT57" s="200" t="n">
        <f aca="false">CT22+CT54</f>
        <v>5</v>
      </c>
      <c r="CU57" s="200" t="n">
        <f aca="false">CU22+CU54</f>
        <v>4</v>
      </c>
      <c r="CV57" s="200" t="n">
        <f aca="false">CV22+CV54</f>
        <v>4</v>
      </c>
      <c r="CW57" s="200" t="n">
        <f aca="false">CW22+CW54</f>
        <v>3</v>
      </c>
      <c r="CX57" s="200" t="n">
        <f aca="false">CX22+CX54</f>
        <v>3</v>
      </c>
      <c r="CY57" s="200" t="n">
        <f aca="false">CY22+CY54</f>
        <v>2</v>
      </c>
      <c r="CZ57" s="200" t="n">
        <f aca="false">CZ22+CZ54</f>
        <v>2</v>
      </c>
      <c r="DA57" s="200" t="n">
        <f aca="false">DA22+DA54</f>
        <v>1</v>
      </c>
      <c r="DB57" s="200" t="n">
        <f aca="false">DB22+DB54</f>
        <v>1</v>
      </c>
    </row>
    <row r="59" customFormat="false" ht="15" hidden="false" customHeight="true" outlineLevel="0" collapsed="false">
      <c r="A59" s="94" t="s">
        <v>589</v>
      </c>
      <c r="F59" s="201" t="n">
        <v>0</v>
      </c>
    </row>
    <row r="60" customFormat="false" ht="15" hidden="false" customHeight="true" outlineLevel="0" collapsed="false">
      <c r="A60" s="94" t="s">
        <v>590</v>
      </c>
      <c r="G60" s="202" t="n">
        <f aca="false">10*$F$59</f>
        <v>0</v>
      </c>
      <c r="H60" s="202" t="n">
        <f aca="false">10*$F$59</f>
        <v>0</v>
      </c>
      <c r="I60" s="202" t="n">
        <f aca="false">10*$F$59</f>
        <v>0</v>
      </c>
      <c r="J60" s="202" t="n">
        <f aca="false">10*$F$59</f>
        <v>0</v>
      </c>
      <c r="K60" s="202" t="n">
        <f aca="false">10*$F$59</f>
        <v>0</v>
      </c>
      <c r="L60" s="202" t="n">
        <f aca="false">10*$F$59</f>
        <v>0</v>
      </c>
      <c r="M60" s="202" t="n">
        <f aca="false">10*$F$59</f>
        <v>0</v>
      </c>
      <c r="N60" s="202" t="n">
        <f aca="false">10*$F$59</f>
        <v>0</v>
      </c>
      <c r="O60" s="202" t="n">
        <f aca="false">10*$F$59</f>
        <v>0</v>
      </c>
      <c r="P60" s="202" t="n">
        <f aca="false">10*$F$59</f>
        <v>0</v>
      </c>
      <c r="Q60" s="202" t="n">
        <f aca="false">10*$F$59</f>
        <v>0</v>
      </c>
      <c r="R60" s="202" t="n">
        <f aca="false">10*$F$59</f>
        <v>0</v>
      </c>
      <c r="S60" s="202" t="n">
        <f aca="false">10*$F$59</f>
        <v>0</v>
      </c>
      <c r="T60" s="202" t="n">
        <f aca="false">10*$F$59</f>
        <v>0</v>
      </c>
      <c r="U60" s="202" t="n">
        <f aca="false">10*$F$59</f>
        <v>0</v>
      </c>
      <c r="V60" s="202" t="n">
        <f aca="false">10*$F$59</f>
        <v>0</v>
      </c>
      <c r="W60" s="202" t="n">
        <f aca="false">10*$F$59</f>
        <v>0</v>
      </c>
      <c r="X60" s="202" t="n">
        <f aca="false">10*$F$59</f>
        <v>0</v>
      </c>
      <c r="Y60" s="202" t="n">
        <f aca="false">10*$F$59</f>
        <v>0</v>
      </c>
      <c r="Z60" s="202" t="n">
        <f aca="false">10*$F$59</f>
        <v>0</v>
      </c>
      <c r="AA60" s="202" t="n">
        <f aca="false">10*$F$59</f>
        <v>0</v>
      </c>
      <c r="AB60" s="202" t="n">
        <f aca="false">10*$F$59</f>
        <v>0</v>
      </c>
      <c r="AC60" s="202" t="n">
        <f aca="false">10*$F$59</f>
        <v>0</v>
      </c>
      <c r="AD60" s="202" t="n">
        <f aca="false">10*$F$59</f>
        <v>0</v>
      </c>
      <c r="AE60" s="202" t="n">
        <f aca="false">10*$F$59</f>
        <v>0</v>
      </c>
      <c r="AF60" s="202" t="n">
        <f aca="false">10*$F$59</f>
        <v>0</v>
      </c>
      <c r="AG60" s="202" t="n">
        <f aca="false">10*$F$59</f>
        <v>0</v>
      </c>
      <c r="AH60" s="202" t="n">
        <f aca="false">10*$F$59</f>
        <v>0</v>
      </c>
      <c r="AI60" s="202" t="n">
        <f aca="false">10*$F$59</f>
        <v>0</v>
      </c>
      <c r="AJ60" s="202" t="n">
        <f aca="false">10*$F$59</f>
        <v>0</v>
      </c>
      <c r="AK60" s="202" t="n">
        <f aca="false">10*$F$59</f>
        <v>0</v>
      </c>
      <c r="AL60" s="202" t="n">
        <f aca="false">10*$F$59</f>
        <v>0</v>
      </c>
      <c r="AM60" s="202" t="n">
        <f aca="false">10*$F$59</f>
        <v>0</v>
      </c>
      <c r="AN60" s="202" t="n">
        <f aca="false">10*$F$59</f>
        <v>0</v>
      </c>
      <c r="AO60" s="202" t="n">
        <f aca="false">10*$F$59</f>
        <v>0</v>
      </c>
      <c r="AP60" s="202" t="n">
        <f aca="false">10*$F$59</f>
        <v>0</v>
      </c>
      <c r="AQ60" s="202" t="n">
        <f aca="false">10*$F$59</f>
        <v>0</v>
      </c>
      <c r="AR60" s="202" t="n">
        <f aca="false">10*$F$59</f>
        <v>0</v>
      </c>
      <c r="AS60" s="202" t="n">
        <f aca="false">10*$F$59</f>
        <v>0</v>
      </c>
      <c r="AT60" s="202" t="n">
        <f aca="false">10*$F$59</f>
        <v>0</v>
      </c>
      <c r="AU60" s="202" t="n">
        <f aca="false">10*$F$59</f>
        <v>0</v>
      </c>
      <c r="AV60" s="202" t="n">
        <f aca="false">10*$F$59</f>
        <v>0</v>
      </c>
      <c r="AW60" s="202" t="n">
        <f aca="false">10*$F$59</f>
        <v>0</v>
      </c>
      <c r="AX60" s="202" t="n">
        <f aca="false">10*$F$59</f>
        <v>0</v>
      </c>
      <c r="AY60" s="202" t="n">
        <f aca="false">10*$F$59</f>
        <v>0</v>
      </c>
      <c r="AZ60" s="202" t="n">
        <f aca="false">10*$F$59</f>
        <v>0</v>
      </c>
      <c r="BA60" s="202" t="n">
        <f aca="false">10*$F$59</f>
        <v>0</v>
      </c>
      <c r="BB60" s="202" t="n">
        <f aca="false">10*$F$59</f>
        <v>0</v>
      </c>
      <c r="BC60" s="202" t="n">
        <f aca="false">10*$F$59</f>
        <v>0</v>
      </c>
      <c r="BD60" s="202" t="n">
        <f aca="false">10*$F$59</f>
        <v>0</v>
      </c>
      <c r="BE60" s="202" t="n">
        <f aca="false">10*$F$59</f>
        <v>0</v>
      </c>
      <c r="BF60" s="202" t="n">
        <f aca="false">10*$F$59</f>
        <v>0</v>
      </c>
      <c r="BG60" s="202" t="n">
        <f aca="false">10*$F$59</f>
        <v>0</v>
      </c>
      <c r="BH60" s="202" t="n">
        <f aca="false">10*$F$59</f>
        <v>0</v>
      </c>
      <c r="BI60" s="202" t="n">
        <f aca="false">10*$F$59</f>
        <v>0</v>
      </c>
      <c r="BJ60" s="202" t="n">
        <f aca="false">10*$F$59</f>
        <v>0</v>
      </c>
      <c r="BK60" s="202" t="n">
        <f aca="false">10*$F$59</f>
        <v>0</v>
      </c>
      <c r="BL60" s="202" t="n">
        <f aca="false">10*$F$59</f>
        <v>0</v>
      </c>
      <c r="BM60" s="202" t="n">
        <f aca="false">10*$F$59</f>
        <v>0</v>
      </c>
      <c r="BN60" s="202" t="n">
        <f aca="false">10*$F$59</f>
        <v>0</v>
      </c>
      <c r="BO60" s="202" t="n">
        <f aca="false">10*$F$59</f>
        <v>0</v>
      </c>
      <c r="BP60" s="202" t="n">
        <f aca="false">10*$F$59</f>
        <v>0</v>
      </c>
      <c r="BQ60" s="202" t="n">
        <f aca="false">10*$F$59</f>
        <v>0</v>
      </c>
      <c r="BR60" s="202" t="n">
        <f aca="false">10*$F$59</f>
        <v>0</v>
      </c>
      <c r="BS60" s="202" t="n">
        <f aca="false">10*$F$59</f>
        <v>0</v>
      </c>
      <c r="BT60" s="202" t="n">
        <f aca="false">10*$F$59</f>
        <v>0</v>
      </c>
      <c r="BU60" s="202" t="n">
        <f aca="false">10*$F$59</f>
        <v>0</v>
      </c>
      <c r="BV60" s="202" t="n">
        <f aca="false">10*$F$59</f>
        <v>0</v>
      </c>
      <c r="BW60" s="202" t="n">
        <f aca="false">10*$F$59</f>
        <v>0</v>
      </c>
      <c r="BX60" s="202" t="n">
        <f aca="false">10*$F$59</f>
        <v>0</v>
      </c>
      <c r="BY60" s="202" t="n">
        <f aca="false">10*$F$59</f>
        <v>0</v>
      </c>
      <c r="BZ60" s="202" t="n">
        <f aca="false">10*$F$59</f>
        <v>0</v>
      </c>
      <c r="CA60" s="202" t="n">
        <f aca="false">10*$F$59</f>
        <v>0</v>
      </c>
      <c r="CB60" s="202" t="n">
        <f aca="false">10*$F$59</f>
        <v>0</v>
      </c>
      <c r="CC60" s="202" t="n">
        <f aca="false">10*$F$59</f>
        <v>0</v>
      </c>
      <c r="CD60" s="202" t="n">
        <f aca="false">10*$F$59</f>
        <v>0</v>
      </c>
      <c r="CE60" s="202" t="n">
        <f aca="false">10*$F$59</f>
        <v>0</v>
      </c>
      <c r="CF60" s="202" t="n">
        <f aca="false">10*$F$59</f>
        <v>0</v>
      </c>
      <c r="CG60" s="202" t="n">
        <f aca="false">10*$F$59</f>
        <v>0</v>
      </c>
      <c r="CH60" s="202" t="n">
        <f aca="false">10*$F$59</f>
        <v>0</v>
      </c>
      <c r="CI60" s="202" t="n">
        <f aca="false">10*$F$59</f>
        <v>0</v>
      </c>
      <c r="CJ60" s="202" t="n">
        <f aca="false">10*$F$59</f>
        <v>0</v>
      </c>
      <c r="CK60" s="202" t="n">
        <f aca="false">10*$F$59</f>
        <v>0</v>
      </c>
      <c r="CL60" s="202" t="n">
        <f aca="false">10*$F$59</f>
        <v>0</v>
      </c>
      <c r="CM60" s="202" t="n">
        <f aca="false">10*$F$59</f>
        <v>0</v>
      </c>
      <c r="CN60" s="202" t="n">
        <f aca="false">10*$F$59</f>
        <v>0</v>
      </c>
      <c r="CO60" s="202" t="n">
        <f aca="false">10*$F$59</f>
        <v>0</v>
      </c>
      <c r="CP60" s="202" t="n">
        <f aca="false">10*$F$59</f>
        <v>0</v>
      </c>
      <c r="CQ60" s="202" t="n">
        <f aca="false">10*$F$59</f>
        <v>0</v>
      </c>
      <c r="CR60" s="202" t="n">
        <f aca="false">10*$F$59</f>
        <v>0</v>
      </c>
      <c r="CS60" s="202" t="n">
        <f aca="false">10*$F$59</f>
        <v>0</v>
      </c>
      <c r="CT60" s="202" t="n">
        <f aca="false">10*$F$59</f>
        <v>0</v>
      </c>
      <c r="CU60" s="202" t="n">
        <f aca="false">10*$F$59</f>
        <v>0</v>
      </c>
      <c r="CV60" s="202" t="n">
        <f aca="false">10*$F$59</f>
        <v>0</v>
      </c>
      <c r="CW60" s="202" t="n">
        <f aca="false">10*$F$59</f>
        <v>0</v>
      </c>
      <c r="CX60" s="202" t="n">
        <f aca="false">10*$F$59</f>
        <v>0</v>
      </c>
      <c r="CY60" s="202" t="n">
        <f aca="false">10*$F$59</f>
        <v>0</v>
      </c>
      <c r="CZ60" s="202" t="n">
        <f aca="false">10*$F$59</f>
        <v>0</v>
      </c>
      <c r="DA60" s="202" t="n">
        <f aca="false">10*$F$59</f>
        <v>0</v>
      </c>
      <c r="DB60" s="202" t="n">
        <f aca="false">10*$F$59</f>
        <v>0</v>
      </c>
    </row>
    <row r="61" customFormat="false" ht="15" hidden="false" customHeight="true" outlineLevel="0" collapsed="false">
      <c r="A61" s="94" t="s">
        <v>591</v>
      </c>
      <c r="G61" s="203" t="n">
        <f aca="false">G56-G60</f>
        <v>3714342.8378483</v>
      </c>
      <c r="H61" s="203" t="n">
        <f aca="false">H56-H60</f>
        <v>3714342.8378483</v>
      </c>
      <c r="I61" s="203" t="n">
        <f aca="false">I56-I60</f>
        <v>3714342.8378483</v>
      </c>
      <c r="J61" s="203" t="n">
        <f aca="false">J56-J60</f>
        <v>3714342.8378483</v>
      </c>
      <c r="K61" s="203" t="n">
        <f aca="false">K56-K60</f>
        <v>5806258.75988777</v>
      </c>
      <c r="L61" s="203" t="n">
        <f aca="false">L56-L60</f>
        <v>6490141.70988777</v>
      </c>
      <c r="M61" s="203" t="n">
        <f aca="false">M56-M60</f>
        <v>6490141.70988777</v>
      </c>
      <c r="N61" s="203" t="n">
        <f aca="false">N56-N60</f>
        <v>6490141.70988777</v>
      </c>
      <c r="O61" s="203" t="n">
        <f aca="false">O56-O60</f>
        <v>6485357.5432211</v>
      </c>
      <c r="P61" s="203" t="n">
        <f aca="false">P56-P60</f>
        <v>7681921.31953689</v>
      </c>
      <c r="Q61" s="203" t="n">
        <f aca="false">Q56-Q60</f>
        <v>8185979.68795795</v>
      </c>
      <c r="R61" s="203" t="n">
        <f aca="false">R56-R60</f>
        <v>8185979.68795795</v>
      </c>
      <c r="S61" s="203" t="n">
        <f aca="false">S56-S60</f>
        <v>9694872.02129128</v>
      </c>
      <c r="T61" s="203" t="n">
        <f aca="false">T56-T60</f>
        <v>10500978.0739229</v>
      </c>
      <c r="U61" s="203" t="n">
        <f aca="false">U56-U60</f>
        <v>11096629.9160281</v>
      </c>
      <c r="V61" s="203" t="n">
        <f aca="false">V56-V60</f>
        <v>11825752.301993</v>
      </c>
      <c r="W61" s="203" t="n">
        <f aca="false">W56-W60</f>
        <v>11825752.301993</v>
      </c>
      <c r="X61" s="203" t="n">
        <f aca="false">X56-X60</f>
        <v>11123994.6549342</v>
      </c>
      <c r="Y61" s="203" t="n">
        <f aca="false">Y56-Y60</f>
        <v>10003080.8216009</v>
      </c>
      <c r="Z61" s="203" t="n">
        <f aca="false">Z56-Z60</f>
        <v>10286482.2799781</v>
      </c>
      <c r="AA61" s="203" t="n">
        <f aca="false">AA56-AA60</f>
        <v>10286482.2799781</v>
      </c>
      <c r="AB61" s="203" t="n">
        <f aca="false">AB56-AB60</f>
        <v>10286482.2799781</v>
      </c>
      <c r="AC61" s="203" t="n">
        <f aca="false">AC56-AC60</f>
        <v>10286482.2799781</v>
      </c>
      <c r="AD61" s="203" t="n">
        <f aca="false">AD56-AD60</f>
        <v>9531902.7641886</v>
      </c>
      <c r="AE61" s="203" t="n">
        <f aca="false">AE56-AE60</f>
        <v>8848019.8141886</v>
      </c>
      <c r="AF61" s="203" t="n">
        <f aca="false">AF56-AF60</f>
        <v>8848019.8141886</v>
      </c>
      <c r="AG61" s="203" t="n">
        <f aca="false">AG56-AG60</f>
        <v>10226507.5475219</v>
      </c>
      <c r="AH61" s="203" t="n">
        <f aca="false">AH56-AH60</f>
        <v>10226507.5475219</v>
      </c>
      <c r="AI61" s="203" t="n">
        <f aca="false">AI56-AI60</f>
        <v>9029943.77120614</v>
      </c>
      <c r="AJ61" s="203" t="n">
        <f aca="false">AJ56-AJ60</f>
        <v>8525885.40278509</v>
      </c>
      <c r="AK61" s="203" t="n">
        <f aca="false">AK56-AK60</f>
        <v>9315359.08699561</v>
      </c>
      <c r="AL61" s="203" t="n">
        <f aca="false">AL56-AL60</f>
        <v>9315359.08699561</v>
      </c>
      <c r="AM61" s="203" t="n">
        <f aca="false">AM56-AM60</f>
        <v>7623277.8260307</v>
      </c>
      <c r="AN61" s="203" t="n">
        <f aca="false">AN56-AN60</f>
        <v>7817099.66813597</v>
      </c>
      <c r="AO61" s="203" t="n">
        <f aca="false">AO56-AO60</f>
        <v>6846427.61550439</v>
      </c>
      <c r="AP61" s="203" t="n">
        <f aca="false">AP56-AP60</f>
        <v>6846427.61550439</v>
      </c>
      <c r="AQ61" s="203" t="n">
        <f aca="false">AQ56-AQ60</f>
        <v>6456459.63030702</v>
      </c>
      <c r="AR61" s="203" t="n">
        <f aca="false">AR56-AR60</f>
        <v>6456459.63030702</v>
      </c>
      <c r="AS61" s="203" t="n">
        <f aca="false">AS56-AS60</f>
        <v>6456459.63030702</v>
      </c>
      <c r="AT61" s="203" t="n">
        <f aca="false">AT56-AT60</f>
        <v>7403828.05135965</v>
      </c>
      <c r="AU61" s="203" t="n">
        <f aca="false">AU56-AU60</f>
        <v>7403828.05135965</v>
      </c>
      <c r="AV61" s="203" t="n">
        <f aca="false">AV56-AV60</f>
        <v>8351196.47241228</v>
      </c>
      <c r="AW61" s="203" t="n">
        <f aca="false">AW56-AW60</f>
        <v>6842304.13907895</v>
      </c>
      <c r="AX61" s="203" t="n">
        <f aca="false">AX56-AX60</f>
        <v>6589014.04912281</v>
      </c>
      <c r="AY61" s="203" t="n">
        <f aca="false">AY56-AY60</f>
        <v>6589014.04912281</v>
      </c>
      <c r="AZ61" s="203" t="n">
        <f aca="false">AZ56-AZ60</f>
        <v>7378487.73333333</v>
      </c>
      <c r="BA61" s="203" t="n">
        <f aca="false">BA56-BA60</f>
        <v>7378487.73333333</v>
      </c>
      <c r="BB61" s="203" t="n">
        <f aca="false">BB56-BB60</f>
        <v>8167961.41754386</v>
      </c>
      <c r="BC61" s="203" t="n">
        <f aca="false">BC56-BC60</f>
        <v>8167961.41754386</v>
      </c>
      <c r="BD61" s="203" t="n">
        <f aca="false">BD56-BD60</f>
        <v>8167961.41754386</v>
      </c>
      <c r="BE61" s="203" t="n">
        <f aca="false">BE56-BE60</f>
        <v>8167961.41754386</v>
      </c>
      <c r="BF61" s="203" t="n">
        <f aca="false">BF56-BF60</f>
        <v>9115329.83859649</v>
      </c>
      <c r="BG61" s="203" t="n">
        <f aca="false">BG56-BG60</f>
        <v>8325856.15438597</v>
      </c>
      <c r="BH61" s="203" t="n">
        <f aca="false">BH56-BH60</f>
        <v>9115329.83859649</v>
      </c>
      <c r="BI61" s="203" t="n">
        <f aca="false">BI56-BI60</f>
        <v>9115329.83859649</v>
      </c>
      <c r="BJ61" s="203" t="n">
        <f aca="false">BJ56-BJ60</f>
        <v>8957435.10175439</v>
      </c>
      <c r="BK61" s="203" t="n">
        <f aca="false">BK56-BK60</f>
        <v>7578947.36842105</v>
      </c>
      <c r="BL61" s="203" t="n">
        <f aca="false">BL56-BL60</f>
        <v>8526315.78947369</v>
      </c>
      <c r="BM61" s="203" t="n">
        <f aca="false">BM56-BM60</f>
        <v>7578947.36842105</v>
      </c>
      <c r="BN61" s="203" t="n">
        <f aca="false">BN56-BN60</f>
        <v>8368421.05263158</v>
      </c>
      <c r="BO61" s="203" t="n">
        <f aca="false">BO56-BO60</f>
        <v>7421052.63157895</v>
      </c>
      <c r="BP61" s="203" t="n">
        <f aca="false">BP56-BP60</f>
        <v>8368421.05263158</v>
      </c>
      <c r="BQ61" s="203" t="n">
        <f aca="false">BQ56-BQ60</f>
        <v>7578947.36842105</v>
      </c>
      <c r="BR61" s="203" t="n">
        <f aca="false">BR56-BR60</f>
        <v>8368421.05263158</v>
      </c>
      <c r="BS61" s="203" t="n">
        <f aca="false">BS56-BS60</f>
        <v>7578947.36842105</v>
      </c>
      <c r="BT61" s="203" t="n">
        <f aca="false">BT56-BT60</f>
        <v>8368421.05263158</v>
      </c>
      <c r="BU61" s="203" t="n">
        <f aca="false">BU56-BU60</f>
        <v>7578947.36842105</v>
      </c>
      <c r="BV61" s="203" t="n">
        <f aca="false">BV56-BV60</f>
        <v>8526315.78947369</v>
      </c>
      <c r="BW61" s="203" t="n">
        <f aca="false">BW56-BW60</f>
        <v>7736842.10526316</v>
      </c>
      <c r="BX61" s="203" t="n">
        <f aca="false">BX56-BX60</f>
        <v>8526315.78947369</v>
      </c>
      <c r="BY61" s="203" t="n">
        <f aca="false">BY56-BY60</f>
        <v>7578947.36842105</v>
      </c>
      <c r="BZ61" s="203" t="n">
        <f aca="false">BZ56-BZ60</f>
        <v>8368421.05263158</v>
      </c>
      <c r="CA61" s="203" t="n">
        <f aca="false">CA56-CA60</f>
        <v>7578947.36842105</v>
      </c>
      <c r="CB61" s="203" t="n">
        <f aca="false">CB56-CB60</f>
        <v>8526315.78947369</v>
      </c>
      <c r="CC61" s="203" t="n">
        <f aca="false">CC56-CC60</f>
        <v>7736842.10526316</v>
      </c>
      <c r="CD61" s="203" t="n">
        <f aca="false">CD56-CD60</f>
        <v>8526315.78947369</v>
      </c>
      <c r="CE61" s="203" t="n">
        <f aca="false">CE56-CE60</f>
        <v>7578947.36842105</v>
      </c>
      <c r="CF61" s="203" t="n">
        <f aca="false">CF56-CF60</f>
        <v>8368421.05263158</v>
      </c>
      <c r="CG61" s="203" t="n">
        <f aca="false">CG56-CG60</f>
        <v>7578947.36842105</v>
      </c>
      <c r="CH61" s="203" t="n">
        <f aca="false">CH56-CH60</f>
        <v>8526315.78947369</v>
      </c>
      <c r="CI61" s="203" t="n">
        <f aca="false">CI56-CI60</f>
        <v>7578947.36842105</v>
      </c>
      <c r="CJ61" s="203" t="n">
        <f aca="false">CJ56-CJ60</f>
        <v>8368421.05263158</v>
      </c>
      <c r="CK61" s="203" t="n">
        <f aca="false">CK56-CK60</f>
        <v>7578947.36842105</v>
      </c>
      <c r="CL61" s="203" t="n">
        <f aca="false">CL56-CL60</f>
        <v>7578947.36842105</v>
      </c>
      <c r="CM61" s="203" t="n">
        <f aca="false">CM56-CM60</f>
        <v>6789473.68421053</v>
      </c>
      <c r="CN61" s="203" t="n">
        <f aca="false">CN56-CN60</f>
        <v>6789473.68421053</v>
      </c>
      <c r="CO61" s="203" t="n">
        <f aca="false">CO56-CO60</f>
        <v>5842105.2631579</v>
      </c>
      <c r="CP61" s="203" t="n">
        <f aca="false">CP56-CP60</f>
        <v>5842105.2631579</v>
      </c>
      <c r="CQ61" s="203" t="n">
        <f aca="false">CQ56-CQ60</f>
        <v>5052631.57894737</v>
      </c>
      <c r="CR61" s="203" t="n">
        <f aca="false">CR56-CR60</f>
        <v>5052631.57894737</v>
      </c>
      <c r="CS61" s="203" t="n">
        <f aca="false">CS56-CS60</f>
        <v>4263157.89473684</v>
      </c>
      <c r="CT61" s="203" t="n">
        <f aca="false">CT56-CT60</f>
        <v>4263157.89473684</v>
      </c>
      <c r="CU61" s="203" t="n">
        <f aca="false">CU56-CU60</f>
        <v>3315789.47368421</v>
      </c>
      <c r="CV61" s="203" t="n">
        <f aca="false">CV56-CV60</f>
        <v>3315789.47368421</v>
      </c>
      <c r="CW61" s="203" t="n">
        <f aca="false">CW56-CW60</f>
        <v>2526315.78947368</v>
      </c>
      <c r="CX61" s="203" t="n">
        <f aca="false">CX56-CX60</f>
        <v>2526315.78947368</v>
      </c>
      <c r="CY61" s="203" t="n">
        <f aca="false">CY56-CY60</f>
        <v>1736842.10526316</v>
      </c>
      <c r="CZ61" s="203" t="n">
        <f aca="false">CZ56-CZ60</f>
        <v>1736842.10526316</v>
      </c>
      <c r="DA61" s="203" t="n">
        <f aca="false">DA56-DA60</f>
        <v>789473.684210526</v>
      </c>
      <c r="DB61" s="203" t="n">
        <f aca="false">DB56-DB60</f>
        <v>789473.684210526</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592</v>
      </c>
    </row>
    <row r="2" customFormat="false" ht="13.5" hidden="false" customHeight="true" outlineLevel="0" collapsed="false">
      <c r="A2" s="205" t="s">
        <v>593</v>
      </c>
    </row>
    <row r="3" customFormat="false" ht="13.5" hidden="false" customHeight="true" outlineLevel="0" collapsed="false">
      <c r="C3" s="206" t="s">
        <v>594</v>
      </c>
      <c r="D3" s="206" t="s">
        <v>595</v>
      </c>
    </row>
    <row r="4" customFormat="false" ht="13.5" hidden="false" customHeight="true" outlineLevel="0" collapsed="false">
      <c r="A4" s="125" t="s">
        <v>596</v>
      </c>
      <c r="C4" s="120" t="n">
        <f aca="false">COUNTIFS($F$9:$F$100,"GC",$L$9:$L$100,"Current*")-COUNTIFS($A$9:$A$100,"*(Corporate)*",$F$9:$F$100,"GC")</f>
        <v>25</v>
      </c>
      <c r="D4" s="207" t="n">
        <f aca="false">SUMIFS($C$9:$C$100,$F$9:$F$100,"GC",$L$9:$L$100,"Current*")</f>
        <v>3440572</v>
      </c>
    </row>
    <row r="5" customFormat="false" ht="13.5" hidden="false" customHeight="true" outlineLevel="0" collapsed="false">
      <c r="A5" s="125" t="s">
        <v>597</v>
      </c>
      <c r="C5" s="120" t="n">
        <f aca="false">COUNTIFS($F$9:$F$100,"SixPeak",$L$9:$L$100,"Current*")</f>
        <v>7</v>
      </c>
      <c r="D5" s="207" t="n">
        <f aca="false">SUMIFS($C$9:$C$100,$F$9:$F$100,"SixPeak",$L$9:$L$100,"Current*")</f>
        <v>1787000</v>
      </c>
    </row>
    <row r="6" customFormat="false" ht="13.5" hidden="false" customHeight="true" outlineLevel="0" collapsed="false">
      <c r="A6" s="208" t="s">
        <v>598</v>
      </c>
    </row>
    <row r="8" customFormat="false" ht="27" hidden="false" customHeight="true" outlineLevel="0" collapsed="false">
      <c r="A8" s="176" t="s">
        <v>599</v>
      </c>
      <c r="B8" s="176" t="s">
        <v>600</v>
      </c>
      <c r="C8" s="176" t="s">
        <v>601</v>
      </c>
      <c r="D8" s="176" t="s">
        <v>602</v>
      </c>
      <c r="E8" s="176" t="s">
        <v>548</v>
      </c>
      <c r="F8" s="176" t="s">
        <v>557</v>
      </c>
      <c r="G8" s="176" t="s">
        <v>552</v>
      </c>
      <c r="H8" s="176" t="s">
        <v>603</v>
      </c>
      <c r="I8" s="176" t="s">
        <v>604</v>
      </c>
      <c r="J8" s="176" t="s">
        <v>605</v>
      </c>
      <c r="K8" s="176" t="s">
        <v>566</v>
      </c>
      <c r="L8" s="176" t="s">
        <v>606</v>
      </c>
      <c r="M8" s="176" t="s">
        <v>607</v>
      </c>
      <c r="N8" s="176" t="s">
        <v>608</v>
      </c>
      <c r="O8" s="176" t="s">
        <v>609</v>
      </c>
      <c r="P8" s="176" t="s">
        <v>610</v>
      </c>
      <c r="Q8" s="176" t="s">
        <v>611</v>
      </c>
    </row>
    <row r="9" customFormat="false" ht="13.5" hidden="false" customHeight="true" outlineLevel="0" collapsed="false">
      <c r="A9" s="209" t="s">
        <v>612</v>
      </c>
      <c r="B9" s="210"/>
      <c r="C9" s="210"/>
      <c r="D9" s="210"/>
      <c r="E9" s="210"/>
      <c r="F9" s="210"/>
      <c r="G9" s="210"/>
      <c r="H9" s="210"/>
      <c r="I9" s="210"/>
      <c r="J9" s="210"/>
      <c r="K9" s="210"/>
      <c r="L9" s="210"/>
      <c r="M9" s="210"/>
      <c r="N9" s="210"/>
      <c r="O9" s="210"/>
      <c r="P9" s="210"/>
    </row>
    <row r="10" customFormat="false" ht="13.5" hidden="false" customHeight="true" outlineLevel="0" collapsed="false">
      <c r="A10" s="110" t="s">
        <v>613</v>
      </c>
      <c r="B10" s="110" t="s">
        <v>614</v>
      </c>
      <c r="C10" s="211" t="n">
        <v>70000</v>
      </c>
      <c r="D10" s="211" t="n">
        <f aca="false">C10/12</f>
        <v>5833.33333333333</v>
      </c>
      <c r="E10" s="182" t="n">
        <v>1</v>
      </c>
      <c r="F10" s="110" t="s">
        <v>615</v>
      </c>
      <c r="G10" s="182" t="s">
        <v>568</v>
      </c>
      <c r="H10" s="212" t="n">
        <v>0</v>
      </c>
      <c r="I10" s="212" t="n">
        <v>0</v>
      </c>
      <c r="J10" s="110" t="s">
        <v>616</v>
      </c>
      <c r="K10" s="182"/>
      <c r="L10" s="110" t="s">
        <v>617</v>
      </c>
      <c r="M10" s="110"/>
      <c r="N10" s="110"/>
      <c r="O10" s="110" t="s">
        <v>615</v>
      </c>
      <c r="P10" s="110" t="s">
        <v>618</v>
      </c>
      <c r="Q10" s="1" t="s">
        <v>568</v>
      </c>
    </row>
    <row r="11" customFormat="false" ht="13.5" hidden="false" customHeight="true" outlineLevel="0" collapsed="false">
      <c r="A11" s="213" t="s">
        <v>619</v>
      </c>
      <c r="B11" s="213" t="s">
        <v>620</v>
      </c>
      <c r="C11" s="214" t="n">
        <v>80000</v>
      </c>
      <c r="D11" s="214" t="n">
        <f aca="false">C11/12</f>
        <v>6666.66666666667</v>
      </c>
      <c r="E11" s="215" t="n">
        <v>1</v>
      </c>
      <c r="F11" s="213" t="s">
        <v>615</v>
      </c>
      <c r="G11" s="215" t="s">
        <v>568</v>
      </c>
      <c r="H11" s="216" t="n">
        <v>0.5</v>
      </c>
      <c r="I11" s="216" t="n">
        <v>0</v>
      </c>
      <c r="J11" s="213" t="s">
        <v>616</v>
      </c>
      <c r="K11" s="215"/>
      <c r="L11" s="213" t="s">
        <v>617</v>
      </c>
      <c r="M11" s="213"/>
      <c r="N11" s="213"/>
      <c r="O11" s="213" t="s">
        <v>615</v>
      </c>
      <c r="P11" s="213" t="s">
        <v>618</v>
      </c>
      <c r="Q11" s="1" t="s">
        <v>568</v>
      </c>
    </row>
    <row r="12" customFormat="false" ht="13.5" hidden="false" customHeight="true" outlineLevel="0" collapsed="false">
      <c r="A12" s="110" t="s">
        <v>621</v>
      </c>
      <c r="B12" s="110" t="s">
        <v>622</v>
      </c>
      <c r="C12" s="211" t="n">
        <v>25000</v>
      </c>
      <c r="D12" s="211" t="n">
        <f aca="false">C12/12</f>
        <v>2083.33333333333</v>
      </c>
      <c r="E12" s="182" t="n">
        <v>1</v>
      </c>
      <c r="F12" s="110" t="s">
        <v>615</v>
      </c>
      <c r="G12" s="182" t="s">
        <v>568</v>
      </c>
      <c r="H12" s="212" t="n">
        <v>0.5</v>
      </c>
      <c r="I12" s="212" t="n">
        <v>0</v>
      </c>
      <c r="J12" s="110" t="s">
        <v>616</v>
      </c>
      <c r="K12" s="182" t="n">
        <v>9</v>
      </c>
      <c r="L12" s="110" t="s">
        <v>623</v>
      </c>
      <c r="M12" s="110"/>
      <c r="N12" s="110" t="s">
        <v>624</v>
      </c>
      <c r="O12" s="110" t="s">
        <v>615</v>
      </c>
      <c r="P12" s="110" t="s">
        <v>618</v>
      </c>
      <c r="Q12" s="1" t="s">
        <v>568</v>
      </c>
    </row>
    <row r="13" customFormat="false" ht="13.5" hidden="false" customHeight="true" outlineLevel="0" collapsed="false">
      <c r="A13" s="213" t="s">
        <v>625</v>
      </c>
      <c r="B13" s="213" t="s">
        <v>622</v>
      </c>
      <c r="C13" s="214" t="n">
        <v>10000</v>
      </c>
      <c r="D13" s="214" t="n">
        <f aca="false">C13/12</f>
        <v>833.333333333333</v>
      </c>
      <c r="E13" s="215" t="n">
        <v>1</v>
      </c>
      <c r="F13" s="213" t="s">
        <v>615</v>
      </c>
      <c r="G13" s="215" t="s">
        <v>568</v>
      </c>
      <c r="H13" s="216" t="n">
        <v>0</v>
      </c>
      <c r="I13" s="216" t="n">
        <v>0</v>
      </c>
      <c r="J13" s="213" t="s">
        <v>616</v>
      </c>
      <c r="K13" s="215"/>
      <c r="L13" s="213" t="s">
        <v>617</v>
      </c>
      <c r="M13" s="213"/>
      <c r="N13" s="213"/>
      <c r="O13" s="213" t="s">
        <v>615</v>
      </c>
      <c r="P13" s="213" t="s">
        <v>618</v>
      </c>
      <c r="Q13" s="1" t="s">
        <v>568</v>
      </c>
    </row>
    <row r="14" customFormat="false" ht="13.5" hidden="false" customHeight="true" outlineLevel="0" collapsed="false">
      <c r="A14" s="110" t="s">
        <v>626</v>
      </c>
      <c r="B14" s="110" t="s">
        <v>627</v>
      </c>
      <c r="C14" s="211" t="n">
        <v>20000</v>
      </c>
      <c r="D14" s="211" t="n">
        <f aca="false">C14/12</f>
        <v>1666.66666666667</v>
      </c>
      <c r="E14" s="182" t="n">
        <v>1</v>
      </c>
      <c r="F14" s="110" t="s">
        <v>615</v>
      </c>
      <c r="G14" s="182" t="s">
        <v>568</v>
      </c>
      <c r="H14" s="212" t="n">
        <v>0</v>
      </c>
      <c r="I14" s="212" t="n">
        <v>0</v>
      </c>
      <c r="J14" s="110" t="s">
        <v>616</v>
      </c>
      <c r="K14" s="182"/>
      <c r="L14" s="110" t="s">
        <v>617</v>
      </c>
      <c r="M14" s="110"/>
      <c r="N14" s="110"/>
      <c r="O14" s="110" t="s">
        <v>615</v>
      </c>
      <c r="P14" s="110" t="s">
        <v>618</v>
      </c>
      <c r="Q14" s="1" t="s">
        <v>568</v>
      </c>
    </row>
    <row r="16" customFormat="false" ht="13.5" hidden="false" customHeight="true" outlineLevel="0" collapsed="false">
      <c r="A16" s="209" t="s">
        <v>628</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10" t="s">
        <v>629</v>
      </c>
      <c r="B17" s="110" t="s">
        <v>620</v>
      </c>
      <c r="C17" s="211" t="n">
        <v>320000</v>
      </c>
      <c r="D17" s="211" t="n">
        <f aca="false">C17/12</f>
        <v>26666.6666666667</v>
      </c>
      <c r="E17" s="182" t="n">
        <v>1</v>
      </c>
      <c r="F17" s="110" t="s">
        <v>615</v>
      </c>
      <c r="G17" s="182" t="s">
        <v>568</v>
      </c>
      <c r="H17" s="212" t="n">
        <v>0.5</v>
      </c>
      <c r="I17" s="212" t="n">
        <v>0</v>
      </c>
      <c r="J17" s="110" t="s">
        <v>630</v>
      </c>
      <c r="K17" s="182"/>
      <c r="L17" s="110" t="s">
        <v>617</v>
      </c>
      <c r="M17" s="110"/>
      <c r="N17" s="110"/>
      <c r="O17" s="110" t="s">
        <v>615</v>
      </c>
      <c r="P17" s="110" t="s">
        <v>618</v>
      </c>
      <c r="Q17" s="1" t="s">
        <v>568</v>
      </c>
    </row>
    <row r="18" customFormat="false" ht="13.5" hidden="false" customHeight="true" outlineLevel="0" collapsed="false">
      <c r="A18" s="213" t="s">
        <v>631</v>
      </c>
      <c r="B18" s="213" t="s">
        <v>622</v>
      </c>
      <c r="C18" s="214" t="n">
        <v>225000</v>
      </c>
      <c r="D18" s="214" t="n">
        <f aca="false">C18/12</f>
        <v>18750</v>
      </c>
      <c r="E18" s="215" t="n">
        <v>1</v>
      </c>
      <c r="F18" s="213" t="s">
        <v>615</v>
      </c>
      <c r="G18" s="215" t="s">
        <v>568</v>
      </c>
      <c r="H18" s="216" t="n">
        <v>0.5</v>
      </c>
      <c r="I18" s="216" t="n">
        <v>0</v>
      </c>
      <c r="J18" s="213" t="s">
        <v>630</v>
      </c>
      <c r="K18" s="215" t="n">
        <v>9</v>
      </c>
      <c r="L18" s="213" t="s">
        <v>623</v>
      </c>
      <c r="M18" s="213"/>
      <c r="N18" s="213" t="s">
        <v>624</v>
      </c>
      <c r="O18" s="213" t="s">
        <v>615</v>
      </c>
      <c r="P18" s="213" t="s">
        <v>618</v>
      </c>
      <c r="Q18" s="1" t="s">
        <v>568</v>
      </c>
    </row>
    <row r="19" customFormat="false" ht="13.5" hidden="false" customHeight="true" outlineLevel="0" collapsed="false">
      <c r="A19" s="110" t="s">
        <v>632</v>
      </c>
      <c r="B19" s="110" t="s">
        <v>622</v>
      </c>
      <c r="C19" s="211" t="n">
        <v>180000</v>
      </c>
      <c r="D19" s="211" t="n">
        <f aca="false">C19/12</f>
        <v>15000</v>
      </c>
      <c r="E19" s="182" t="n">
        <v>1</v>
      </c>
      <c r="F19" s="110" t="s">
        <v>615</v>
      </c>
      <c r="G19" s="182" t="s">
        <v>568</v>
      </c>
      <c r="H19" s="212" t="n">
        <v>0</v>
      </c>
      <c r="I19" s="212" t="n">
        <v>0</v>
      </c>
      <c r="J19" s="110" t="s">
        <v>630</v>
      </c>
      <c r="K19" s="182"/>
      <c r="L19" s="110" t="s">
        <v>617</v>
      </c>
      <c r="M19" s="110"/>
      <c r="N19" s="110"/>
      <c r="O19" s="110" t="s">
        <v>615</v>
      </c>
      <c r="P19" s="110" t="s">
        <v>633</v>
      </c>
      <c r="Q19" s="1" t="s">
        <v>568</v>
      </c>
    </row>
    <row r="20" customFormat="false" ht="13.5" hidden="false" customHeight="true" outlineLevel="0" collapsed="false">
      <c r="A20" s="213" t="s">
        <v>634</v>
      </c>
      <c r="B20" s="213" t="s">
        <v>627</v>
      </c>
      <c r="C20" s="214" t="n">
        <v>180000</v>
      </c>
      <c r="D20" s="214" t="n">
        <f aca="false">C20/12</f>
        <v>15000</v>
      </c>
      <c r="E20" s="215" t="n">
        <v>1</v>
      </c>
      <c r="F20" s="213" t="s">
        <v>615</v>
      </c>
      <c r="G20" s="215" t="s">
        <v>568</v>
      </c>
      <c r="H20" s="216" t="n">
        <v>0</v>
      </c>
      <c r="I20" s="216" t="n">
        <v>0</v>
      </c>
      <c r="J20" s="213" t="s">
        <v>630</v>
      </c>
      <c r="K20" s="215"/>
      <c r="L20" s="213" t="s">
        <v>617</v>
      </c>
      <c r="M20" s="213"/>
      <c r="N20" s="213"/>
      <c r="O20" s="213" t="s">
        <v>615</v>
      </c>
      <c r="P20" s="213" t="s">
        <v>633</v>
      </c>
      <c r="Q20" s="1" t="s">
        <v>568</v>
      </c>
    </row>
    <row r="21" customFormat="false" ht="13.5" hidden="false" customHeight="true" outlineLevel="0" collapsed="false">
      <c r="A21" s="110" t="s">
        <v>635</v>
      </c>
      <c r="B21" s="110" t="s">
        <v>636</v>
      </c>
      <c r="C21" s="211" t="n">
        <v>105000</v>
      </c>
      <c r="D21" s="211" t="n">
        <f aca="false">C21/12</f>
        <v>8750</v>
      </c>
      <c r="E21" s="182" t="n">
        <v>3</v>
      </c>
      <c r="F21" s="110" t="s">
        <v>615</v>
      </c>
      <c r="G21" s="182" t="s">
        <v>568</v>
      </c>
      <c r="H21" s="212" t="n">
        <v>0</v>
      </c>
      <c r="I21" s="212" t="n">
        <v>0</v>
      </c>
      <c r="J21" s="110" t="s">
        <v>630</v>
      </c>
      <c r="K21" s="182"/>
      <c r="L21" s="110" t="s">
        <v>617</v>
      </c>
      <c r="M21" s="110"/>
      <c r="N21" s="110"/>
      <c r="O21" s="110" t="s">
        <v>615</v>
      </c>
      <c r="P21" s="110" t="s">
        <v>637</v>
      </c>
      <c r="Q21" s="1" t="s">
        <v>568</v>
      </c>
    </row>
    <row r="22" customFormat="false" ht="13.5" hidden="false" customHeight="true" outlineLevel="0" collapsed="false">
      <c r="A22" s="213" t="s">
        <v>638</v>
      </c>
      <c r="B22" s="213" t="s">
        <v>639</v>
      </c>
      <c r="C22" s="214" t="n">
        <v>155000</v>
      </c>
      <c r="D22" s="214" t="n">
        <f aca="false">C22/12</f>
        <v>12916.6666666667</v>
      </c>
      <c r="E22" s="215" t="n">
        <v>1</v>
      </c>
      <c r="F22" s="213" t="s">
        <v>615</v>
      </c>
      <c r="G22" s="215" t="s">
        <v>568</v>
      </c>
      <c r="H22" s="216" t="n">
        <v>0</v>
      </c>
      <c r="I22" s="216" t="n">
        <v>0</v>
      </c>
      <c r="J22" s="213" t="s">
        <v>630</v>
      </c>
      <c r="K22" s="215"/>
      <c r="L22" s="213" t="s">
        <v>617</v>
      </c>
      <c r="M22" s="213"/>
      <c r="N22" s="213"/>
      <c r="O22" s="213" t="s">
        <v>615</v>
      </c>
      <c r="P22" s="213" t="s">
        <v>633</v>
      </c>
      <c r="Q22" s="1" t="s">
        <v>568</v>
      </c>
    </row>
    <row r="23" customFormat="false" ht="13.5" hidden="false" customHeight="true" outlineLevel="0" collapsed="false">
      <c r="A23" s="110" t="s">
        <v>640</v>
      </c>
      <c r="B23" s="110" t="s">
        <v>641</v>
      </c>
      <c r="C23" s="211" t="n">
        <v>185000</v>
      </c>
      <c r="D23" s="211" t="n">
        <f aca="false">C23/12</f>
        <v>15416.6666666667</v>
      </c>
      <c r="E23" s="182" t="n">
        <v>1</v>
      </c>
      <c r="F23" s="110" t="s">
        <v>615</v>
      </c>
      <c r="G23" s="182" t="s">
        <v>568</v>
      </c>
      <c r="H23" s="212" t="n">
        <v>0</v>
      </c>
      <c r="I23" s="212" t="n">
        <v>0</v>
      </c>
      <c r="J23" s="110" t="s">
        <v>630</v>
      </c>
      <c r="K23" s="182"/>
      <c r="L23" s="110" t="s">
        <v>617</v>
      </c>
      <c r="M23" s="110"/>
      <c r="N23" s="110"/>
      <c r="O23" s="110" t="s">
        <v>615</v>
      </c>
      <c r="P23" s="110" t="s">
        <v>642</v>
      </c>
      <c r="Q23" s="1" t="s">
        <v>568</v>
      </c>
    </row>
    <row r="24" customFormat="false" ht="13.5" hidden="false" customHeight="true" outlineLevel="0" collapsed="false">
      <c r="A24" s="213" t="s">
        <v>643</v>
      </c>
      <c r="B24" s="213" t="s">
        <v>644</v>
      </c>
      <c r="C24" s="214" t="n">
        <v>90000</v>
      </c>
      <c r="D24" s="214" t="n">
        <f aca="false">C24/12</f>
        <v>7500</v>
      </c>
      <c r="E24" s="215" t="n">
        <v>3</v>
      </c>
      <c r="F24" s="213" t="s">
        <v>615</v>
      </c>
      <c r="G24" s="215" t="s">
        <v>568</v>
      </c>
      <c r="H24" s="216" t="n">
        <v>0</v>
      </c>
      <c r="I24" s="216" t="n">
        <v>0</v>
      </c>
      <c r="J24" s="213" t="s">
        <v>630</v>
      </c>
      <c r="K24" s="215"/>
      <c r="L24" s="213" t="s">
        <v>617</v>
      </c>
      <c r="M24" s="213"/>
      <c r="N24" s="213"/>
      <c r="O24" s="213" t="s">
        <v>615</v>
      </c>
      <c r="P24" s="213" t="s">
        <v>645</v>
      </c>
      <c r="Q24" s="1" t="s">
        <v>568</v>
      </c>
    </row>
    <row r="25" customFormat="false" ht="13.5" hidden="false" customHeight="true" outlineLevel="0" collapsed="false">
      <c r="A25" s="110" t="s">
        <v>646</v>
      </c>
      <c r="B25" s="110" t="s">
        <v>644</v>
      </c>
      <c r="C25" s="211" t="n">
        <v>97500</v>
      </c>
      <c r="D25" s="211" t="n">
        <f aca="false">C25/12</f>
        <v>8125</v>
      </c>
      <c r="E25" s="182" t="n">
        <v>1</v>
      </c>
      <c r="F25" s="110" t="s">
        <v>615</v>
      </c>
      <c r="G25" s="182" t="s">
        <v>568</v>
      </c>
      <c r="H25" s="212" t="n">
        <v>0</v>
      </c>
      <c r="I25" s="212" t="n">
        <v>0</v>
      </c>
      <c r="J25" s="110" t="s">
        <v>630</v>
      </c>
      <c r="K25" s="182"/>
      <c r="L25" s="110" t="s">
        <v>617</v>
      </c>
      <c r="M25" s="110"/>
      <c r="N25" s="110"/>
      <c r="O25" s="110" t="s">
        <v>615</v>
      </c>
      <c r="P25" s="110" t="s">
        <v>645</v>
      </c>
      <c r="Q25" s="1" t="s">
        <v>568</v>
      </c>
    </row>
    <row r="26" customFormat="false" ht="13.5" hidden="false" customHeight="true" outlineLevel="0" collapsed="false">
      <c r="A26" s="213" t="s">
        <v>647</v>
      </c>
      <c r="B26" s="213" t="s">
        <v>641</v>
      </c>
      <c r="C26" s="214" t="n">
        <v>150000</v>
      </c>
      <c r="D26" s="214" t="n">
        <f aca="false">C26/12</f>
        <v>12500</v>
      </c>
      <c r="E26" s="215" t="n">
        <v>1</v>
      </c>
      <c r="F26" s="213" t="s">
        <v>615</v>
      </c>
      <c r="G26" s="215" t="s">
        <v>568</v>
      </c>
      <c r="H26" s="216" t="n">
        <v>0</v>
      </c>
      <c r="I26" s="216" t="n">
        <v>0</v>
      </c>
      <c r="J26" s="213" t="s">
        <v>630</v>
      </c>
      <c r="K26" s="215"/>
      <c r="L26" s="213" t="s">
        <v>617</v>
      </c>
      <c r="M26" s="213"/>
      <c r="N26" s="213"/>
      <c r="O26" s="213" t="s">
        <v>615</v>
      </c>
      <c r="P26" s="213" t="s">
        <v>642</v>
      </c>
      <c r="Q26" s="1" t="s">
        <v>568</v>
      </c>
    </row>
    <row r="27" customFormat="false" ht="13.5" hidden="false" customHeight="true" outlineLevel="0" collapsed="false">
      <c r="A27" s="110" t="s">
        <v>648</v>
      </c>
      <c r="B27" s="110" t="s">
        <v>641</v>
      </c>
      <c r="C27" s="211" t="n">
        <v>150000</v>
      </c>
      <c r="D27" s="211" t="n">
        <f aca="false">C27/12</f>
        <v>12500</v>
      </c>
      <c r="E27" s="182" t="n">
        <v>1</v>
      </c>
      <c r="F27" s="110" t="s">
        <v>615</v>
      </c>
      <c r="G27" s="182" t="s">
        <v>568</v>
      </c>
      <c r="H27" s="212" t="n">
        <v>0</v>
      </c>
      <c r="I27" s="212" t="n">
        <v>0</v>
      </c>
      <c r="J27" s="110" t="s">
        <v>630</v>
      </c>
      <c r="K27" s="182"/>
      <c r="L27" s="110" t="s">
        <v>617</v>
      </c>
      <c r="M27" s="110"/>
      <c r="N27" s="110"/>
      <c r="O27" s="110" t="s">
        <v>615</v>
      </c>
      <c r="P27" s="110" t="s">
        <v>642</v>
      </c>
      <c r="Q27" s="1" t="s">
        <v>568</v>
      </c>
    </row>
    <row r="28" customFormat="false" ht="13.5" hidden="false" customHeight="true" outlineLevel="0" collapsed="false">
      <c r="A28" s="213" t="s">
        <v>649</v>
      </c>
      <c r="B28" s="213" t="s">
        <v>641</v>
      </c>
      <c r="C28" s="214" t="n">
        <v>170000</v>
      </c>
      <c r="D28" s="214" t="n">
        <f aca="false">C28/12</f>
        <v>14166.6666666667</v>
      </c>
      <c r="E28" s="215" t="n">
        <v>2</v>
      </c>
      <c r="F28" s="213" t="s">
        <v>615</v>
      </c>
      <c r="G28" s="215" t="s">
        <v>568</v>
      </c>
      <c r="H28" s="216" t="n">
        <v>0</v>
      </c>
      <c r="I28" s="216" t="n">
        <v>0</v>
      </c>
      <c r="J28" s="213" t="s">
        <v>630</v>
      </c>
      <c r="K28" s="215"/>
      <c r="L28" s="213" t="s">
        <v>617</v>
      </c>
      <c r="M28" s="213"/>
      <c r="N28" s="213"/>
      <c r="O28" s="213" t="s">
        <v>615</v>
      </c>
      <c r="P28" s="213" t="s">
        <v>642</v>
      </c>
      <c r="Q28" s="1" t="s">
        <v>568</v>
      </c>
    </row>
    <row r="29" customFormat="false" ht="13.5" hidden="false" customHeight="true" outlineLevel="0" collapsed="false">
      <c r="A29" s="110" t="s">
        <v>650</v>
      </c>
      <c r="B29" s="110" t="s">
        <v>641</v>
      </c>
      <c r="C29" s="211" t="n">
        <v>170000</v>
      </c>
      <c r="D29" s="211" t="n">
        <f aca="false">C29/12</f>
        <v>14166.6666666667</v>
      </c>
      <c r="E29" s="182" t="n">
        <v>4</v>
      </c>
      <c r="F29" s="110" t="s">
        <v>615</v>
      </c>
      <c r="G29" s="182" t="s">
        <v>568</v>
      </c>
      <c r="H29" s="212" t="n">
        <v>0</v>
      </c>
      <c r="I29" s="212" t="n">
        <v>0</v>
      </c>
      <c r="J29" s="110" t="s">
        <v>630</v>
      </c>
      <c r="K29" s="182"/>
      <c r="L29" s="110" t="s">
        <v>617</v>
      </c>
      <c r="M29" s="110"/>
      <c r="N29" s="110"/>
      <c r="O29" s="110" t="s">
        <v>615</v>
      </c>
      <c r="P29" s="110" t="s">
        <v>642</v>
      </c>
      <c r="Q29" s="1" t="s">
        <v>568</v>
      </c>
    </row>
    <row r="30" customFormat="false" ht="13.5" hidden="false" customHeight="true" outlineLevel="0" collapsed="false">
      <c r="A30" s="213" t="s">
        <v>651</v>
      </c>
      <c r="B30" s="213" t="s">
        <v>641</v>
      </c>
      <c r="C30" s="214" t="n">
        <v>130000</v>
      </c>
      <c r="D30" s="214" t="n">
        <f aca="false">C30/12</f>
        <v>10833.3333333333</v>
      </c>
      <c r="E30" s="215" t="n">
        <v>5</v>
      </c>
      <c r="F30" s="213" t="s">
        <v>615</v>
      </c>
      <c r="G30" s="215" t="s">
        <v>568</v>
      </c>
      <c r="H30" s="216" t="n">
        <v>0</v>
      </c>
      <c r="I30" s="216" t="n">
        <v>0</v>
      </c>
      <c r="J30" s="213" t="s">
        <v>630</v>
      </c>
      <c r="K30" s="215"/>
      <c r="L30" s="213" t="s">
        <v>617</v>
      </c>
      <c r="M30" s="213"/>
      <c r="N30" s="213"/>
      <c r="O30" s="213" t="s">
        <v>615</v>
      </c>
      <c r="P30" s="213" t="s">
        <v>642</v>
      </c>
      <c r="Q30" s="1" t="s">
        <v>568</v>
      </c>
    </row>
    <row r="31" customFormat="false" ht="13.5" hidden="false" customHeight="true" outlineLevel="0" collapsed="false">
      <c r="A31" s="110" t="s">
        <v>652</v>
      </c>
      <c r="B31" s="110" t="s">
        <v>641</v>
      </c>
      <c r="C31" s="211" t="n">
        <v>160000</v>
      </c>
      <c r="D31" s="211" t="n">
        <f aca="false">C31/12</f>
        <v>13333.3333333333</v>
      </c>
      <c r="E31" s="182" t="n">
        <v>6</v>
      </c>
      <c r="F31" s="110" t="s">
        <v>615</v>
      </c>
      <c r="G31" s="182" t="s">
        <v>568</v>
      </c>
      <c r="H31" s="212" t="n">
        <v>0</v>
      </c>
      <c r="I31" s="212" t="n">
        <v>0</v>
      </c>
      <c r="J31" s="110" t="s">
        <v>630</v>
      </c>
      <c r="K31" s="182"/>
      <c r="L31" s="110" t="s">
        <v>617</v>
      </c>
      <c r="M31" s="110" t="s">
        <v>15</v>
      </c>
      <c r="N31" s="110" t="s">
        <v>653</v>
      </c>
      <c r="O31" s="110" t="s">
        <v>615</v>
      </c>
      <c r="P31" s="110" t="s">
        <v>642</v>
      </c>
      <c r="Q31" s="1" t="s">
        <v>567</v>
      </c>
    </row>
    <row r="32" customFormat="false" ht="13.5" hidden="false" customHeight="true" outlineLevel="0" collapsed="false">
      <c r="A32" s="213" t="s">
        <v>654</v>
      </c>
      <c r="B32" s="213" t="s">
        <v>655</v>
      </c>
      <c r="C32" s="214" t="n">
        <v>75000</v>
      </c>
      <c r="D32" s="214" t="n">
        <f aca="false">C32/12</f>
        <v>6250</v>
      </c>
      <c r="E32" s="215" t="n">
        <v>1</v>
      </c>
      <c r="F32" s="213" t="s">
        <v>615</v>
      </c>
      <c r="G32" s="215" t="s">
        <v>568</v>
      </c>
      <c r="H32" s="216" t="n">
        <v>0</v>
      </c>
      <c r="I32" s="216" t="n">
        <v>0</v>
      </c>
      <c r="J32" s="213" t="s">
        <v>630</v>
      </c>
      <c r="K32" s="215"/>
      <c r="L32" s="213" t="s">
        <v>617</v>
      </c>
      <c r="M32" s="213"/>
      <c r="N32" s="213"/>
      <c r="O32" s="213" t="s">
        <v>615</v>
      </c>
      <c r="P32" s="213" t="s">
        <v>637</v>
      </c>
      <c r="Q32" s="1" t="s">
        <v>568</v>
      </c>
    </row>
    <row r="33" customFormat="false" ht="13.5" hidden="false" customHeight="true" outlineLevel="0" collapsed="false">
      <c r="A33" s="110" t="s">
        <v>656</v>
      </c>
      <c r="B33" s="110" t="s">
        <v>636</v>
      </c>
      <c r="C33" s="211" t="n">
        <v>105000</v>
      </c>
      <c r="D33" s="211" t="n">
        <f aca="false">C33/12</f>
        <v>8750</v>
      </c>
      <c r="E33" s="182" t="n">
        <v>3</v>
      </c>
      <c r="F33" s="110" t="s">
        <v>615</v>
      </c>
      <c r="G33" s="182" t="s">
        <v>568</v>
      </c>
      <c r="H33" s="212" t="n">
        <v>0</v>
      </c>
      <c r="I33" s="212" t="n">
        <v>0</v>
      </c>
      <c r="J33" s="110" t="s">
        <v>630</v>
      </c>
      <c r="K33" s="182"/>
      <c r="L33" s="110" t="s">
        <v>617</v>
      </c>
      <c r="M33" s="110"/>
      <c r="N33" s="110"/>
      <c r="O33" s="110" t="s">
        <v>615</v>
      </c>
      <c r="P33" s="110" t="s">
        <v>637</v>
      </c>
      <c r="Q33" s="1" t="s">
        <v>568</v>
      </c>
    </row>
    <row r="34" customFormat="false" ht="13.5" hidden="false" customHeight="true" outlineLevel="0" collapsed="false">
      <c r="A34" s="213" t="s">
        <v>657</v>
      </c>
      <c r="B34" s="213" t="s">
        <v>658</v>
      </c>
      <c r="C34" s="214" t="n">
        <v>62400</v>
      </c>
      <c r="D34" s="214" t="n">
        <f aca="false">C34/12</f>
        <v>5200</v>
      </c>
      <c r="E34" s="215" t="n">
        <v>1</v>
      </c>
      <c r="F34" s="213" t="s">
        <v>615</v>
      </c>
      <c r="G34" s="215" t="s">
        <v>568</v>
      </c>
      <c r="H34" s="216" t="n">
        <v>0</v>
      </c>
      <c r="I34" s="216" t="n">
        <v>0</v>
      </c>
      <c r="J34" s="213" t="s">
        <v>630</v>
      </c>
      <c r="K34" s="215"/>
      <c r="L34" s="213" t="s">
        <v>617</v>
      </c>
      <c r="M34" s="213"/>
      <c r="N34" s="213"/>
      <c r="O34" s="213" t="s">
        <v>615</v>
      </c>
      <c r="P34" s="213" t="s">
        <v>659</v>
      </c>
      <c r="Q34" s="1" t="s">
        <v>568</v>
      </c>
    </row>
    <row r="35" customFormat="false" ht="13.5" hidden="false" customHeight="true" outlineLevel="0" collapsed="false">
      <c r="A35" s="110" t="s">
        <v>660</v>
      </c>
      <c r="B35" s="110" t="s">
        <v>661</v>
      </c>
      <c r="C35" s="211" t="n">
        <v>115000</v>
      </c>
      <c r="D35" s="211" t="n">
        <f aca="false">C35/12</f>
        <v>9583.33333333333</v>
      </c>
      <c r="E35" s="182" t="n">
        <v>1</v>
      </c>
      <c r="F35" s="110" t="s">
        <v>615</v>
      </c>
      <c r="G35" s="182" t="s">
        <v>568</v>
      </c>
      <c r="H35" s="212" t="n">
        <v>0</v>
      </c>
      <c r="I35" s="212" t="n">
        <v>0</v>
      </c>
      <c r="J35" s="110" t="s">
        <v>630</v>
      </c>
      <c r="K35" s="182"/>
      <c r="L35" s="110" t="s">
        <v>617</v>
      </c>
      <c r="M35" s="110"/>
      <c r="N35" s="110"/>
      <c r="O35" s="110" t="s">
        <v>615</v>
      </c>
      <c r="P35" s="110" t="s">
        <v>662</v>
      </c>
      <c r="Q35" s="1" t="s">
        <v>568</v>
      </c>
    </row>
    <row r="36" customFormat="false" ht="13.5" hidden="false" customHeight="true" outlineLevel="0" collapsed="false">
      <c r="A36" s="213" t="s">
        <v>663</v>
      </c>
      <c r="B36" s="213" t="s">
        <v>664</v>
      </c>
      <c r="C36" s="214" t="n">
        <v>69992</v>
      </c>
      <c r="D36" s="214" t="n">
        <f aca="false">C36/12</f>
        <v>5832.66666666667</v>
      </c>
      <c r="E36" s="215" t="n">
        <v>1</v>
      </c>
      <c r="F36" s="213" t="s">
        <v>615</v>
      </c>
      <c r="G36" s="215" t="s">
        <v>568</v>
      </c>
      <c r="H36" s="216" t="n">
        <v>0</v>
      </c>
      <c r="I36" s="216" t="n">
        <v>0</v>
      </c>
      <c r="J36" s="213" t="s">
        <v>630</v>
      </c>
      <c r="K36" s="215"/>
      <c r="L36" s="213" t="s">
        <v>617</v>
      </c>
      <c r="M36" s="213"/>
      <c r="N36" s="213"/>
      <c r="O36" s="213" t="s">
        <v>615</v>
      </c>
      <c r="P36" s="213" t="s">
        <v>665</v>
      </c>
      <c r="Q36" s="1" t="s">
        <v>568</v>
      </c>
    </row>
    <row r="37" customFormat="false" ht="13.5" hidden="false" customHeight="true" outlineLevel="0" collapsed="false">
      <c r="A37" s="110" t="s">
        <v>666</v>
      </c>
      <c r="B37" s="110" t="s">
        <v>664</v>
      </c>
      <c r="C37" s="211" t="n">
        <v>52000</v>
      </c>
      <c r="D37" s="211" t="n">
        <f aca="false">C37/12</f>
        <v>4333.33333333333</v>
      </c>
      <c r="E37" s="182" t="n">
        <v>1</v>
      </c>
      <c r="F37" s="110" t="s">
        <v>615</v>
      </c>
      <c r="G37" s="182" t="s">
        <v>568</v>
      </c>
      <c r="H37" s="212" t="n">
        <v>0</v>
      </c>
      <c r="I37" s="212" t="n">
        <v>0</v>
      </c>
      <c r="J37" s="110" t="s">
        <v>630</v>
      </c>
      <c r="K37" s="182"/>
      <c r="L37" s="110" t="s">
        <v>617</v>
      </c>
      <c r="M37" s="110"/>
      <c r="N37" s="110"/>
      <c r="O37" s="110" t="s">
        <v>615</v>
      </c>
      <c r="P37" s="110" t="s">
        <v>665</v>
      </c>
      <c r="Q37" s="1" t="s">
        <v>568</v>
      </c>
    </row>
    <row r="38" customFormat="false" ht="13.5" hidden="false" customHeight="true" outlineLevel="0" collapsed="false">
      <c r="A38" s="213" t="s">
        <v>667</v>
      </c>
      <c r="B38" s="213" t="s">
        <v>668</v>
      </c>
      <c r="C38" s="214" t="n">
        <v>43680</v>
      </c>
      <c r="D38" s="214" t="n">
        <f aca="false">C38/12</f>
        <v>3640</v>
      </c>
      <c r="E38" s="215" t="n">
        <v>1</v>
      </c>
      <c r="F38" s="213" t="s">
        <v>615</v>
      </c>
      <c r="G38" s="215" t="s">
        <v>568</v>
      </c>
      <c r="H38" s="216" t="n">
        <v>0</v>
      </c>
      <c r="I38" s="216" t="n">
        <v>0</v>
      </c>
      <c r="J38" s="213" t="s">
        <v>630</v>
      </c>
      <c r="K38" s="215"/>
      <c r="L38" s="213" t="s">
        <v>617</v>
      </c>
      <c r="M38" s="213"/>
      <c r="N38" s="213"/>
      <c r="O38" s="213" t="s">
        <v>615</v>
      </c>
      <c r="P38" s="213" t="s">
        <v>665</v>
      </c>
      <c r="Q38" s="1" t="s">
        <v>568</v>
      </c>
    </row>
    <row r="40" customFormat="false" ht="13.5" hidden="false" customHeight="true" outlineLevel="0" collapsed="false">
      <c r="A40" s="209" t="s">
        <v>669</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10" t="s">
        <v>670</v>
      </c>
      <c r="B41" s="110" t="s">
        <v>644</v>
      </c>
      <c r="C41" s="211" t="n">
        <v>90000</v>
      </c>
      <c r="D41" s="211" t="n">
        <f aca="false">C41/12</f>
        <v>7500</v>
      </c>
      <c r="E41" s="182" t="n">
        <v>10</v>
      </c>
      <c r="F41" s="110" t="s">
        <v>615</v>
      </c>
      <c r="G41" s="182" t="s">
        <v>568</v>
      </c>
      <c r="H41" s="212" t="n">
        <v>0</v>
      </c>
      <c r="I41" s="212" t="n">
        <v>0</v>
      </c>
      <c r="J41" s="110" t="s">
        <v>630</v>
      </c>
      <c r="K41" s="182"/>
      <c r="L41" s="110" t="s">
        <v>671</v>
      </c>
      <c r="M41" s="110" t="s">
        <v>672</v>
      </c>
      <c r="N41" s="110" t="s">
        <v>673</v>
      </c>
      <c r="O41" s="110" t="s">
        <v>615</v>
      </c>
      <c r="P41" s="110" t="s">
        <v>645</v>
      </c>
      <c r="Q41" s="1" t="s">
        <v>568</v>
      </c>
    </row>
    <row r="43" customFormat="false" ht="13.5" hidden="false" customHeight="true" outlineLevel="0" collapsed="false">
      <c r="A43" s="209" t="s">
        <v>674</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10" t="s">
        <v>675</v>
      </c>
      <c r="B44" s="110" t="s">
        <v>676</v>
      </c>
      <c r="C44" s="211" t="n">
        <v>400000</v>
      </c>
      <c r="D44" s="211" t="n">
        <f aca="false">C44/12</f>
        <v>33333.3333333333</v>
      </c>
      <c r="E44" s="182" t="n">
        <v>1</v>
      </c>
      <c r="F44" s="110" t="s">
        <v>677</v>
      </c>
      <c r="G44" s="182" t="s">
        <v>568</v>
      </c>
      <c r="H44" s="212" t="n">
        <v>1</v>
      </c>
      <c r="I44" s="212" t="n">
        <v>0</v>
      </c>
      <c r="J44" s="110" t="s">
        <v>678</v>
      </c>
      <c r="K44" s="182"/>
      <c r="L44" s="110" t="s">
        <v>617</v>
      </c>
      <c r="M44" s="110"/>
      <c r="N44" s="110"/>
      <c r="O44" s="110" t="s">
        <v>679</v>
      </c>
      <c r="P44" s="110" t="s">
        <v>678</v>
      </c>
      <c r="Q44" s="1" t="s">
        <v>568</v>
      </c>
    </row>
    <row r="45" customFormat="false" ht="13.5" hidden="false" customHeight="true" outlineLevel="0" collapsed="false">
      <c r="A45" s="213" t="s">
        <v>680</v>
      </c>
      <c r="B45" s="213" t="s">
        <v>676</v>
      </c>
      <c r="C45" s="214" t="n">
        <v>400000</v>
      </c>
      <c r="D45" s="214" t="n">
        <f aca="false">C45/12</f>
        <v>33333.3333333333</v>
      </c>
      <c r="E45" s="215" t="n">
        <v>1</v>
      </c>
      <c r="F45" s="213" t="s">
        <v>677</v>
      </c>
      <c r="G45" s="215" t="s">
        <v>568</v>
      </c>
      <c r="H45" s="216" t="n">
        <v>1</v>
      </c>
      <c r="I45" s="216" t="n">
        <v>0</v>
      </c>
      <c r="J45" s="213" t="s">
        <v>678</v>
      </c>
      <c r="K45" s="215"/>
      <c r="L45" s="213" t="s">
        <v>617</v>
      </c>
      <c r="M45" s="213"/>
      <c r="N45" s="213"/>
      <c r="O45" s="213" t="s">
        <v>679</v>
      </c>
      <c r="P45" s="213" t="s">
        <v>678</v>
      </c>
      <c r="Q45" s="1" t="s">
        <v>568</v>
      </c>
    </row>
    <row r="46" customFormat="false" ht="13.5" hidden="false" customHeight="true" outlineLevel="0" collapsed="false">
      <c r="A46" s="110" t="s">
        <v>681</v>
      </c>
      <c r="B46" s="110" t="s">
        <v>682</v>
      </c>
      <c r="C46" s="211" t="n">
        <v>222000</v>
      </c>
      <c r="D46" s="211" t="n">
        <f aca="false">C46/12</f>
        <v>18500</v>
      </c>
      <c r="E46" s="182" t="n">
        <v>1</v>
      </c>
      <c r="F46" s="110" t="s">
        <v>677</v>
      </c>
      <c r="G46" s="182" t="s">
        <v>568</v>
      </c>
      <c r="H46" s="212" t="n">
        <v>1</v>
      </c>
      <c r="I46" s="212" t="n">
        <v>0</v>
      </c>
      <c r="J46" s="110" t="s">
        <v>678</v>
      </c>
      <c r="K46" s="182"/>
      <c r="L46" s="110" t="s">
        <v>617</v>
      </c>
      <c r="M46" s="110"/>
      <c r="N46" s="110"/>
      <c r="O46" s="110" t="s">
        <v>683</v>
      </c>
      <c r="P46" s="110" t="s">
        <v>678</v>
      </c>
      <c r="Q46" s="1" t="s">
        <v>568</v>
      </c>
    </row>
    <row r="47" customFormat="false" ht="13.5" hidden="false" customHeight="true" outlineLevel="0" collapsed="false">
      <c r="A47" s="213" t="s">
        <v>684</v>
      </c>
      <c r="B47" s="213" t="s">
        <v>685</v>
      </c>
      <c r="C47" s="214" t="n">
        <v>115000</v>
      </c>
      <c r="D47" s="214" t="n">
        <f aca="false">C47/12</f>
        <v>9583.33333333333</v>
      </c>
      <c r="E47" s="215" t="n">
        <v>1</v>
      </c>
      <c r="F47" s="213" t="s">
        <v>677</v>
      </c>
      <c r="G47" s="215" t="s">
        <v>568</v>
      </c>
      <c r="H47" s="216" t="n">
        <v>1</v>
      </c>
      <c r="I47" s="216" t="n">
        <v>0</v>
      </c>
      <c r="J47" s="213" t="s">
        <v>678</v>
      </c>
      <c r="K47" s="215"/>
      <c r="L47" s="213" t="s">
        <v>617</v>
      </c>
      <c r="M47" s="213"/>
      <c r="N47" s="213"/>
      <c r="O47" s="213" t="s">
        <v>683</v>
      </c>
      <c r="P47" s="213" t="s">
        <v>678</v>
      </c>
      <c r="Q47" s="1" t="s">
        <v>568</v>
      </c>
    </row>
    <row r="48" customFormat="false" ht="13.5" hidden="false" customHeight="true" outlineLevel="0" collapsed="false">
      <c r="A48" s="110" t="s">
        <v>686</v>
      </c>
      <c r="B48" s="110" t="s">
        <v>687</v>
      </c>
      <c r="C48" s="211" t="n">
        <v>250000</v>
      </c>
      <c r="D48" s="211" t="n">
        <f aca="false">C48/12</f>
        <v>20833.3333333333</v>
      </c>
      <c r="E48" s="182" t="n">
        <v>1</v>
      </c>
      <c r="F48" s="110" t="s">
        <v>677</v>
      </c>
      <c r="G48" s="182" t="s">
        <v>568</v>
      </c>
      <c r="H48" s="212" t="n">
        <v>0</v>
      </c>
      <c r="I48" s="212" t="n">
        <v>0</v>
      </c>
      <c r="J48" s="110" t="s">
        <v>678</v>
      </c>
      <c r="K48" s="182"/>
      <c r="L48" s="110" t="s">
        <v>617</v>
      </c>
      <c r="M48" s="110"/>
      <c r="N48" s="110"/>
      <c r="O48" s="110" t="s">
        <v>688</v>
      </c>
      <c r="P48" s="110" t="s">
        <v>678</v>
      </c>
      <c r="Q48" s="1" t="s">
        <v>568</v>
      </c>
    </row>
    <row r="49" customFormat="false" ht="13.5" hidden="false" customHeight="true" outlineLevel="0" collapsed="false">
      <c r="A49" s="213" t="s">
        <v>689</v>
      </c>
      <c r="B49" s="213" t="s">
        <v>690</v>
      </c>
      <c r="C49" s="214" t="n">
        <v>150000</v>
      </c>
      <c r="D49" s="214" t="n">
        <f aca="false">C49/12</f>
        <v>12500</v>
      </c>
      <c r="E49" s="215" t="n">
        <v>1</v>
      </c>
      <c r="F49" s="213" t="s">
        <v>677</v>
      </c>
      <c r="G49" s="215" t="s">
        <v>568</v>
      </c>
      <c r="H49" s="216" t="n">
        <v>0</v>
      </c>
      <c r="I49" s="216" t="n">
        <v>0</v>
      </c>
      <c r="J49" s="213" t="s">
        <v>678</v>
      </c>
      <c r="K49" s="215"/>
      <c r="L49" s="213" t="s">
        <v>617</v>
      </c>
      <c r="M49" s="213"/>
      <c r="N49" s="213"/>
      <c r="O49" s="213" t="s">
        <v>688</v>
      </c>
      <c r="P49" s="213" t="s">
        <v>678</v>
      </c>
      <c r="Q49" s="1" t="s">
        <v>568</v>
      </c>
    </row>
    <row r="50" customFormat="false" ht="13.5" hidden="false" customHeight="true" outlineLevel="0" collapsed="false">
      <c r="A50" s="110" t="s">
        <v>691</v>
      </c>
      <c r="B50" s="110" t="s">
        <v>692</v>
      </c>
      <c r="C50" s="211" t="n">
        <v>250000</v>
      </c>
      <c r="D50" s="211" t="n">
        <f aca="false">C50/12</f>
        <v>20833.3333333333</v>
      </c>
      <c r="E50" s="182" t="n">
        <v>1</v>
      </c>
      <c r="F50" s="110" t="s">
        <v>677</v>
      </c>
      <c r="G50" s="182" t="s">
        <v>568</v>
      </c>
      <c r="H50" s="212" t="n">
        <v>0</v>
      </c>
      <c r="I50" s="212" t="n">
        <v>0</v>
      </c>
      <c r="J50" s="110" t="s">
        <v>678</v>
      </c>
      <c r="K50" s="182"/>
      <c r="L50" s="110" t="s">
        <v>617</v>
      </c>
      <c r="M50" s="110"/>
      <c r="N50" s="110"/>
      <c r="O50" s="110" t="s">
        <v>688</v>
      </c>
      <c r="P50" s="110" t="s">
        <v>678</v>
      </c>
      <c r="Q50" s="1" t="s">
        <v>568</v>
      </c>
    </row>
    <row r="52" customFormat="false" ht="13.5" hidden="false" customHeight="true" outlineLevel="0" collapsed="false">
      <c r="A52" s="209" t="s">
        <v>693</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10" t="s">
        <v>694</v>
      </c>
      <c r="B53" s="110" t="s">
        <v>695</v>
      </c>
      <c r="C53" s="211" t="n">
        <v>125000</v>
      </c>
      <c r="D53" s="211" t="n">
        <f aca="false">C53/12</f>
        <v>10416.6666666667</v>
      </c>
      <c r="E53" s="182" t="n">
        <v>2</v>
      </c>
      <c r="F53" s="110" t="s">
        <v>615</v>
      </c>
      <c r="G53" s="182" t="s">
        <v>568</v>
      </c>
      <c r="H53" s="212" t="n">
        <v>0</v>
      </c>
      <c r="I53" s="212" t="n">
        <v>0</v>
      </c>
      <c r="J53" s="110" t="s">
        <v>630</v>
      </c>
      <c r="K53" s="182" t="n">
        <v>4</v>
      </c>
      <c r="L53" s="110" t="s">
        <v>696</v>
      </c>
      <c r="M53" s="110"/>
      <c r="N53" s="110" t="s">
        <v>697</v>
      </c>
      <c r="O53" s="110" t="s">
        <v>615</v>
      </c>
      <c r="P53" s="110" t="s">
        <v>662</v>
      </c>
      <c r="Q53" s="1" t="s">
        <v>568</v>
      </c>
    </row>
    <row r="54" customFormat="false" ht="13.5" hidden="false" customHeight="true" outlineLevel="0" collapsed="false">
      <c r="A54" s="213" t="s">
        <v>698</v>
      </c>
      <c r="B54" s="213" t="s">
        <v>699</v>
      </c>
      <c r="C54" s="214" t="n">
        <v>110000</v>
      </c>
      <c r="D54" s="214" t="n">
        <f aca="false">C54/12</f>
        <v>9166.66666666667</v>
      </c>
      <c r="E54" s="215" t="n">
        <v>1</v>
      </c>
      <c r="F54" s="213" t="s">
        <v>615</v>
      </c>
      <c r="G54" s="215" t="s">
        <v>568</v>
      </c>
      <c r="H54" s="216" t="n">
        <v>0</v>
      </c>
      <c r="I54" s="216" t="n">
        <v>0</v>
      </c>
      <c r="J54" s="213" t="s">
        <v>630</v>
      </c>
      <c r="K54" s="215" t="n">
        <v>4</v>
      </c>
      <c r="L54" s="213" t="s">
        <v>696</v>
      </c>
      <c r="M54" s="213"/>
      <c r="N54" s="213" t="s">
        <v>697</v>
      </c>
      <c r="O54" s="213" t="s">
        <v>615</v>
      </c>
      <c r="P54" s="213" t="s">
        <v>642</v>
      </c>
      <c r="Q54" s="1" t="s">
        <v>568</v>
      </c>
    </row>
    <row r="56" customFormat="false" ht="13.5" hidden="false" customHeight="true" outlineLevel="0" collapsed="false">
      <c r="A56" s="209" t="s">
        <v>700</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701</v>
      </c>
      <c r="B57" s="213" t="s">
        <v>636</v>
      </c>
      <c r="C57" s="214" t="n">
        <v>120000</v>
      </c>
      <c r="D57" s="214" t="n">
        <f aca="false">C57/12</f>
        <v>10000</v>
      </c>
      <c r="E57" s="215" t="n">
        <v>5</v>
      </c>
      <c r="F57" s="213" t="s">
        <v>615</v>
      </c>
      <c r="G57" s="215" t="s">
        <v>568</v>
      </c>
      <c r="H57" s="216" t="n">
        <v>0</v>
      </c>
      <c r="I57" s="216" t="n">
        <v>0</v>
      </c>
      <c r="J57" s="213" t="s">
        <v>630</v>
      </c>
      <c r="K57" s="215"/>
      <c r="L57" s="213" t="s">
        <v>617</v>
      </c>
      <c r="M57" s="213"/>
      <c r="N57" s="213" t="s">
        <v>702</v>
      </c>
      <c r="O57" s="213" t="s">
        <v>615</v>
      </c>
      <c r="P57" s="213" t="s">
        <v>637</v>
      </c>
      <c r="Q57" s="1" t="s">
        <v>567</v>
      </c>
    </row>
    <row r="58" customFormat="false" ht="13.5" hidden="false" customHeight="true" outlineLevel="0" collapsed="false">
      <c r="A58" s="213" t="s">
        <v>703</v>
      </c>
      <c r="B58" s="213" t="s">
        <v>661</v>
      </c>
      <c r="C58" s="214" t="n">
        <v>125000</v>
      </c>
      <c r="D58" s="214" t="n">
        <f aca="false">C58/12</f>
        <v>10416.6666666667</v>
      </c>
      <c r="E58" s="215" t="n">
        <v>6</v>
      </c>
      <c r="F58" s="213" t="s">
        <v>615</v>
      </c>
      <c r="G58" s="215" t="s">
        <v>568</v>
      </c>
      <c r="H58" s="216" t="n">
        <v>0</v>
      </c>
      <c r="I58" s="216" t="n">
        <v>0</v>
      </c>
      <c r="J58" s="213" t="s">
        <v>630</v>
      </c>
      <c r="K58" s="215"/>
      <c r="L58" s="213" t="s">
        <v>617</v>
      </c>
      <c r="M58" s="213"/>
      <c r="N58" s="213" t="s">
        <v>702</v>
      </c>
      <c r="O58" s="213" t="s">
        <v>615</v>
      </c>
      <c r="P58" s="213" t="s">
        <v>662</v>
      </c>
      <c r="Q58" s="1" t="s">
        <v>567</v>
      </c>
    </row>
    <row r="59" customFormat="false" ht="13.5" hidden="false" customHeight="true" outlineLevel="0" collapsed="false">
      <c r="A59" s="110"/>
      <c r="B59" s="110"/>
      <c r="C59" s="211"/>
      <c r="D59" s="211"/>
      <c r="E59" s="182"/>
      <c r="F59" s="110"/>
      <c r="G59" s="182"/>
      <c r="H59" s="212"/>
      <c r="I59" s="212"/>
      <c r="J59" s="110"/>
      <c r="K59" s="182"/>
      <c r="L59" s="110"/>
      <c r="M59" s="110"/>
      <c r="N59" s="110"/>
      <c r="O59" s="110"/>
      <c r="P59" s="110"/>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10"/>
      <c r="B61" s="110"/>
      <c r="C61" s="211"/>
      <c r="D61" s="211"/>
      <c r="E61" s="182"/>
      <c r="F61" s="110"/>
      <c r="G61" s="182"/>
      <c r="H61" s="212"/>
      <c r="I61" s="212"/>
      <c r="J61" s="110"/>
      <c r="K61" s="182"/>
      <c r="L61" s="110"/>
      <c r="M61" s="110"/>
      <c r="N61" s="110"/>
      <c r="O61" s="110"/>
      <c r="P61" s="110"/>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10"/>
      <c r="B63" s="110"/>
      <c r="C63" s="211"/>
      <c r="D63" s="211"/>
      <c r="E63" s="182"/>
      <c r="F63" s="110"/>
      <c r="G63" s="182"/>
      <c r="H63" s="212"/>
      <c r="I63" s="212"/>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704</v>
      </c>
    </row>
    <row r="2" customFormat="false" ht="15" hidden="false" customHeight="true" outlineLevel="0" collapsed="false">
      <c r="A2" s="90" t="s">
        <v>552</v>
      </c>
      <c r="B2" s="97" t="s">
        <v>568</v>
      </c>
    </row>
    <row r="4" customFormat="false" ht="15" hidden="false" customHeight="true" outlineLevel="0" collapsed="false">
      <c r="A4" s="189" t="s">
        <v>705</v>
      </c>
      <c r="B4" s="189"/>
      <c r="C4" s="189"/>
      <c r="D4" s="189"/>
      <c r="E4" s="189"/>
      <c r="F4" s="189"/>
      <c r="G4" s="189"/>
      <c r="H4" s="189"/>
      <c r="I4" s="189"/>
      <c r="J4" s="189"/>
      <c r="K4" s="189"/>
    </row>
    <row r="5" customFormat="false" ht="15" hidden="false" customHeight="true" outlineLevel="0" collapsed="false">
      <c r="A5" s="90" t="s">
        <v>706</v>
      </c>
      <c r="B5" s="90" t="s">
        <v>704</v>
      </c>
    </row>
    <row r="6" customFormat="false" ht="15" hidden="false" customHeight="true" outlineLevel="0" collapsed="false">
      <c r="A6" s="90" t="s">
        <v>707</v>
      </c>
      <c r="B6" s="90" t="s">
        <v>708</v>
      </c>
    </row>
    <row r="7" customFormat="false" ht="15" hidden="false" customHeight="true" outlineLevel="0" collapsed="false">
      <c r="A7" s="90" t="s">
        <v>709</v>
      </c>
      <c r="B7" s="217" t="n">
        <v>60</v>
      </c>
    </row>
    <row r="8" customFormat="false" ht="15" hidden="false" customHeight="true" outlineLevel="0" collapsed="false">
      <c r="A8" s="90" t="s">
        <v>710</v>
      </c>
      <c r="B8" s="90" t="s">
        <v>711</v>
      </c>
    </row>
    <row r="9" customFormat="false" ht="15" hidden="false" customHeight="true" outlineLevel="0" collapsed="false">
      <c r="A9" s="90" t="s">
        <v>712</v>
      </c>
      <c r="B9" s="218" t="n">
        <v>1400000</v>
      </c>
    </row>
    <row r="10" customFormat="false" ht="15" hidden="false" customHeight="true" outlineLevel="0" collapsed="false">
      <c r="A10" s="90" t="s">
        <v>713</v>
      </c>
      <c r="B10" s="218" t="n">
        <v>1609391</v>
      </c>
    </row>
    <row r="11" customFormat="false" ht="15" hidden="false" customHeight="true" outlineLevel="0" collapsed="false">
      <c r="A11" s="90" t="s">
        <v>714</v>
      </c>
      <c r="B11" s="218" t="n">
        <v>3419763</v>
      </c>
    </row>
    <row r="12" customFormat="false" ht="15" hidden="false" customHeight="true" outlineLevel="0" collapsed="false">
      <c r="A12" s="90" t="s">
        <v>561</v>
      </c>
      <c r="B12" s="219" t="n">
        <f aca="false">B16</f>
        <v>9009665</v>
      </c>
    </row>
    <row r="14" customFormat="false" ht="15" hidden="false" customHeight="true" outlineLevel="0" collapsed="false">
      <c r="A14" s="220" t="s">
        <v>715</v>
      </c>
      <c r="B14" s="220"/>
      <c r="C14" s="220"/>
      <c r="D14" s="220"/>
      <c r="E14" s="220"/>
      <c r="F14" s="220"/>
      <c r="G14" s="220"/>
      <c r="H14" s="220"/>
      <c r="I14" s="220"/>
      <c r="J14" s="220"/>
      <c r="K14" s="220"/>
    </row>
    <row r="15" customFormat="false" ht="15" hidden="false" customHeight="true" outlineLevel="0" collapsed="false">
      <c r="B15" s="221" t="s">
        <v>472</v>
      </c>
      <c r="C15" s="221" t="s">
        <v>268</v>
      </c>
      <c r="D15" s="221" t="s">
        <v>269</v>
      </c>
      <c r="E15" s="221" t="s">
        <v>270</v>
      </c>
      <c r="F15" s="221" t="s">
        <v>271</v>
      </c>
      <c r="G15" s="221" t="s">
        <v>272</v>
      </c>
      <c r="H15" s="221" t="s">
        <v>273</v>
      </c>
      <c r="I15" s="221" t="s">
        <v>274</v>
      </c>
      <c r="J15" s="221" t="s">
        <v>275</v>
      </c>
    </row>
    <row r="16" customFormat="false" ht="15" hidden="false" customHeight="true" outlineLevel="0" collapsed="false">
      <c r="A16" s="90" t="s">
        <v>561</v>
      </c>
      <c r="B16" s="219" t="n">
        <f aca="false">C16+D16+E16+F16+G16+H16+I16+J16</f>
        <v>9009665</v>
      </c>
      <c r="C16" s="218" t="n">
        <f aca="false">SUM(C99:K99)</f>
        <v>0</v>
      </c>
      <c r="D16" s="218" t="n">
        <f aca="false">SUM(L99:W99)</f>
        <v>560818.2</v>
      </c>
      <c r="E16" s="218" t="n">
        <f aca="false">SUM(X99:AI99)</f>
        <v>3251765.36</v>
      </c>
      <c r="F16" s="218" t="n">
        <f aca="false">SUM(AJ99:AU99)</f>
        <v>2911623.7</v>
      </c>
      <c r="G16" s="218" t="n">
        <f aca="false">SUM(AV99:BG99)</f>
        <v>1523048.59</v>
      </c>
      <c r="H16" s="218" t="n">
        <f aca="false">SUM(BH99:BS99)</f>
        <v>762409.15</v>
      </c>
      <c r="I16" s="218" t="n">
        <f aca="false">SUM(BT99:CE99)</f>
        <v>0</v>
      </c>
      <c r="J16" s="218" t="n">
        <f aca="false">SUM(CF99:CH99)</f>
        <v>0</v>
      </c>
    </row>
    <row r="17" customFormat="false" ht="15" hidden="false" customHeight="true" outlineLevel="0" collapsed="false">
      <c r="A17" s="90" t="s">
        <v>716</v>
      </c>
      <c r="B17" s="219" t="n">
        <f aca="false">C17+D17+E17+F17+G17+H17+I17+J17</f>
        <v>-1500039</v>
      </c>
      <c r="C17" s="218" t="n">
        <f aca="false">SUM(C100:K100)</f>
        <v>0</v>
      </c>
      <c r="D17" s="218" t="n">
        <f aca="false">SUM(L100:W100)</f>
        <v>-120836</v>
      </c>
      <c r="E17" s="218" t="n">
        <f aca="false">SUM(X100:AI100)</f>
        <v>-366676</v>
      </c>
      <c r="F17" s="218" t="n">
        <f aca="false">SUM(AJ100:AU100)</f>
        <v>-450012</v>
      </c>
      <c r="G17" s="218" t="n">
        <f aca="false">SUM(AV100:BG100)</f>
        <v>-450012</v>
      </c>
      <c r="H17" s="218" t="n">
        <f aca="false">SUM(BH100:BS100)</f>
        <v>-112503</v>
      </c>
      <c r="I17" s="218" t="n">
        <f aca="false">SUM(BT100:CE100)</f>
        <v>0</v>
      </c>
      <c r="J17" s="218" t="n">
        <f aca="false">SUM(CF100:CH100)</f>
        <v>0</v>
      </c>
    </row>
    <row r="18" customFormat="false" ht="15" hidden="false" customHeight="true" outlineLevel="0" collapsed="false">
      <c r="A18" s="90" t="s">
        <v>717</v>
      </c>
      <c r="B18" s="219" t="n">
        <f aca="false">C18+D18+E18+F18+G18+H18+I18+J18</f>
        <v>-456000</v>
      </c>
      <c r="C18" s="218" t="n">
        <f aca="false">SUM(C101:K101)</f>
        <v>0</v>
      </c>
      <c r="D18" s="218" t="n">
        <f aca="false">SUM(L101:W101)</f>
        <v>-85500</v>
      </c>
      <c r="E18" s="218" t="n">
        <f aca="false">SUM(X101:AI101)</f>
        <v>-114000</v>
      </c>
      <c r="F18" s="218" t="n">
        <f aca="false">SUM(AJ101:AU101)</f>
        <v>-114000</v>
      </c>
      <c r="G18" s="218" t="n">
        <f aca="false">SUM(AV101:BG101)</f>
        <v>-114000</v>
      </c>
      <c r="H18" s="218" t="n">
        <f aca="false">SUM(BH101:BS101)</f>
        <v>-28500</v>
      </c>
      <c r="I18" s="218" t="n">
        <f aca="false">SUM(BT101:CE101)</f>
        <v>0</v>
      </c>
      <c r="J18" s="218" t="n">
        <f aca="false">SUM(CF101:CH101)</f>
        <v>0</v>
      </c>
    </row>
    <row r="19" customFormat="false" ht="15" hidden="false" customHeight="true" outlineLevel="0" collapsed="false">
      <c r="A19" s="222" t="s">
        <v>718</v>
      </c>
      <c r="B19" s="223" t="n">
        <f aca="false">C19+D19+E19+F19+G19+H19+I19+J19</f>
        <v>7053626</v>
      </c>
      <c r="C19" s="223" t="n">
        <f aca="false">SUM(C102:K102)</f>
        <v>0</v>
      </c>
      <c r="D19" s="223" t="n">
        <f aca="false">SUM(L102:W102)</f>
        <v>354482.2</v>
      </c>
      <c r="E19" s="223" t="n">
        <f aca="false">SUM(X102:AI102)</f>
        <v>2771089.36</v>
      </c>
      <c r="F19" s="223" t="n">
        <f aca="false">SUM(AJ102:AU102)</f>
        <v>2347611.7</v>
      </c>
      <c r="G19" s="223" t="n">
        <f aca="false">SUM(AV102:BG102)</f>
        <v>959036.59</v>
      </c>
      <c r="H19" s="223" t="n">
        <f aca="false">SUM(BH102:BS102)</f>
        <v>621406.15</v>
      </c>
      <c r="I19" s="223" t="n">
        <f aca="false">SUM(BT102:CE102)</f>
        <v>0</v>
      </c>
      <c r="J19" s="223" t="n">
        <f aca="false">SUM(CF102:CH102)</f>
        <v>0</v>
      </c>
    </row>
    <row r="20" customFormat="false" ht="15" hidden="false" customHeight="true" outlineLevel="0" collapsed="false">
      <c r="A20" s="90" t="s">
        <v>719</v>
      </c>
      <c r="B20" s="219" t="n">
        <f aca="false">C20+D20+E20+F20+G20+H20+I20+J20</f>
        <v>563192.617</v>
      </c>
      <c r="C20" s="218" t="n">
        <f aca="false">SUM(C103:K103)</f>
        <v>0</v>
      </c>
      <c r="D20" s="218" t="n">
        <f aca="false">SUM(L103:W103)</f>
        <v>56081.82</v>
      </c>
      <c r="E20" s="218" t="n">
        <f aca="false">SUM(X103:AI103)</f>
        <v>150000</v>
      </c>
      <c r="F20" s="218" t="n">
        <f aca="false">SUM(AJ103:AU103)</f>
        <v>149030.827</v>
      </c>
      <c r="G20" s="218" t="n">
        <f aca="false">SUM(AV103:BG103)</f>
        <v>140675.254</v>
      </c>
      <c r="H20" s="218" t="n">
        <f aca="false">SUM(BH103:BS103)</f>
        <v>67404.716</v>
      </c>
      <c r="I20" s="218" t="n">
        <f aca="false">SUM(BT103:CE103)</f>
        <v>0</v>
      </c>
      <c r="J20" s="218" t="n">
        <f aca="false">SUM(CF103:CH103)</f>
        <v>0</v>
      </c>
    </row>
    <row r="21" customFormat="false" ht="15" hidden="false" customHeight="true" outlineLevel="0" collapsed="false">
      <c r="A21" s="222" t="s">
        <v>720</v>
      </c>
      <c r="B21" s="223" t="n">
        <f aca="false">C21+D21+E21+F21+G21+H21+I21+J21</f>
        <v>6490433.383</v>
      </c>
      <c r="C21" s="223" t="n">
        <f aca="false">SUM(C104:K104)</f>
        <v>0</v>
      </c>
      <c r="D21" s="223" t="n">
        <f aca="false">SUM(L104:W104)</f>
        <v>298400.38</v>
      </c>
      <c r="E21" s="223" t="n">
        <f aca="false">SUM(X104:AI104)</f>
        <v>2621089.36</v>
      </c>
      <c r="F21" s="223" t="n">
        <f aca="false">SUM(AJ104:AU104)</f>
        <v>2198580.873</v>
      </c>
      <c r="G21" s="223" t="n">
        <f aca="false">SUM(AV104:BG104)</f>
        <v>818361.336</v>
      </c>
      <c r="H21" s="223" t="n">
        <f aca="false">SUM(BH104:BS104)</f>
        <v>554001.434</v>
      </c>
      <c r="I21" s="223" t="n">
        <f aca="false">SUM(BT104:CE104)</f>
        <v>0</v>
      </c>
      <c r="J21" s="223" t="n">
        <f aca="false">SUM(CF104:CH104)</f>
        <v>0</v>
      </c>
    </row>
    <row r="22" customFormat="false" ht="15" hidden="false" customHeight="true" outlineLevel="0" collapsed="false">
      <c r="A22" s="90" t="s">
        <v>721</v>
      </c>
      <c r="B22" s="219" t="n">
        <f aca="false">C22+D22+E22+F22+G22+H22+I22+J22</f>
        <v>2951665.926</v>
      </c>
      <c r="C22" s="218" t="n">
        <f aca="false">SUM(C105:K105)</f>
        <v>0</v>
      </c>
      <c r="D22" s="218" t="n">
        <f aca="false">SUM(L105:W105)</f>
        <v>119360.152</v>
      </c>
      <c r="E22" s="218" t="n">
        <f aca="false">SUM(X105:AI105)</f>
        <v>1130206.6955</v>
      </c>
      <c r="F22" s="218" t="n">
        <f aca="false">SUM(AJ105:AU105)</f>
        <v>1015917.6935</v>
      </c>
      <c r="G22" s="218" t="n">
        <f aca="false">SUM(AV105:BG105)</f>
        <v>409180.668</v>
      </c>
      <c r="H22" s="218" t="n">
        <f aca="false">SUM(BH105:BS105)</f>
        <v>277000.717</v>
      </c>
      <c r="I22" s="218" t="n">
        <f aca="false">SUM(BT105:CE105)</f>
        <v>0</v>
      </c>
      <c r="J22" s="218" t="n">
        <f aca="false">SUM(CF105:CH105)</f>
        <v>0</v>
      </c>
    </row>
    <row r="23" customFormat="false" ht="15" hidden="false" customHeight="true" outlineLevel="0" collapsed="false">
      <c r="A23" s="90" t="s">
        <v>722</v>
      </c>
      <c r="B23" s="219" t="n">
        <f aca="false">C23+D23+E23+F23+G23+H23+I23+J23</f>
        <v>3538767.457</v>
      </c>
      <c r="C23" s="218" t="n">
        <f aca="false">SUM(C106:K106)</f>
        <v>0</v>
      </c>
      <c r="D23" s="218" t="n">
        <f aca="false">SUM(L106:W106)</f>
        <v>179040.228</v>
      </c>
      <c r="E23" s="218" t="n">
        <f aca="false">SUM(X106:AI106)</f>
        <v>1490882.6645</v>
      </c>
      <c r="F23" s="218" t="n">
        <f aca="false">SUM(AJ106:AU106)</f>
        <v>1182663.1795</v>
      </c>
      <c r="G23" s="218" t="n">
        <f aca="false">SUM(AV106:BG106)</f>
        <v>409180.668</v>
      </c>
      <c r="H23" s="218" t="n">
        <f aca="false">SUM(BH106:BS106)</f>
        <v>277000.717</v>
      </c>
      <c r="I23" s="218" t="n">
        <f aca="false">SUM(BT106:CE106)</f>
        <v>0</v>
      </c>
      <c r="J23" s="218" t="n">
        <f aca="false">SUM(CF106:CH106)</f>
        <v>0</v>
      </c>
    </row>
    <row r="24" customFormat="false" ht="15" hidden="false" customHeight="true" outlineLevel="0" collapsed="false">
      <c r="A24" s="224" t="s">
        <v>723</v>
      </c>
      <c r="B24" s="225" t="n">
        <f aca="false">C24+D24+E24+F24+G24+H24+I24+J24</f>
        <v>4101960.074</v>
      </c>
      <c r="C24" s="225" t="n">
        <f aca="false">SUM(C107:K107)</f>
        <v>0</v>
      </c>
      <c r="D24" s="225" t="n">
        <f aca="false">SUM(L107:W107)</f>
        <v>235122.048</v>
      </c>
      <c r="E24" s="225" t="n">
        <f aca="false">SUM(X107:AI107)</f>
        <v>1640882.6645</v>
      </c>
      <c r="F24" s="225" t="n">
        <f aca="false">SUM(AJ107:AU107)</f>
        <v>1331694.0065</v>
      </c>
      <c r="G24" s="225" t="n">
        <f aca="false">SUM(AV107:BG107)</f>
        <v>549855.922</v>
      </c>
      <c r="H24" s="225" t="n">
        <f aca="false">SUM(BH107:BS107)</f>
        <v>344405.433</v>
      </c>
      <c r="I24" s="225" t="n">
        <f aca="false">SUM(BT107:CE107)</f>
        <v>0</v>
      </c>
      <c r="J24" s="225" t="n">
        <f aca="false">SUM(CF107:CH107)</f>
        <v>0</v>
      </c>
    </row>
    <row r="26" customFormat="false" ht="15" hidden="false" customHeight="true" outlineLevel="0" collapsed="false">
      <c r="A26" s="226" t="s">
        <v>724</v>
      </c>
      <c r="B26" s="226"/>
      <c r="C26" s="226"/>
      <c r="D26" s="226"/>
      <c r="E26" s="226"/>
      <c r="F26" s="226"/>
      <c r="G26" s="226"/>
      <c r="H26" s="226"/>
      <c r="I26" s="226"/>
      <c r="J26" s="226"/>
      <c r="K26" s="226"/>
    </row>
    <row r="27" customFormat="false" ht="15" hidden="false" customHeight="true" outlineLevel="0" collapsed="false">
      <c r="A27" s="227" t="s">
        <v>725</v>
      </c>
      <c r="B27" s="227" t="s">
        <v>726</v>
      </c>
      <c r="C27" s="227" t="s">
        <v>727</v>
      </c>
      <c r="D27" s="227" t="s">
        <v>712</v>
      </c>
      <c r="E27" s="227" t="s">
        <v>606</v>
      </c>
    </row>
    <row r="28" customFormat="false" ht="15" hidden="false" customHeight="true" outlineLevel="0" collapsed="false">
      <c r="A28" s="90" t="s">
        <v>728</v>
      </c>
      <c r="B28" s="217" t="n">
        <v>6</v>
      </c>
      <c r="C28" s="90" t="s">
        <v>729</v>
      </c>
      <c r="D28" s="218" t="n">
        <v>1400000</v>
      </c>
      <c r="E28" s="228" t="s">
        <v>730</v>
      </c>
    </row>
    <row r="29" customFormat="false" ht="15" hidden="false" customHeight="true" outlineLevel="0" collapsed="false">
      <c r="A29" s="90" t="s">
        <v>731</v>
      </c>
      <c r="B29" s="217" t="n">
        <v>18</v>
      </c>
      <c r="C29" s="90" t="s">
        <v>732</v>
      </c>
      <c r="D29" s="218" t="n">
        <v>1400000</v>
      </c>
      <c r="E29" s="228" t="s">
        <v>733</v>
      </c>
    </row>
    <row r="30" customFormat="false" ht="15" hidden="false" customHeight="true" outlineLevel="0" collapsed="false">
      <c r="A30" s="90" t="s">
        <v>734</v>
      </c>
      <c r="B30" s="217" t="n">
        <v>18</v>
      </c>
      <c r="C30" s="90" t="s">
        <v>735</v>
      </c>
      <c r="D30" s="218" t="n">
        <v>1400000</v>
      </c>
      <c r="E30" s="228" t="s">
        <v>736</v>
      </c>
    </row>
    <row r="31" customFormat="false" ht="15" hidden="false" customHeight="true" outlineLevel="0" collapsed="false">
      <c r="A31" s="90" t="s">
        <v>737</v>
      </c>
      <c r="B31" s="217" t="n">
        <v>18</v>
      </c>
      <c r="C31" s="90" t="s">
        <v>738</v>
      </c>
      <c r="D31" s="218" t="n">
        <v>1400000</v>
      </c>
      <c r="E31" s="228" t="s">
        <v>739</v>
      </c>
    </row>
    <row r="32" customFormat="false" ht="15" hidden="false" customHeight="true" outlineLevel="0" collapsed="false">
      <c r="A32" s="227" t="s">
        <v>472</v>
      </c>
      <c r="B32" s="229" t="n">
        <v>60</v>
      </c>
      <c r="C32" s="227" t="s">
        <v>740</v>
      </c>
      <c r="D32" s="230" t="n">
        <v>1400000</v>
      </c>
    </row>
    <row r="34" customFormat="false" ht="15" hidden="false" customHeight="true" outlineLevel="0" collapsed="false">
      <c r="A34" s="231" t="s">
        <v>741</v>
      </c>
      <c r="B34" s="231"/>
      <c r="C34" s="231"/>
      <c r="D34" s="231"/>
      <c r="E34" s="231"/>
      <c r="F34" s="231"/>
      <c r="G34" s="231"/>
      <c r="H34" s="231"/>
      <c r="I34" s="231"/>
      <c r="J34" s="231"/>
      <c r="K34" s="231"/>
    </row>
    <row r="35" customFormat="false" ht="15" hidden="false" customHeight="true" outlineLevel="0" collapsed="false">
      <c r="A35" s="232" t="s">
        <v>742</v>
      </c>
      <c r="B35" s="232" t="s">
        <v>743</v>
      </c>
      <c r="C35" s="232" t="s">
        <v>744</v>
      </c>
      <c r="D35" s="232" t="s">
        <v>745</v>
      </c>
      <c r="E35" s="232" t="s">
        <v>746</v>
      </c>
      <c r="F35" s="232" t="s">
        <v>747</v>
      </c>
    </row>
    <row r="36" customFormat="false" ht="15" hidden="false" customHeight="true" outlineLevel="0" collapsed="false">
      <c r="A36" s="90" t="s">
        <v>748</v>
      </c>
      <c r="B36" s="90" t="s">
        <v>749</v>
      </c>
      <c r="C36" s="90" t="s">
        <v>750</v>
      </c>
      <c r="D36" s="218" t="n">
        <v>14000</v>
      </c>
      <c r="E36" s="218" t="n">
        <v>840000</v>
      </c>
      <c r="F36" s="90" t="s">
        <v>751</v>
      </c>
    </row>
    <row r="37" customFormat="false" ht="15" hidden="false" customHeight="true" outlineLevel="0" collapsed="false">
      <c r="A37" s="90" t="s">
        <v>752</v>
      </c>
      <c r="B37" s="90" t="s">
        <v>753</v>
      </c>
      <c r="C37" s="90" t="s">
        <v>754</v>
      </c>
      <c r="D37" s="218" t="n">
        <v>96563</v>
      </c>
      <c r="E37" s="218" t="n">
        <v>5793808</v>
      </c>
      <c r="F37" s="90" t="s">
        <v>755</v>
      </c>
    </row>
    <row r="38" customFormat="false" ht="15" hidden="false" customHeight="true" outlineLevel="0" collapsed="false">
      <c r="A38" s="90" t="s">
        <v>756</v>
      </c>
      <c r="B38" s="90" t="s">
        <v>757</v>
      </c>
      <c r="C38" s="90" t="s">
        <v>758</v>
      </c>
      <c r="D38" s="218" t="n">
        <v>5400</v>
      </c>
      <c r="E38" s="218" t="n">
        <v>324000</v>
      </c>
      <c r="F38" s="90" t="s">
        <v>759</v>
      </c>
    </row>
    <row r="39" customFormat="false" ht="15" hidden="false" customHeight="true" outlineLevel="0" collapsed="false">
      <c r="A39" s="90" t="s">
        <v>760</v>
      </c>
      <c r="B39" s="90" t="s">
        <v>749</v>
      </c>
      <c r="C39" s="90" t="s">
        <v>761</v>
      </c>
      <c r="D39" s="218" t="n">
        <v>34198</v>
      </c>
      <c r="E39" s="218" t="n">
        <v>2051858</v>
      </c>
      <c r="F39" s="90" t="s">
        <v>762</v>
      </c>
    </row>
    <row r="40" customFormat="false" ht="15" hidden="false" customHeight="true" outlineLevel="0" collapsed="false">
      <c r="A40" s="232" t="s">
        <v>561</v>
      </c>
      <c r="D40" s="233" t="n">
        <v>150161</v>
      </c>
      <c r="E40" s="233" t="n">
        <v>9009665</v>
      </c>
    </row>
    <row r="42" customFormat="false" ht="15" hidden="false" customHeight="true" outlineLevel="0" collapsed="false">
      <c r="A42" s="234" t="s">
        <v>763</v>
      </c>
      <c r="B42" s="234"/>
      <c r="C42" s="234"/>
      <c r="D42" s="234"/>
      <c r="E42" s="234"/>
      <c r="F42" s="234"/>
      <c r="G42" s="234"/>
      <c r="H42" s="234"/>
      <c r="I42" s="234"/>
      <c r="J42" s="234"/>
      <c r="K42" s="234"/>
    </row>
    <row r="43" customFormat="false" ht="15" hidden="false" customHeight="true" outlineLevel="0" collapsed="false">
      <c r="A43" s="235" t="s">
        <v>600</v>
      </c>
      <c r="B43" s="235" t="s">
        <v>764</v>
      </c>
      <c r="C43" s="235" t="s">
        <v>765</v>
      </c>
      <c r="D43" s="235" t="s">
        <v>577</v>
      </c>
      <c r="E43" s="235" t="s">
        <v>766</v>
      </c>
      <c r="F43" s="235" t="s">
        <v>767</v>
      </c>
      <c r="G43" s="235" t="s">
        <v>768</v>
      </c>
    </row>
    <row r="44" customFormat="false" ht="15" hidden="false" customHeight="true" outlineLevel="0" collapsed="false">
      <c r="A44" s="90" t="s">
        <v>769</v>
      </c>
      <c r="B44" s="218" t="n">
        <v>125000</v>
      </c>
      <c r="C44" s="218" t="n">
        <v>10417</v>
      </c>
      <c r="D44" s="90" t="s">
        <v>770</v>
      </c>
      <c r="E44" s="90" t="s">
        <v>771</v>
      </c>
      <c r="F44" s="90" t="n">
        <v>47</v>
      </c>
      <c r="G44" s="218" t="n">
        <f aca="false">C44*F44</f>
        <v>489599</v>
      </c>
    </row>
    <row r="45" customFormat="false" ht="15" hidden="false" customHeight="true" outlineLevel="0" collapsed="false">
      <c r="A45" s="90" t="s">
        <v>644</v>
      </c>
      <c r="B45" s="218" t="n">
        <v>90000</v>
      </c>
      <c r="C45" s="218" t="n">
        <v>7500</v>
      </c>
      <c r="D45" s="90" t="s">
        <v>772</v>
      </c>
      <c r="E45" s="90" t="s">
        <v>771</v>
      </c>
      <c r="F45" s="90" t="n">
        <v>44</v>
      </c>
      <c r="G45" s="218" t="n">
        <f aca="false">C45*F45</f>
        <v>330000</v>
      </c>
    </row>
    <row r="46" customFormat="false" ht="15" hidden="false" customHeight="true" outlineLevel="0" collapsed="false">
      <c r="A46" s="90" t="s">
        <v>773</v>
      </c>
      <c r="B46" s="218" t="n">
        <v>110000</v>
      </c>
      <c r="C46" s="218" t="n">
        <v>9167</v>
      </c>
      <c r="D46" s="90" t="s">
        <v>774</v>
      </c>
      <c r="E46" s="90" t="s">
        <v>771</v>
      </c>
      <c r="F46" s="90" t="n">
        <v>39</v>
      </c>
      <c r="G46" s="218" t="n">
        <f aca="false">C46*F46</f>
        <v>357513</v>
      </c>
    </row>
    <row r="47" customFormat="false" ht="15" hidden="false" customHeight="true" outlineLevel="0" collapsed="false">
      <c r="A47" s="90" t="s">
        <v>775</v>
      </c>
      <c r="B47" s="218" t="n">
        <v>125000</v>
      </c>
      <c r="C47" s="218" t="n">
        <v>10417</v>
      </c>
      <c r="D47" s="90" t="s">
        <v>776</v>
      </c>
      <c r="E47" s="90" t="s">
        <v>771</v>
      </c>
      <c r="F47" s="90" t="n">
        <v>31</v>
      </c>
      <c r="G47" s="218" t="n">
        <f aca="false">C47*F47</f>
        <v>322927</v>
      </c>
    </row>
    <row r="48" customFormat="false" ht="15" hidden="false" customHeight="true" outlineLevel="0" collapsed="false">
      <c r="A48" s="235" t="s">
        <v>777</v>
      </c>
      <c r="G48" s="236" t="n">
        <f aca="false">SUM(G44:G47)</f>
        <v>1500039</v>
      </c>
    </row>
    <row r="50" customFormat="false" ht="15" hidden="false" customHeight="true" outlineLevel="0" collapsed="false">
      <c r="A50" s="237" t="s">
        <v>778</v>
      </c>
      <c r="B50" s="237"/>
      <c r="C50" s="237"/>
      <c r="D50" s="237"/>
      <c r="E50" s="237"/>
      <c r="F50" s="237"/>
      <c r="G50" s="237"/>
      <c r="H50" s="237"/>
      <c r="I50" s="237"/>
      <c r="J50" s="237"/>
      <c r="K50" s="237"/>
    </row>
    <row r="51" customFormat="false" ht="15" hidden="false" customHeight="true" outlineLevel="0" collapsed="false">
      <c r="A51" s="238" t="s">
        <v>779</v>
      </c>
      <c r="B51" s="238" t="s">
        <v>780</v>
      </c>
      <c r="C51" s="238" t="s">
        <v>765</v>
      </c>
      <c r="D51" s="238" t="s">
        <v>781</v>
      </c>
      <c r="E51" s="238" t="s">
        <v>472</v>
      </c>
    </row>
    <row r="52" customFormat="false" ht="15" hidden="false" customHeight="true" outlineLevel="0" collapsed="false">
      <c r="A52" s="90" t="s">
        <v>782</v>
      </c>
      <c r="B52" s="218" t="n">
        <v>40000</v>
      </c>
      <c r="C52" s="218" t="n">
        <v>3333</v>
      </c>
      <c r="D52" s="90" t="n">
        <v>4</v>
      </c>
      <c r="E52" s="218" t="n">
        <v>160000</v>
      </c>
    </row>
    <row r="53" customFormat="false" ht="15" hidden="false" customHeight="true" outlineLevel="0" collapsed="false">
      <c r="A53" s="90" t="s">
        <v>783</v>
      </c>
      <c r="B53" s="218" t="n">
        <v>20000</v>
      </c>
      <c r="C53" s="218" t="n">
        <v>1667</v>
      </c>
      <c r="D53" s="90" t="n">
        <v>4</v>
      </c>
      <c r="E53" s="218" t="n">
        <v>80000</v>
      </c>
    </row>
    <row r="54" customFormat="false" ht="15" hidden="false" customHeight="true" outlineLevel="0" collapsed="false">
      <c r="A54" s="90" t="s">
        <v>784</v>
      </c>
      <c r="B54" s="218" t="n">
        <v>30000</v>
      </c>
      <c r="C54" s="218" t="n">
        <v>2500</v>
      </c>
      <c r="D54" s="90" t="n">
        <v>4</v>
      </c>
      <c r="E54" s="218" t="n">
        <v>120000</v>
      </c>
    </row>
    <row r="55" customFormat="false" ht="15" hidden="false" customHeight="true" outlineLevel="0" collapsed="false">
      <c r="A55" s="90" t="s">
        <v>785</v>
      </c>
      <c r="B55" s="218" t="n">
        <v>24000</v>
      </c>
      <c r="C55" s="218" t="n">
        <v>2000</v>
      </c>
      <c r="D55" s="90" t="n">
        <v>4</v>
      </c>
      <c r="E55" s="218" t="n">
        <v>96000</v>
      </c>
    </row>
    <row r="56" customFormat="false" ht="15" hidden="false" customHeight="true" outlineLevel="0" collapsed="false">
      <c r="A56" s="238" t="s">
        <v>786</v>
      </c>
      <c r="E56" s="239" t="n">
        <v>456000</v>
      </c>
    </row>
    <row r="57" customFormat="false" ht="15" hidden="false" customHeight="true" outlineLevel="0" collapsed="false">
      <c r="A57" s="240" t="s">
        <v>787</v>
      </c>
    </row>
    <row r="59" customFormat="false" ht="15" hidden="false" customHeight="true" outlineLevel="0" collapsed="false">
      <c r="A59" s="112" t="s">
        <v>788</v>
      </c>
      <c r="B59" s="112"/>
      <c r="C59" s="112"/>
      <c r="D59" s="112"/>
      <c r="E59" s="112"/>
      <c r="F59" s="112"/>
      <c r="G59" s="112"/>
      <c r="H59" s="112"/>
      <c r="I59" s="112"/>
      <c r="J59" s="112"/>
      <c r="K59" s="112"/>
    </row>
    <row r="60" customFormat="false" ht="15" hidden="false" customHeight="true" outlineLevel="0" collapsed="false">
      <c r="A60" s="90" t="s">
        <v>789</v>
      </c>
      <c r="B60" s="218" t="n">
        <f aca="false">B16</f>
        <v>9009665</v>
      </c>
    </row>
    <row r="61" customFormat="false" ht="15" hidden="false" customHeight="true" outlineLevel="0" collapsed="false">
      <c r="A61" s="90" t="s">
        <v>716</v>
      </c>
      <c r="B61" s="218" t="n">
        <f aca="false">B17</f>
        <v>-1500039</v>
      </c>
    </row>
    <row r="62" customFormat="false" ht="15" hidden="false" customHeight="true" outlineLevel="0" collapsed="false">
      <c r="A62" s="90" t="s">
        <v>717</v>
      </c>
      <c r="B62" s="218" t="n">
        <f aca="false">B18</f>
        <v>-456000</v>
      </c>
    </row>
    <row r="63" customFormat="false" ht="15" hidden="false" customHeight="true" outlineLevel="0" collapsed="false">
      <c r="A63" s="227" t="s">
        <v>718</v>
      </c>
      <c r="B63" s="230" t="n">
        <f aca="false">B60+B61+B62</f>
        <v>7053626</v>
      </c>
    </row>
    <row r="64" customFormat="false" ht="15" hidden="false" customHeight="true" outlineLevel="0" collapsed="false">
      <c r="A64" s="90" t="s">
        <v>790</v>
      </c>
      <c r="B64" s="218" t="n">
        <f aca="false">-B20</f>
        <v>-563192.617</v>
      </c>
    </row>
    <row r="65" customFormat="false" ht="15" hidden="false" customHeight="true" outlineLevel="0" collapsed="false">
      <c r="A65" s="227" t="s">
        <v>720</v>
      </c>
      <c r="B65" s="230" t="n">
        <f aca="false">B63+B64</f>
        <v>6490433.383</v>
      </c>
    </row>
    <row r="66" customFormat="false" ht="15" hidden="false" customHeight="true" outlineLevel="0" collapsed="false">
      <c r="A66" s="90" t="s">
        <v>791</v>
      </c>
      <c r="B66" s="218" t="n">
        <f aca="false">-B22</f>
        <v>-2951665.926</v>
      </c>
    </row>
    <row r="67" customFormat="false" ht="15" hidden="false" customHeight="true" outlineLevel="0" collapsed="false">
      <c r="A67" s="227" t="s">
        <v>722</v>
      </c>
      <c r="B67" s="230" t="n">
        <f aca="false">B65+B66</f>
        <v>3538767.457</v>
      </c>
    </row>
    <row r="68" customFormat="false" ht="15" hidden="false" customHeight="true" outlineLevel="0" collapsed="false">
      <c r="A68" s="90" t="s">
        <v>719</v>
      </c>
      <c r="B68" s="218" t="n">
        <f aca="false">B20</f>
        <v>563192.617</v>
      </c>
    </row>
    <row r="69" customFormat="false" ht="15" hidden="false" customHeight="true" outlineLevel="0" collapsed="false">
      <c r="A69" s="227" t="s">
        <v>723</v>
      </c>
      <c r="B69" s="230" t="n">
        <f aca="false">B67+B68</f>
        <v>4101960.074</v>
      </c>
    </row>
    <row r="71" customFormat="false" ht="15" hidden="false" customHeight="true" outlineLevel="0" collapsed="false">
      <c r="A71" s="231" t="s">
        <v>792</v>
      </c>
      <c r="B71" s="231"/>
      <c r="C71" s="231"/>
      <c r="D71" s="231"/>
      <c r="E71" s="231"/>
      <c r="F71" s="231"/>
      <c r="G71" s="231"/>
      <c r="H71" s="231"/>
      <c r="I71" s="231"/>
      <c r="J71" s="231"/>
      <c r="K71" s="231"/>
    </row>
    <row r="72" customFormat="false" ht="15" hidden="false" customHeight="true" outlineLevel="0" collapsed="false">
      <c r="A72" s="232" t="s">
        <v>599</v>
      </c>
      <c r="B72" s="232" t="s">
        <v>600</v>
      </c>
      <c r="C72" s="232" t="s">
        <v>793</v>
      </c>
    </row>
    <row r="73" customFormat="false" ht="31.5" hidden="false" customHeight="true" outlineLevel="0" collapsed="false">
      <c r="A73" s="97" t="s">
        <v>684</v>
      </c>
      <c r="B73" s="90" t="s">
        <v>794</v>
      </c>
      <c r="C73" s="241" t="s">
        <v>795</v>
      </c>
      <c r="D73" s="241"/>
      <c r="E73" s="241"/>
      <c r="F73" s="241"/>
      <c r="G73" s="241"/>
    </row>
    <row r="74" customFormat="false" ht="31.5" hidden="false" customHeight="true" outlineLevel="0" collapsed="false">
      <c r="A74" s="97" t="s">
        <v>675</v>
      </c>
      <c r="B74" s="90" t="s">
        <v>796</v>
      </c>
      <c r="C74" s="241" t="s">
        <v>797</v>
      </c>
      <c r="D74" s="241"/>
      <c r="E74" s="241"/>
      <c r="F74" s="241"/>
      <c r="G74" s="241"/>
    </row>
    <row r="75" customFormat="false" ht="31.5" hidden="false" customHeight="true" outlineLevel="0" collapsed="false">
      <c r="A75" s="97" t="s">
        <v>686</v>
      </c>
      <c r="B75" s="90" t="s">
        <v>798</v>
      </c>
      <c r="C75" s="241" t="s">
        <v>799</v>
      </c>
      <c r="D75" s="241"/>
      <c r="E75" s="241"/>
      <c r="F75" s="241"/>
      <c r="G75" s="241"/>
    </row>
    <row r="76" customFormat="false" ht="31.5" hidden="false" customHeight="true" outlineLevel="0" collapsed="false">
      <c r="A76" s="97" t="s">
        <v>691</v>
      </c>
      <c r="B76" s="90" t="s">
        <v>800</v>
      </c>
      <c r="C76" s="241" t="s">
        <v>801</v>
      </c>
      <c r="D76" s="241"/>
      <c r="E76" s="241"/>
      <c r="F76" s="241"/>
      <c r="G76" s="241"/>
    </row>
    <row r="77" customFormat="false" ht="31.5" hidden="false" customHeight="true" outlineLevel="0" collapsed="false">
      <c r="A77" s="97" t="s">
        <v>689</v>
      </c>
      <c r="B77" s="90" t="s">
        <v>800</v>
      </c>
      <c r="C77" s="241" t="s">
        <v>802</v>
      </c>
      <c r="D77" s="241"/>
      <c r="E77" s="241"/>
      <c r="F77" s="241"/>
      <c r="G77" s="241"/>
    </row>
    <row r="78" customFormat="false" ht="31.5" hidden="false" customHeight="true" outlineLevel="0" collapsed="false">
      <c r="A78" s="97" t="s">
        <v>681</v>
      </c>
      <c r="B78" s="90" t="s">
        <v>803</v>
      </c>
      <c r="C78" s="241" t="s">
        <v>804</v>
      </c>
      <c r="D78" s="241"/>
      <c r="E78" s="241"/>
      <c r="F78" s="241"/>
      <c r="G78" s="241"/>
    </row>
    <row r="80" customFormat="false" ht="15" hidden="false" customHeight="true" outlineLevel="0" collapsed="false">
      <c r="A80" s="242" t="s">
        <v>805</v>
      </c>
      <c r="B80" s="242"/>
      <c r="C80" s="242"/>
      <c r="D80" s="242"/>
      <c r="E80" s="242"/>
      <c r="F80" s="242"/>
      <c r="G80" s="242"/>
      <c r="H80" s="242"/>
      <c r="I80" s="242"/>
      <c r="J80" s="242"/>
      <c r="K80" s="242"/>
    </row>
    <row r="81" customFormat="false" ht="27.75" hidden="false" customHeight="true" outlineLevel="0" collapsed="false">
      <c r="A81" s="97" t="s">
        <v>806</v>
      </c>
      <c r="B81" s="241" t="s">
        <v>807</v>
      </c>
      <c r="C81" s="241"/>
      <c r="D81" s="241"/>
      <c r="E81" s="241"/>
      <c r="F81" s="241"/>
      <c r="G81" s="241"/>
    </row>
    <row r="82" customFormat="false" ht="27.75" hidden="false" customHeight="true" outlineLevel="0" collapsed="false">
      <c r="A82" s="97" t="s">
        <v>808</v>
      </c>
      <c r="B82" s="241" t="s">
        <v>809</v>
      </c>
      <c r="C82" s="241"/>
      <c r="D82" s="241"/>
      <c r="E82" s="241"/>
      <c r="F82" s="241"/>
      <c r="G82" s="241"/>
    </row>
    <row r="83" customFormat="false" ht="27.75" hidden="false" customHeight="true" outlineLevel="0" collapsed="false">
      <c r="A83" s="97" t="s">
        <v>810</v>
      </c>
      <c r="B83" s="241" t="s">
        <v>811</v>
      </c>
      <c r="C83" s="241"/>
      <c r="D83" s="241"/>
      <c r="E83" s="241"/>
      <c r="F83" s="241"/>
      <c r="G83" s="241"/>
    </row>
    <row r="84" customFormat="false" ht="27.75" hidden="false" customHeight="true" outlineLevel="0" collapsed="false">
      <c r="A84" s="97" t="s">
        <v>812</v>
      </c>
      <c r="B84" s="241" t="s">
        <v>813</v>
      </c>
      <c r="C84" s="241"/>
      <c r="D84" s="241"/>
      <c r="E84" s="241"/>
      <c r="F84" s="241"/>
      <c r="G84" s="241"/>
    </row>
    <row r="85" customFormat="false" ht="27.75" hidden="false" customHeight="true" outlineLevel="0" collapsed="false">
      <c r="A85" s="97" t="s">
        <v>814</v>
      </c>
      <c r="B85" s="241" t="s">
        <v>815</v>
      </c>
      <c r="C85" s="241"/>
      <c r="D85" s="241"/>
      <c r="E85" s="241"/>
      <c r="F85" s="241"/>
      <c r="G85" s="241"/>
    </row>
    <row r="86" customFormat="false" ht="27.75" hidden="false" customHeight="true" outlineLevel="0" collapsed="false">
      <c r="A86" s="97" t="s">
        <v>816</v>
      </c>
      <c r="B86" s="241" t="s">
        <v>817</v>
      </c>
      <c r="C86" s="241"/>
      <c r="D86" s="241"/>
      <c r="E86" s="241"/>
      <c r="F86" s="241"/>
      <c r="G86" s="241"/>
    </row>
    <row r="87" customFormat="false" ht="27.75" hidden="false" customHeight="true" outlineLevel="0" collapsed="false">
      <c r="A87" s="97" t="s">
        <v>818</v>
      </c>
      <c r="B87" s="241" t="s">
        <v>819</v>
      </c>
      <c r="C87" s="241"/>
      <c r="D87" s="241"/>
      <c r="E87" s="241"/>
      <c r="F87" s="241"/>
      <c r="G87" s="241"/>
    </row>
    <row r="88" customFormat="false" ht="27.75" hidden="false" customHeight="true" outlineLevel="0" collapsed="false">
      <c r="A88" s="97" t="s">
        <v>820</v>
      </c>
      <c r="B88" s="241" t="s">
        <v>821</v>
      </c>
      <c r="C88" s="241"/>
      <c r="D88" s="241"/>
      <c r="E88" s="241"/>
      <c r="F88" s="241"/>
      <c r="G88" s="241"/>
    </row>
    <row r="89" customFormat="false" ht="27.75" hidden="false" customHeight="true" outlineLevel="0" collapsed="false">
      <c r="A89" s="97" t="s">
        <v>822</v>
      </c>
      <c r="B89" s="241" t="s">
        <v>823</v>
      </c>
      <c r="C89" s="241"/>
      <c r="D89" s="241"/>
      <c r="E89" s="241"/>
      <c r="F89" s="241"/>
      <c r="G89" s="241"/>
    </row>
    <row r="90" customFormat="false" ht="27.75" hidden="false" customHeight="true" outlineLevel="0" collapsed="false">
      <c r="A90" s="97" t="s">
        <v>824</v>
      </c>
      <c r="B90" s="241" t="s">
        <v>825</v>
      </c>
      <c r="C90" s="241"/>
      <c r="D90" s="241"/>
      <c r="E90" s="241"/>
      <c r="F90" s="241"/>
      <c r="G90" s="241"/>
    </row>
    <row r="91" customFormat="false" ht="15" hidden="false" customHeight="true" outlineLevel="0" collapsed="false">
      <c r="A91" s="1" t="s">
        <v>826</v>
      </c>
      <c r="B91" s="1" t="s">
        <v>827</v>
      </c>
    </row>
    <row r="93" customFormat="false" ht="15" hidden="false" customHeight="true" outlineLevel="0" collapsed="false">
      <c r="A93" s="226" t="s">
        <v>828</v>
      </c>
      <c r="B93" s="226"/>
      <c r="C93" s="226"/>
      <c r="D93" s="226"/>
      <c r="E93" s="226"/>
      <c r="F93" s="226"/>
      <c r="G93" s="226"/>
      <c r="H93" s="226"/>
      <c r="I93" s="226"/>
      <c r="J93" s="226"/>
      <c r="K93" s="226"/>
    </row>
    <row r="94" customFormat="false" ht="15" hidden="false" customHeight="true" outlineLevel="0" collapsed="false">
      <c r="A94" s="90" t="s">
        <v>829</v>
      </c>
      <c r="B94" s="243" t="n">
        <v>0.1</v>
      </c>
    </row>
    <row r="95" customFormat="false" ht="15" hidden="false" customHeight="true" outlineLevel="0" collapsed="false">
      <c r="A95" s="90" t="s">
        <v>830</v>
      </c>
      <c r="B95" s="243" t="n">
        <v>150000</v>
      </c>
    </row>
    <row r="96" customFormat="false" ht="15" hidden="false" customHeight="true" outlineLevel="0" collapsed="false">
      <c r="A96" s="1" t="s">
        <v>831</v>
      </c>
      <c r="B96" s="1" t="s">
        <v>832</v>
      </c>
    </row>
    <row r="97" customFormat="false" ht="15" hidden="false" customHeight="true" outlineLevel="0" collapsed="false">
      <c r="A97" s="112" t="s">
        <v>833</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4" t="n">
        <f aca="false">SUM(C99:CH99)</f>
        <v>9009665</v>
      </c>
      <c r="L99" s="245"/>
      <c r="M99" s="245"/>
      <c r="N99" s="245"/>
      <c r="O99" s="245" t="n">
        <v>45050.36</v>
      </c>
      <c r="P99" s="245" t="n">
        <v>45050.36</v>
      </c>
      <c r="Q99" s="245" t="n">
        <v>45050.36</v>
      </c>
      <c r="R99" s="245" t="n">
        <v>45050.36</v>
      </c>
      <c r="S99" s="245" t="n">
        <v>45050.36</v>
      </c>
      <c r="T99" s="245" t="n">
        <v>45050.36</v>
      </c>
      <c r="U99" s="245" t="n">
        <v>70944.52</v>
      </c>
      <c r="V99" s="245" t="n">
        <v>96838.68</v>
      </c>
      <c r="W99" s="245" t="n">
        <v>122732.84</v>
      </c>
      <c r="X99" s="245" t="n">
        <v>148626.99</v>
      </c>
      <c r="Y99" s="245" t="n">
        <v>174521.16</v>
      </c>
      <c r="Z99" s="245" t="n">
        <v>200415.31</v>
      </c>
      <c r="AA99" s="245" t="n">
        <v>226309.46</v>
      </c>
      <c r="AB99" s="245" t="n">
        <v>252203.62</v>
      </c>
      <c r="AC99" s="245" t="n">
        <v>278097.79</v>
      </c>
      <c r="AD99" s="245" t="n">
        <v>303991.94</v>
      </c>
      <c r="AE99" s="245" t="n">
        <v>329886.11</v>
      </c>
      <c r="AF99" s="245" t="n">
        <v>400830.61</v>
      </c>
      <c r="AG99" s="245" t="n">
        <v>311512.01</v>
      </c>
      <c r="AH99" s="245" t="n">
        <v>312294.13</v>
      </c>
      <c r="AI99" s="245" t="n">
        <v>313076.23</v>
      </c>
      <c r="AJ99" s="245" t="n">
        <v>313858.34</v>
      </c>
      <c r="AK99" s="245" t="n">
        <v>314640.44</v>
      </c>
      <c r="AL99" s="245" t="n">
        <v>341316.71</v>
      </c>
      <c r="AM99" s="245" t="n">
        <v>316204.67</v>
      </c>
      <c r="AN99" s="245" t="n">
        <v>291092.62</v>
      </c>
      <c r="AO99" s="245" t="n">
        <v>265980.57</v>
      </c>
      <c r="AP99" s="245" t="n">
        <v>240868.51</v>
      </c>
      <c r="AQ99" s="245" t="n">
        <v>215756.47</v>
      </c>
      <c r="AR99" s="245" t="n">
        <v>190644.42</v>
      </c>
      <c r="AS99" s="245" t="n">
        <v>165532.36</v>
      </c>
      <c r="AT99" s="245" t="n">
        <v>140420.32</v>
      </c>
      <c r="AU99" s="245" t="n">
        <v>115308.27</v>
      </c>
      <c r="AV99" s="245" t="n">
        <v>196095.1</v>
      </c>
      <c r="AW99" s="245" t="n">
        <v>170200.95</v>
      </c>
      <c r="AX99" s="245" t="n">
        <v>119194.75</v>
      </c>
      <c r="AY99" s="245" t="n">
        <v>118412.64</v>
      </c>
      <c r="AZ99" s="245" t="n">
        <v>117630.52</v>
      </c>
      <c r="BA99" s="245" t="n">
        <v>116848.42</v>
      </c>
      <c r="BB99" s="245" t="n">
        <v>116066.31</v>
      </c>
      <c r="BC99" s="245" t="n">
        <v>115284.2</v>
      </c>
      <c r="BD99" s="245" t="n">
        <v>114502.09</v>
      </c>
      <c r="BE99" s="245" t="n">
        <v>113719.98</v>
      </c>
      <c r="BF99" s="245" t="n">
        <v>112937.87</v>
      </c>
      <c r="BG99" s="245" t="n">
        <v>112155.76</v>
      </c>
      <c r="BH99" s="245" t="n">
        <v>111373.65</v>
      </c>
      <c r="BI99" s="245" t="n">
        <v>110591.54</v>
      </c>
      <c r="BJ99" s="245" t="n">
        <v>109809.44</v>
      </c>
      <c r="BK99" s="1" t="n">
        <v>109027.32</v>
      </c>
      <c r="BL99" s="1" t="n">
        <v>108245.21</v>
      </c>
      <c r="BM99" s="1" t="n">
        <v>213361.99</v>
      </c>
    </row>
    <row r="100" customFormat="false" ht="15" hidden="false" customHeight="true" outlineLevel="0" collapsed="false">
      <c r="A100" s="99" t="s">
        <v>716</v>
      </c>
      <c r="B100" s="244" t="n">
        <f aca="false">SUM(C100:CH100)</f>
        <v>-1500039</v>
      </c>
      <c r="C100" s="1" t="n">
        <v>0</v>
      </c>
      <c r="D100" s="1" t="n">
        <v>0</v>
      </c>
      <c r="E100" s="1" t="n">
        <v>0</v>
      </c>
      <c r="F100" s="1" t="n">
        <v>0</v>
      </c>
      <c r="G100" s="1" t="n">
        <v>0</v>
      </c>
      <c r="H100" s="1" t="n">
        <v>0</v>
      </c>
      <c r="I100" s="1" t="n">
        <v>0</v>
      </c>
      <c r="J100" s="1" t="n">
        <v>0</v>
      </c>
      <c r="K100" s="1" t="n">
        <v>0</v>
      </c>
      <c r="L100" s="245" t="n">
        <v>0</v>
      </c>
      <c r="M100" s="245" t="n">
        <v>0</v>
      </c>
      <c r="N100" s="245" t="n">
        <v>0</v>
      </c>
      <c r="O100" s="245" t="n">
        <v>0</v>
      </c>
      <c r="P100" s="245" t="n">
        <v>-10417</v>
      </c>
      <c r="Q100" s="245" t="n">
        <v>-10417</v>
      </c>
      <c r="R100" s="245" t="n">
        <v>-10417</v>
      </c>
      <c r="S100" s="245" t="n">
        <v>-17917</v>
      </c>
      <c r="T100" s="245" t="n">
        <v>-17917</v>
      </c>
      <c r="U100" s="245" t="n">
        <v>-17917</v>
      </c>
      <c r="V100" s="245" t="n">
        <v>-17917</v>
      </c>
      <c r="W100" s="245" t="n">
        <v>-17917</v>
      </c>
      <c r="X100" s="245" t="n">
        <v>-27084</v>
      </c>
      <c r="Y100" s="245" t="n">
        <v>-27084</v>
      </c>
      <c r="Z100" s="245" t="n">
        <v>-27084</v>
      </c>
      <c r="AA100" s="245" t="n">
        <v>-27084</v>
      </c>
      <c r="AB100" s="245" t="n">
        <v>-27084</v>
      </c>
      <c r="AC100" s="245" t="n">
        <v>-27084</v>
      </c>
      <c r="AD100" s="245" t="n">
        <v>-27084</v>
      </c>
      <c r="AE100" s="245" t="n">
        <v>-27084</v>
      </c>
      <c r="AF100" s="245" t="n">
        <v>-37501</v>
      </c>
      <c r="AG100" s="245" t="n">
        <v>-37501</v>
      </c>
      <c r="AH100" s="245" t="n">
        <v>-37501</v>
      </c>
      <c r="AI100" s="245" t="n">
        <v>-37501</v>
      </c>
      <c r="AJ100" s="245" t="n">
        <v>-37501</v>
      </c>
      <c r="AK100" s="245" t="n">
        <v>-37501</v>
      </c>
      <c r="AL100" s="245" t="n">
        <v>-37501</v>
      </c>
      <c r="AM100" s="245" t="n">
        <v>-37501</v>
      </c>
      <c r="AN100" s="245" t="n">
        <v>-37501</v>
      </c>
      <c r="AO100" s="245" t="n">
        <v>-37501</v>
      </c>
      <c r="AP100" s="245" t="n">
        <v>-37501</v>
      </c>
      <c r="AQ100" s="245" t="n">
        <v>-37501</v>
      </c>
      <c r="AR100" s="245" t="n">
        <v>-37501</v>
      </c>
      <c r="AS100" s="245" t="n">
        <v>-37501</v>
      </c>
      <c r="AT100" s="245" t="n">
        <v>-37501</v>
      </c>
      <c r="AU100" s="245" t="n">
        <v>-37501</v>
      </c>
      <c r="AV100" s="245" t="n">
        <v>-37501</v>
      </c>
      <c r="AW100" s="245" t="n">
        <v>-37501</v>
      </c>
      <c r="AX100" s="245" t="n">
        <v>-37501</v>
      </c>
      <c r="AY100" s="245" t="n">
        <v>-37501</v>
      </c>
      <c r="AZ100" s="245" t="n">
        <v>-37501</v>
      </c>
      <c r="BA100" s="245" t="n">
        <v>-37501</v>
      </c>
      <c r="BB100" s="245" t="n">
        <v>-37501</v>
      </c>
      <c r="BC100" s="245" t="n">
        <v>-37501</v>
      </c>
      <c r="BD100" s="245" t="n">
        <v>-37501</v>
      </c>
      <c r="BE100" s="245" t="n">
        <v>-37501</v>
      </c>
      <c r="BF100" s="245" t="n">
        <v>-37501</v>
      </c>
      <c r="BG100" s="245"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717</v>
      </c>
      <c r="B101" s="244" t="n">
        <f aca="false">SUM(C101:CH101)</f>
        <v>-456000</v>
      </c>
      <c r="L101" s="245"/>
      <c r="M101" s="245"/>
      <c r="N101" s="245"/>
      <c r="O101" s="245" t="n">
        <v>-9500</v>
      </c>
      <c r="P101" s="245" t="n">
        <v>-9500</v>
      </c>
      <c r="Q101" s="245" t="n">
        <v>-9500</v>
      </c>
      <c r="R101" s="245" t="n">
        <v>-9500</v>
      </c>
      <c r="S101" s="245" t="n">
        <v>-9500</v>
      </c>
      <c r="T101" s="245" t="n">
        <v>-9500</v>
      </c>
      <c r="U101" s="245" t="n">
        <v>-9500</v>
      </c>
      <c r="V101" s="245" t="n">
        <v>-9500</v>
      </c>
      <c r="W101" s="245" t="n">
        <v>-9500</v>
      </c>
      <c r="X101" s="245" t="n">
        <v>-9500</v>
      </c>
      <c r="Y101" s="245" t="n">
        <v>-9500</v>
      </c>
      <c r="Z101" s="245" t="n">
        <v>-9500</v>
      </c>
      <c r="AA101" s="245" t="n">
        <v>-9500</v>
      </c>
      <c r="AB101" s="245" t="n">
        <v>-9500</v>
      </c>
      <c r="AC101" s="245" t="n">
        <v>-9500</v>
      </c>
      <c r="AD101" s="245" t="n">
        <v>-9500</v>
      </c>
      <c r="AE101" s="245" t="n">
        <v>-9500</v>
      </c>
      <c r="AF101" s="245" t="n">
        <v>-9500</v>
      </c>
      <c r="AG101" s="245" t="n">
        <v>-9500</v>
      </c>
      <c r="AH101" s="245" t="n">
        <v>-9500</v>
      </c>
      <c r="AI101" s="245" t="n">
        <v>-9500</v>
      </c>
      <c r="AJ101" s="245" t="n">
        <v>-9500</v>
      </c>
      <c r="AK101" s="245" t="n">
        <v>-9500</v>
      </c>
      <c r="AL101" s="245" t="n">
        <v>-9500</v>
      </c>
      <c r="AM101" s="245" t="n">
        <v>-9500</v>
      </c>
      <c r="AN101" s="245" t="n">
        <v>-9500</v>
      </c>
      <c r="AO101" s="245" t="n">
        <v>-9500</v>
      </c>
      <c r="AP101" s="245" t="n">
        <v>-9500</v>
      </c>
      <c r="AQ101" s="245" t="n">
        <v>-9500</v>
      </c>
      <c r="AR101" s="245" t="n">
        <v>-9500</v>
      </c>
      <c r="AS101" s="245" t="n">
        <v>-9500</v>
      </c>
      <c r="AT101" s="245" t="n">
        <v>-9500</v>
      </c>
      <c r="AU101" s="245" t="n">
        <v>-9500</v>
      </c>
      <c r="AV101" s="245" t="n">
        <v>-9500</v>
      </c>
      <c r="AW101" s="245" t="n">
        <v>-9500</v>
      </c>
      <c r="AX101" s="245" t="n">
        <v>-9500</v>
      </c>
      <c r="AY101" s="245" t="n">
        <v>-9500</v>
      </c>
      <c r="AZ101" s="245" t="n">
        <v>-9500</v>
      </c>
      <c r="BA101" s="245" t="n">
        <v>-9500</v>
      </c>
      <c r="BB101" s="245" t="n">
        <v>-9500</v>
      </c>
      <c r="BC101" s="245" t="n">
        <v>-9500</v>
      </c>
      <c r="BD101" s="245" t="n">
        <v>-9500</v>
      </c>
      <c r="BE101" s="245" t="n">
        <v>-9500</v>
      </c>
      <c r="BF101" s="245" t="n">
        <v>-9500</v>
      </c>
      <c r="BG101" s="245" t="n">
        <v>-9500</v>
      </c>
      <c r="BH101" s="1" t="n">
        <v>-9500</v>
      </c>
      <c r="BI101" s="1" t="n">
        <v>-9500</v>
      </c>
      <c r="BJ101" s="1" t="n">
        <v>-9500</v>
      </c>
    </row>
    <row r="102" customFormat="false" ht="15" hidden="false" customHeight="true" outlineLevel="0" collapsed="false">
      <c r="A102" s="99" t="s">
        <v>718</v>
      </c>
      <c r="B102" s="244" t="n">
        <f aca="false">SUM(C102:CH102)</f>
        <v>7053626</v>
      </c>
      <c r="C102" s="246" t="n">
        <f aca="false">C99+C100+C101</f>
        <v>0</v>
      </c>
      <c r="D102" s="246" t="n">
        <f aca="false">D99+D100+D101</f>
        <v>0</v>
      </c>
      <c r="E102" s="246" t="n">
        <f aca="false">E99+E100+E101</f>
        <v>0</v>
      </c>
      <c r="F102" s="246" t="n">
        <f aca="false">F99+F100+F101</f>
        <v>0</v>
      </c>
      <c r="G102" s="246" t="n">
        <f aca="false">G99+G100+G101</f>
        <v>0</v>
      </c>
      <c r="H102" s="246" t="n">
        <f aca="false">H99+H100+H101</f>
        <v>0</v>
      </c>
      <c r="I102" s="246" t="n">
        <f aca="false">I99+I100+I101</f>
        <v>0</v>
      </c>
      <c r="J102" s="246" t="n">
        <f aca="false">J99+J100+J101</f>
        <v>0</v>
      </c>
      <c r="K102" s="246" t="n">
        <f aca="false">K99+K100+K101</f>
        <v>0</v>
      </c>
      <c r="L102" s="246" t="n">
        <f aca="false">L99+L100+L101</f>
        <v>0</v>
      </c>
      <c r="M102" s="246" t="n">
        <f aca="false">M99+M100+M101</f>
        <v>0</v>
      </c>
      <c r="N102" s="246" t="n">
        <f aca="false">N99+N100+N101</f>
        <v>0</v>
      </c>
      <c r="O102" s="246" t="n">
        <f aca="false">O99+O100+O101</f>
        <v>35550.36</v>
      </c>
      <c r="P102" s="246" t="n">
        <f aca="false">P99+P100+P101</f>
        <v>25133.36</v>
      </c>
      <c r="Q102" s="246" t="n">
        <f aca="false">Q99+Q100+Q101</f>
        <v>25133.36</v>
      </c>
      <c r="R102" s="246" t="n">
        <f aca="false">R99+R100+R101</f>
        <v>25133.36</v>
      </c>
      <c r="S102" s="246" t="n">
        <f aca="false">S99+S100+S101</f>
        <v>17633.36</v>
      </c>
      <c r="T102" s="246" t="n">
        <f aca="false">T99+T100+T101</f>
        <v>17633.36</v>
      </c>
      <c r="U102" s="246" t="n">
        <f aca="false">U99+U100+U101</f>
        <v>43527.52</v>
      </c>
      <c r="V102" s="246" t="n">
        <f aca="false">V99+V100+V101</f>
        <v>69421.68</v>
      </c>
      <c r="W102" s="246" t="n">
        <f aca="false">W99+W100+W101</f>
        <v>95315.84</v>
      </c>
      <c r="X102" s="246" t="n">
        <f aca="false">X99+X100+X101</f>
        <v>112042.99</v>
      </c>
      <c r="Y102" s="246" t="n">
        <f aca="false">Y99+Y100+Y101</f>
        <v>137937.16</v>
      </c>
      <c r="Z102" s="246" t="n">
        <f aca="false">Z99+Z100+Z101</f>
        <v>163831.31</v>
      </c>
      <c r="AA102" s="246" t="n">
        <f aca="false">AA99+AA100+AA101</f>
        <v>189725.46</v>
      </c>
      <c r="AB102" s="246" t="n">
        <f aca="false">AB99+AB100+AB101</f>
        <v>215619.62</v>
      </c>
      <c r="AC102" s="246" t="n">
        <f aca="false">AC99+AC100+AC101</f>
        <v>241513.79</v>
      </c>
      <c r="AD102" s="246" t="n">
        <f aca="false">AD99+AD100+AD101</f>
        <v>267407.94</v>
      </c>
      <c r="AE102" s="246" t="n">
        <f aca="false">AE99+AE100+AE101</f>
        <v>293302.11</v>
      </c>
      <c r="AF102" s="246" t="n">
        <f aca="false">AF99+AF100+AF101</f>
        <v>353829.61</v>
      </c>
      <c r="AG102" s="246" t="n">
        <f aca="false">AG99+AG100+AG101</f>
        <v>264511.01</v>
      </c>
      <c r="AH102" s="246" t="n">
        <f aca="false">AH99+AH100+AH101</f>
        <v>265293.13</v>
      </c>
      <c r="AI102" s="246" t="n">
        <f aca="false">AI99+AI100+AI101</f>
        <v>266075.23</v>
      </c>
      <c r="AJ102" s="246" t="n">
        <f aca="false">AJ99+AJ100+AJ101</f>
        <v>266857.34</v>
      </c>
      <c r="AK102" s="246" t="n">
        <f aca="false">AK99+AK100+AK101</f>
        <v>267639.44</v>
      </c>
      <c r="AL102" s="246" t="n">
        <f aca="false">AL99+AL100+AL101</f>
        <v>294315.71</v>
      </c>
      <c r="AM102" s="246" t="n">
        <f aca="false">AM99+AM100+AM101</f>
        <v>269203.67</v>
      </c>
      <c r="AN102" s="246" t="n">
        <f aca="false">AN99+AN100+AN101</f>
        <v>244091.62</v>
      </c>
      <c r="AO102" s="246" t="n">
        <f aca="false">AO99+AO100+AO101</f>
        <v>218979.57</v>
      </c>
      <c r="AP102" s="246" t="n">
        <f aca="false">AP99+AP100+AP101</f>
        <v>193867.51</v>
      </c>
      <c r="AQ102" s="246" t="n">
        <f aca="false">AQ99+AQ100+AQ101</f>
        <v>168755.47</v>
      </c>
      <c r="AR102" s="246" t="n">
        <f aca="false">AR99+AR100+AR101</f>
        <v>143643.42</v>
      </c>
      <c r="AS102" s="246" t="n">
        <f aca="false">AS99+AS100+AS101</f>
        <v>118531.36</v>
      </c>
      <c r="AT102" s="246" t="n">
        <f aca="false">AT99+AT100+AT101</f>
        <v>93419.32</v>
      </c>
      <c r="AU102" s="246" t="n">
        <f aca="false">AU99+AU100+AU101</f>
        <v>68307.27</v>
      </c>
      <c r="AV102" s="246" t="n">
        <f aca="false">AV99+AV100+AV101</f>
        <v>149094.1</v>
      </c>
      <c r="AW102" s="246" t="n">
        <f aca="false">AW99+AW100+AW101</f>
        <v>123199.95</v>
      </c>
      <c r="AX102" s="246" t="n">
        <f aca="false">AX99+AX100+AX101</f>
        <v>72193.75</v>
      </c>
      <c r="AY102" s="246" t="n">
        <f aca="false">AY99+AY100+AY101</f>
        <v>71411.64</v>
      </c>
      <c r="AZ102" s="246" t="n">
        <f aca="false">AZ99+AZ100+AZ101</f>
        <v>70629.52</v>
      </c>
      <c r="BA102" s="246" t="n">
        <f aca="false">BA99+BA100+BA101</f>
        <v>69847.42</v>
      </c>
      <c r="BB102" s="246" t="n">
        <f aca="false">BB99+BB100+BB101</f>
        <v>69065.31</v>
      </c>
      <c r="BC102" s="246" t="n">
        <f aca="false">BC99+BC100+BC101</f>
        <v>68283.2</v>
      </c>
      <c r="BD102" s="246" t="n">
        <f aca="false">BD99+BD100+BD101</f>
        <v>67501.09</v>
      </c>
      <c r="BE102" s="246" t="n">
        <f aca="false">BE99+BE100+BE101</f>
        <v>66718.98</v>
      </c>
      <c r="BF102" s="246" t="n">
        <f aca="false">BF99+BF100+BF101</f>
        <v>65936.87</v>
      </c>
      <c r="BG102" s="246" t="n">
        <f aca="false">BG99+BG100+BG101</f>
        <v>65154.76</v>
      </c>
      <c r="BH102" s="246" t="n">
        <f aca="false">BH99+BH100+BH101</f>
        <v>64372.65</v>
      </c>
      <c r="BI102" s="246" t="n">
        <f aca="false">BI99+BI100+BI101</f>
        <v>63590.54</v>
      </c>
      <c r="BJ102" s="246" t="n">
        <f aca="false">BJ99+BJ100+BJ101</f>
        <v>62808.44</v>
      </c>
      <c r="BK102" s="246" t="n">
        <f aca="false">BK99+BK100+BK101</f>
        <v>109027.32</v>
      </c>
      <c r="BL102" s="246" t="n">
        <f aca="false">BL99+BL100+BL101</f>
        <v>108245.21</v>
      </c>
      <c r="BM102" s="246" t="n">
        <f aca="false">BM99+BM100+BM101</f>
        <v>213361.99</v>
      </c>
      <c r="BN102" s="246" t="n">
        <f aca="false">BN99+BN100+BN101</f>
        <v>0</v>
      </c>
      <c r="BO102" s="246" t="n">
        <f aca="false">BO99+BO100+BO101</f>
        <v>0</v>
      </c>
      <c r="BP102" s="246" t="n">
        <f aca="false">BP99+BP100+BP101</f>
        <v>0</v>
      </c>
      <c r="BQ102" s="246" t="n">
        <f aca="false">BQ99+BQ100+BQ101</f>
        <v>0</v>
      </c>
      <c r="BR102" s="246" t="n">
        <f aca="false">BR99+BR100+BR101</f>
        <v>0</v>
      </c>
      <c r="BS102" s="246" t="n">
        <f aca="false">BS99+BS100+BS101</f>
        <v>0</v>
      </c>
      <c r="BT102" s="246" t="n">
        <f aca="false">BT99+BT100+BT101</f>
        <v>0</v>
      </c>
      <c r="BU102" s="246" t="n">
        <f aca="false">BU99+BU100+BU101</f>
        <v>0</v>
      </c>
      <c r="BV102" s="246" t="n">
        <f aca="false">BV99+BV100+BV101</f>
        <v>0</v>
      </c>
      <c r="BW102" s="246" t="n">
        <f aca="false">BW99+BW100+BW101</f>
        <v>0</v>
      </c>
      <c r="BX102" s="246" t="n">
        <f aca="false">BX99+BX100+BX101</f>
        <v>0</v>
      </c>
      <c r="BY102" s="246" t="n">
        <f aca="false">BY99+BY100+BY101</f>
        <v>0</v>
      </c>
      <c r="BZ102" s="246" t="n">
        <f aca="false">BZ99+BZ100+BZ101</f>
        <v>0</v>
      </c>
      <c r="CA102" s="246" t="n">
        <f aca="false">CA99+CA100+CA101</f>
        <v>0</v>
      </c>
      <c r="CB102" s="246" t="n">
        <f aca="false">CB99+CB100+CB101</f>
        <v>0</v>
      </c>
      <c r="CC102" s="246" t="n">
        <f aca="false">CC99+CC100+CC101</f>
        <v>0</v>
      </c>
      <c r="CD102" s="246" t="n">
        <f aca="false">CD99+CD100+CD101</f>
        <v>0</v>
      </c>
      <c r="CE102" s="246" t="n">
        <f aca="false">CE99+CE100+CE101</f>
        <v>0</v>
      </c>
      <c r="CF102" s="246" t="n">
        <f aca="false">CF99+CF100+CF101</f>
        <v>0</v>
      </c>
      <c r="CG102" s="246" t="n">
        <f aca="false">CG99+CG100+CG101</f>
        <v>0</v>
      </c>
      <c r="CH102" s="246" t="n">
        <f aca="false">CH99+CH100+CH101</f>
        <v>0</v>
      </c>
    </row>
    <row r="103" customFormat="false" ht="15" hidden="false" customHeight="true" outlineLevel="0" collapsed="false">
      <c r="A103" s="99" t="s">
        <v>719</v>
      </c>
      <c r="B103" s="244" t="n">
        <f aca="false">SUM(C103:CH103)</f>
        <v>563192.617</v>
      </c>
      <c r="C103" s="246" t="n">
        <f aca="false">MIN(C99*$B$94,12500)</f>
        <v>0</v>
      </c>
      <c r="D103" s="246" t="n">
        <f aca="false">MIN(D99*$B$94,12500)</f>
        <v>0</v>
      </c>
      <c r="E103" s="246" t="n">
        <f aca="false">MIN(E99*$B$94,12500)</f>
        <v>0</v>
      </c>
      <c r="F103" s="246" t="n">
        <f aca="false">MIN(F99*$B$94,12500)</f>
        <v>0</v>
      </c>
      <c r="G103" s="246" t="n">
        <f aca="false">MIN(G99*$B$94,12500)</f>
        <v>0</v>
      </c>
      <c r="H103" s="246" t="n">
        <f aca="false">MIN(H99*$B$94,12500)</f>
        <v>0</v>
      </c>
      <c r="I103" s="246" t="n">
        <f aca="false">MIN(I99*$B$94,12500)</f>
        <v>0</v>
      </c>
      <c r="J103" s="246" t="n">
        <f aca="false">MIN(J99*$B$94,12500)</f>
        <v>0</v>
      </c>
      <c r="K103" s="246" t="n">
        <f aca="false">MIN(K99*$B$94,12500)</f>
        <v>0</v>
      </c>
      <c r="L103" s="246" t="n">
        <f aca="false">MIN(L99*$B$94,12500)</f>
        <v>0</v>
      </c>
      <c r="M103" s="246" t="n">
        <f aca="false">MIN(M99*$B$94,12500)</f>
        <v>0</v>
      </c>
      <c r="N103" s="246" t="n">
        <f aca="false">MIN(N99*$B$94,12500)</f>
        <v>0</v>
      </c>
      <c r="O103" s="246" t="n">
        <f aca="false">MIN(O99*$B$94,12500)</f>
        <v>4505.036</v>
      </c>
      <c r="P103" s="246" t="n">
        <f aca="false">MIN(P99*$B$94,12500)</f>
        <v>4505.036</v>
      </c>
      <c r="Q103" s="246" t="n">
        <f aca="false">MIN(Q99*$B$94,12500)</f>
        <v>4505.036</v>
      </c>
      <c r="R103" s="246" t="n">
        <f aca="false">MIN(R99*$B$94,12500)</f>
        <v>4505.036</v>
      </c>
      <c r="S103" s="246" t="n">
        <f aca="false">MIN(S99*$B$94,12500)</f>
        <v>4505.036</v>
      </c>
      <c r="T103" s="246" t="n">
        <f aca="false">MIN(T99*$B$94,12500)</f>
        <v>4505.036</v>
      </c>
      <c r="U103" s="246" t="n">
        <f aca="false">MIN(U99*$B$94,12500)</f>
        <v>7094.452</v>
      </c>
      <c r="V103" s="246" t="n">
        <f aca="false">MIN(V99*$B$94,12500)</f>
        <v>9683.868</v>
      </c>
      <c r="W103" s="246" t="n">
        <f aca="false">MIN(W99*$B$94,12500)</f>
        <v>12273.284</v>
      </c>
      <c r="X103" s="246" t="n">
        <f aca="false">MIN(X99*$B$94,12500)</f>
        <v>12500</v>
      </c>
      <c r="Y103" s="246" t="n">
        <f aca="false">MIN(Y99*$B$94,12500)</f>
        <v>12500</v>
      </c>
      <c r="Z103" s="246" t="n">
        <f aca="false">MIN(Z99*$B$94,12500)</f>
        <v>12500</v>
      </c>
      <c r="AA103" s="246" t="n">
        <f aca="false">MIN(AA99*$B$94,12500)</f>
        <v>12500</v>
      </c>
      <c r="AB103" s="246" t="n">
        <f aca="false">MIN(AB99*$B$94,12500)</f>
        <v>12500</v>
      </c>
      <c r="AC103" s="246" t="n">
        <f aca="false">MIN(AC99*$B$94,12500)</f>
        <v>12500</v>
      </c>
      <c r="AD103" s="246" t="n">
        <f aca="false">MIN(AD99*$B$94,12500)</f>
        <v>12500</v>
      </c>
      <c r="AE103" s="246" t="n">
        <f aca="false">MIN(AE99*$B$94,12500)</f>
        <v>12500</v>
      </c>
      <c r="AF103" s="246" t="n">
        <f aca="false">MIN(AF99*$B$94,12500)</f>
        <v>12500</v>
      </c>
      <c r="AG103" s="246" t="n">
        <f aca="false">MIN(AG99*$B$94,12500)</f>
        <v>12500</v>
      </c>
      <c r="AH103" s="246" t="n">
        <f aca="false">MIN(AH99*$B$94,12500)</f>
        <v>12500</v>
      </c>
      <c r="AI103" s="246" t="n">
        <f aca="false">MIN(AI99*$B$94,12500)</f>
        <v>12500</v>
      </c>
      <c r="AJ103" s="246" t="n">
        <f aca="false">MIN(AJ99*$B$94,12500)</f>
        <v>12500</v>
      </c>
      <c r="AK103" s="246" t="n">
        <f aca="false">MIN(AK99*$B$94,12500)</f>
        <v>12500</v>
      </c>
      <c r="AL103" s="246" t="n">
        <f aca="false">MIN(AL99*$B$94,12500)</f>
        <v>12500</v>
      </c>
      <c r="AM103" s="246" t="n">
        <f aca="false">MIN(AM99*$B$94,12500)</f>
        <v>12500</v>
      </c>
      <c r="AN103" s="246" t="n">
        <f aca="false">MIN(AN99*$B$94,12500)</f>
        <v>12500</v>
      </c>
      <c r="AO103" s="246" t="n">
        <f aca="false">MIN(AO99*$B$94,12500)</f>
        <v>12500</v>
      </c>
      <c r="AP103" s="246" t="n">
        <f aca="false">MIN(AP99*$B$94,12500)</f>
        <v>12500</v>
      </c>
      <c r="AQ103" s="246" t="n">
        <f aca="false">MIN(AQ99*$B$94,12500)</f>
        <v>12500</v>
      </c>
      <c r="AR103" s="246" t="n">
        <f aca="false">MIN(AR99*$B$94,12500)</f>
        <v>12500</v>
      </c>
      <c r="AS103" s="246" t="n">
        <f aca="false">MIN(AS99*$B$94,12500)</f>
        <v>12500</v>
      </c>
      <c r="AT103" s="246" t="n">
        <f aca="false">MIN(AT99*$B$94,12500)</f>
        <v>12500</v>
      </c>
      <c r="AU103" s="246" t="n">
        <f aca="false">MIN(AU99*$B$94,12500)</f>
        <v>11530.827</v>
      </c>
      <c r="AV103" s="246" t="n">
        <f aca="false">MIN(AV99*$B$94,12500)</f>
        <v>12500</v>
      </c>
      <c r="AW103" s="246" t="n">
        <f aca="false">MIN(AW99*$B$94,12500)</f>
        <v>12500</v>
      </c>
      <c r="AX103" s="246" t="n">
        <f aca="false">MIN(AX99*$B$94,12500)</f>
        <v>11919.475</v>
      </c>
      <c r="AY103" s="246" t="n">
        <f aca="false">MIN(AY99*$B$94,12500)</f>
        <v>11841.264</v>
      </c>
      <c r="AZ103" s="246" t="n">
        <f aca="false">MIN(AZ99*$B$94,12500)</f>
        <v>11763.052</v>
      </c>
      <c r="BA103" s="246" t="n">
        <f aca="false">MIN(BA99*$B$94,12500)</f>
        <v>11684.842</v>
      </c>
      <c r="BB103" s="246" t="n">
        <f aca="false">MIN(BB99*$B$94,12500)</f>
        <v>11606.631</v>
      </c>
      <c r="BC103" s="246" t="n">
        <f aca="false">MIN(BC99*$B$94,12500)</f>
        <v>11528.42</v>
      </c>
      <c r="BD103" s="246" t="n">
        <f aca="false">MIN(BD99*$B$94,12500)</f>
        <v>11450.209</v>
      </c>
      <c r="BE103" s="246" t="n">
        <f aca="false">MIN(BE99*$B$94,12500)</f>
        <v>11371.998</v>
      </c>
      <c r="BF103" s="246" t="n">
        <f aca="false">MIN(BF99*$B$94,12500)</f>
        <v>11293.787</v>
      </c>
      <c r="BG103" s="246" t="n">
        <f aca="false">MIN(BG99*$B$94,12500)</f>
        <v>11215.576</v>
      </c>
      <c r="BH103" s="246" t="n">
        <f aca="false">MIN(BH99*$B$94,12500)</f>
        <v>11137.365</v>
      </c>
      <c r="BI103" s="246" t="n">
        <f aca="false">MIN(BI99*$B$94,12500)</f>
        <v>11059.154</v>
      </c>
      <c r="BJ103" s="246" t="n">
        <f aca="false">MIN(BJ99*$B$94,12500)</f>
        <v>10980.944</v>
      </c>
      <c r="BK103" s="246" t="n">
        <f aca="false">MIN(BK99*$B$94,12500)</f>
        <v>10902.732</v>
      </c>
      <c r="BL103" s="246" t="n">
        <f aca="false">MIN(BL99*$B$94,12500)</f>
        <v>10824.521</v>
      </c>
      <c r="BM103" s="246" t="n">
        <f aca="false">MIN(BM99*$B$94,12500)</f>
        <v>12500</v>
      </c>
      <c r="BN103" s="246" t="n">
        <f aca="false">MIN(BN99*$B$94,12500)</f>
        <v>0</v>
      </c>
      <c r="BO103" s="246" t="n">
        <f aca="false">MIN(BO99*$B$94,12500)</f>
        <v>0</v>
      </c>
      <c r="BP103" s="246" t="n">
        <f aca="false">MIN(BP99*$B$94,12500)</f>
        <v>0</v>
      </c>
      <c r="BQ103" s="246" t="n">
        <f aca="false">MIN(BQ99*$B$94,12500)</f>
        <v>0</v>
      </c>
      <c r="BR103" s="246" t="n">
        <f aca="false">MIN(BR99*$B$94,12500)</f>
        <v>0</v>
      </c>
      <c r="BS103" s="246" t="n">
        <f aca="false">MIN(BS99*$B$94,12500)</f>
        <v>0</v>
      </c>
      <c r="BT103" s="246" t="n">
        <f aca="false">MIN(BT99*$B$94,12500)</f>
        <v>0</v>
      </c>
      <c r="BU103" s="246" t="n">
        <f aca="false">MIN(BU99*$B$94,12500)</f>
        <v>0</v>
      </c>
      <c r="BV103" s="246" t="n">
        <f aca="false">MIN(BV99*$B$94,12500)</f>
        <v>0</v>
      </c>
      <c r="BW103" s="246" t="n">
        <f aca="false">MIN(BW99*$B$94,12500)</f>
        <v>0</v>
      </c>
      <c r="BX103" s="246" t="n">
        <f aca="false">MIN(BX99*$B$94,12500)</f>
        <v>0</v>
      </c>
      <c r="BY103" s="246" t="n">
        <f aca="false">MIN(BY99*$B$94,12500)</f>
        <v>0</v>
      </c>
      <c r="BZ103" s="246" t="n">
        <f aca="false">MIN(BZ99*$B$94,12500)</f>
        <v>0</v>
      </c>
      <c r="CA103" s="246" t="n">
        <f aca="false">MIN(CA99*$B$94,12500)</f>
        <v>0</v>
      </c>
      <c r="CB103" s="246" t="n">
        <f aca="false">MIN(CB99*$B$94,12500)</f>
        <v>0</v>
      </c>
      <c r="CC103" s="246" t="n">
        <f aca="false">MIN(CC99*$B$94,12500)</f>
        <v>0</v>
      </c>
      <c r="CD103" s="246" t="n">
        <f aca="false">MIN(CD99*$B$94,12500)</f>
        <v>0</v>
      </c>
      <c r="CE103" s="246" t="n">
        <f aca="false">MIN(CE99*$B$94,12500)</f>
        <v>0</v>
      </c>
      <c r="CF103" s="246" t="n">
        <f aca="false">MIN(CF99*$B$94,12500)</f>
        <v>0</v>
      </c>
      <c r="CG103" s="246" t="n">
        <f aca="false">MIN(CG99*$B$94,12500)</f>
        <v>0</v>
      </c>
      <c r="CH103" s="246" t="n">
        <f aca="false">MIN(CH99*$B$94,12500)</f>
        <v>0</v>
      </c>
    </row>
    <row r="104" customFormat="false" ht="15" hidden="false" customHeight="true" outlineLevel="0" collapsed="false">
      <c r="A104" s="99" t="s">
        <v>720</v>
      </c>
      <c r="B104" s="244" t="n">
        <f aca="false">SUM(C104:CH104)</f>
        <v>6490433.383</v>
      </c>
      <c r="C104" s="246" t="n">
        <f aca="false">C102-C103</f>
        <v>0</v>
      </c>
      <c r="D104" s="246" t="n">
        <f aca="false">D102-D103</f>
        <v>0</v>
      </c>
      <c r="E104" s="246" t="n">
        <f aca="false">E102-E103</f>
        <v>0</v>
      </c>
      <c r="F104" s="246" t="n">
        <f aca="false">F102-F103</f>
        <v>0</v>
      </c>
      <c r="G104" s="246" t="n">
        <f aca="false">G102-G103</f>
        <v>0</v>
      </c>
      <c r="H104" s="246" t="n">
        <f aca="false">H102-H103</f>
        <v>0</v>
      </c>
      <c r="I104" s="246" t="n">
        <f aca="false">I102-I103</f>
        <v>0</v>
      </c>
      <c r="J104" s="246" t="n">
        <f aca="false">J102-J103</f>
        <v>0</v>
      </c>
      <c r="K104" s="246" t="n">
        <f aca="false">K102-K103</f>
        <v>0</v>
      </c>
      <c r="L104" s="246" t="n">
        <f aca="false">L102-L103</f>
        <v>0</v>
      </c>
      <c r="M104" s="246" t="n">
        <f aca="false">M102-M103</f>
        <v>0</v>
      </c>
      <c r="N104" s="246" t="n">
        <f aca="false">N102-N103</f>
        <v>0</v>
      </c>
      <c r="O104" s="246" t="n">
        <f aca="false">O102-O103</f>
        <v>31045.324</v>
      </c>
      <c r="P104" s="246" t="n">
        <f aca="false">P102-P103</f>
        <v>20628.324</v>
      </c>
      <c r="Q104" s="246" t="n">
        <f aca="false">Q102-Q103</f>
        <v>20628.324</v>
      </c>
      <c r="R104" s="246" t="n">
        <f aca="false">R102-R103</f>
        <v>20628.324</v>
      </c>
      <c r="S104" s="246" t="n">
        <f aca="false">S102-S103</f>
        <v>13128.324</v>
      </c>
      <c r="T104" s="246" t="n">
        <f aca="false">T102-T103</f>
        <v>13128.324</v>
      </c>
      <c r="U104" s="246" t="n">
        <f aca="false">U102-U103</f>
        <v>36433.068</v>
      </c>
      <c r="V104" s="246" t="n">
        <f aca="false">V102-V103</f>
        <v>59737.812</v>
      </c>
      <c r="W104" s="246" t="n">
        <f aca="false">W102-W103</f>
        <v>83042.556</v>
      </c>
      <c r="X104" s="246" t="n">
        <f aca="false">X102-X103</f>
        <v>99542.99</v>
      </c>
      <c r="Y104" s="246" t="n">
        <f aca="false">Y102-Y103</f>
        <v>125437.16</v>
      </c>
      <c r="Z104" s="246" t="n">
        <f aca="false">Z102-Z103</f>
        <v>151331.31</v>
      </c>
      <c r="AA104" s="246" t="n">
        <f aca="false">AA102-AA103</f>
        <v>177225.46</v>
      </c>
      <c r="AB104" s="246" t="n">
        <f aca="false">AB102-AB103</f>
        <v>203119.62</v>
      </c>
      <c r="AC104" s="246" t="n">
        <f aca="false">AC102-AC103</f>
        <v>229013.79</v>
      </c>
      <c r="AD104" s="246" t="n">
        <f aca="false">AD102-AD103</f>
        <v>254907.94</v>
      </c>
      <c r="AE104" s="246" t="n">
        <f aca="false">AE102-AE103</f>
        <v>280802.11</v>
      </c>
      <c r="AF104" s="246" t="n">
        <f aca="false">AF102-AF103</f>
        <v>341329.61</v>
      </c>
      <c r="AG104" s="246" t="n">
        <f aca="false">AG102-AG103</f>
        <v>252011.01</v>
      </c>
      <c r="AH104" s="246" t="n">
        <f aca="false">AH102-AH103</f>
        <v>252793.13</v>
      </c>
      <c r="AI104" s="246" t="n">
        <f aca="false">AI102-AI103</f>
        <v>253575.23</v>
      </c>
      <c r="AJ104" s="246" t="n">
        <f aca="false">AJ102-AJ103</f>
        <v>254357.34</v>
      </c>
      <c r="AK104" s="246" t="n">
        <f aca="false">AK102-AK103</f>
        <v>255139.44</v>
      </c>
      <c r="AL104" s="246" t="n">
        <f aca="false">AL102-AL103</f>
        <v>281815.71</v>
      </c>
      <c r="AM104" s="246" t="n">
        <f aca="false">AM102-AM103</f>
        <v>256703.67</v>
      </c>
      <c r="AN104" s="246" t="n">
        <f aca="false">AN102-AN103</f>
        <v>231591.62</v>
      </c>
      <c r="AO104" s="246" t="n">
        <f aca="false">AO102-AO103</f>
        <v>206479.57</v>
      </c>
      <c r="AP104" s="246" t="n">
        <f aca="false">AP102-AP103</f>
        <v>181367.51</v>
      </c>
      <c r="AQ104" s="246" t="n">
        <f aca="false">AQ102-AQ103</f>
        <v>156255.47</v>
      </c>
      <c r="AR104" s="246" t="n">
        <f aca="false">AR102-AR103</f>
        <v>131143.42</v>
      </c>
      <c r="AS104" s="246" t="n">
        <f aca="false">AS102-AS103</f>
        <v>106031.36</v>
      </c>
      <c r="AT104" s="246" t="n">
        <f aca="false">AT102-AT103</f>
        <v>80919.32</v>
      </c>
      <c r="AU104" s="246" t="n">
        <f aca="false">AU102-AU103</f>
        <v>56776.443</v>
      </c>
      <c r="AV104" s="246" t="n">
        <f aca="false">AV102-AV103</f>
        <v>136594.1</v>
      </c>
      <c r="AW104" s="246" t="n">
        <f aca="false">AW102-AW103</f>
        <v>110699.95</v>
      </c>
      <c r="AX104" s="246" t="n">
        <f aca="false">AX102-AX103</f>
        <v>60274.275</v>
      </c>
      <c r="AY104" s="246" t="n">
        <f aca="false">AY102-AY103</f>
        <v>59570.376</v>
      </c>
      <c r="AZ104" s="246" t="n">
        <f aca="false">AZ102-AZ103</f>
        <v>58866.468</v>
      </c>
      <c r="BA104" s="246" t="n">
        <f aca="false">BA102-BA103</f>
        <v>58162.578</v>
      </c>
      <c r="BB104" s="246" t="n">
        <f aca="false">BB102-BB103</f>
        <v>57458.679</v>
      </c>
      <c r="BC104" s="246" t="n">
        <f aca="false">BC102-BC103</f>
        <v>56754.78</v>
      </c>
      <c r="BD104" s="246" t="n">
        <f aca="false">BD102-BD103</f>
        <v>56050.881</v>
      </c>
      <c r="BE104" s="246" t="n">
        <f aca="false">BE102-BE103</f>
        <v>55346.982</v>
      </c>
      <c r="BF104" s="246" t="n">
        <f aca="false">BF102-BF103</f>
        <v>54643.083</v>
      </c>
      <c r="BG104" s="246" t="n">
        <f aca="false">BG102-BG103</f>
        <v>53939.184</v>
      </c>
      <c r="BH104" s="246" t="n">
        <f aca="false">BH102-BH103</f>
        <v>53235.285</v>
      </c>
      <c r="BI104" s="246" t="n">
        <f aca="false">BI102-BI103</f>
        <v>52531.386</v>
      </c>
      <c r="BJ104" s="246" t="n">
        <f aca="false">BJ102-BJ103</f>
        <v>51827.496</v>
      </c>
      <c r="BK104" s="246" t="n">
        <f aca="false">BK102-BK103</f>
        <v>98124.588</v>
      </c>
      <c r="BL104" s="246" t="n">
        <f aca="false">BL102-BL103</f>
        <v>97420.689</v>
      </c>
      <c r="BM104" s="246" t="n">
        <f aca="false">BM102-BM103</f>
        <v>200861.99</v>
      </c>
      <c r="BN104" s="246" t="n">
        <f aca="false">BN102-BN103</f>
        <v>0</v>
      </c>
      <c r="BO104" s="246" t="n">
        <f aca="false">BO102-BO103</f>
        <v>0</v>
      </c>
      <c r="BP104" s="246" t="n">
        <f aca="false">BP102-BP103</f>
        <v>0</v>
      </c>
      <c r="BQ104" s="246" t="n">
        <f aca="false">BQ102-BQ103</f>
        <v>0</v>
      </c>
      <c r="BR104" s="246" t="n">
        <f aca="false">BR102-BR103</f>
        <v>0</v>
      </c>
      <c r="BS104" s="246" t="n">
        <f aca="false">BS102-BS103</f>
        <v>0</v>
      </c>
      <c r="BT104" s="246" t="n">
        <f aca="false">BT102-BT103</f>
        <v>0</v>
      </c>
      <c r="BU104" s="246" t="n">
        <f aca="false">BU102-BU103</f>
        <v>0</v>
      </c>
      <c r="BV104" s="246" t="n">
        <f aca="false">BV102-BV103</f>
        <v>0</v>
      </c>
      <c r="BW104" s="246" t="n">
        <f aca="false">BW102-BW103</f>
        <v>0</v>
      </c>
      <c r="BX104" s="246" t="n">
        <f aca="false">BX102-BX103</f>
        <v>0</v>
      </c>
      <c r="BY104" s="246" t="n">
        <f aca="false">BY102-BY103</f>
        <v>0</v>
      </c>
      <c r="BZ104" s="246" t="n">
        <f aca="false">BZ102-BZ103</f>
        <v>0</v>
      </c>
      <c r="CA104" s="246" t="n">
        <f aca="false">CA102-CA103</f>
        <v>0</v>
      </c>
      <c r="CB104" s="246" t="n">
        <f aca="false">CB102-CB103</f>
        <v>0</v>
      </c>
      <c r="CC104" s="246" t="n">
        <f aca="false">CC102-CC103</f>
        <v>0</v>
      </c>
      <c r="CD104" s="246" t="n">
        <f aca="false">CD102-CD103</f>
        <v>0</v>
      </c>
      <c r="CE104" s="246" t="n">
        <f aca="false">CE102-CE103</f>
        <v>0</v>
      </c>
      <c r="CF104" s="246" t="n">
        <f aca="false">CF102-CF103</f>
        <v>0</v>
      </c>
      <c r="CG104" s="246" t="n">
        <f aca="false">CG102-CG103</f>
        <v>0</v>
      </c>
      <c r="CH104" s="246" t="n">
        <f aca="false">CH102-CH103</f>
        <v>0</v>
      </c>
    </row>
    <row r="105" customFormat="false" ht="15" hidden="false" customHeight="true" outlineLevel="0" collapsed="false">
      <c r="A105" s="99" t="s">
        <v>721</v>
      </c>
      <c r="B105" s="244" t="n">
        <f aca="false">SUM(C105:CH105)</f>
        <v>2951665.926</v>
      </c>
      <c r="C105" s="246" t="n">
        <v>0</v>
      </c>
      <c r="D105" s="246" t="n">
        <v>0</v>
      </c>
      <c r="E105" s="246" t="n">
        <v>0</v>
      </c>
      <c r="F105" s="246" t="n">
        <v>0</v>
      </c>
      <c r="G105" s="246" t="n">
        <v>0</v>
      </c>
      <c r="H105" s="246" t="n">
        <v>0</v>
      </c>
      <c r="I105" s="246" t="n">
        <v>0</v>
      </c>
      <c r="J105" s="246" t="n">
        <v>0</v>
      </c>
      <c r="K105" s="246" t="n">
        <v>0</v>
      </c>
      <c r="L105" s="246" t="n">
        <v>0</v>
      </c>
      <c r="M105" s="246" t="n">
        <v>0</v>
      </c>
      <c r="N105" s="246" t="n">
        <v>0</v>
      </c>
      <c r="O105" s="246" t="n">
        <f aca="false">MAX(0,O104)*0.4</f>
        <v>12418.1296</v>
      </c>
      <c r="P105" s="246" t="n">
        <f aca="false">MAX(0,P104)*0.4</f>
        <v>8251.3296</v>
      </c>
      <c r="Q105" s="246" t="n">
        <f aca="false">MAX(0,Q104)*0.4</f>
        <v>8251.3296</v>
      </c>
      <c r="R105" s="246" t="n">
        <f aca="false">MAX(0,R104)*0.4</f>
        <v>8251.3296</v>
      </c>
      <c r="S105" s="246" t="n">
        <f aca="false">MAX(0,S104)*0.4</f>
        <v>5251.3296</v>
      </c>
      <c r="T105" s="246" t="n">
        <f aca="false">MAX(0,T104)*0.4</f>
        <v>5251.3296</v>
      </c>
      <c r="U105" s="246" t="n">
        <f aca="false">MAX(0,U104)*0.4</f>
        <v>14573.2272</v>
      </c>
      <c r="V105" s="246" t="n">
        <f aca="false">MAX(0,V104)*0.4</f>
        <v>23895.1248</v>
      </c>
      <c r="W105" s="246" t="n">
        <f aca="false">MAX(0,W104)*0.4</f>
        <v>33217.0224</v>
      </c>
      <c r="X105" s="246" t="n">
        <f aca="false">MAX(0,X104)*0.4</f>
        <v>39817.196</v>
      </c>
      <c r="Y105" s="246" t="n">
        <f aca="false">MAX(0,Y104)*0.4</f>
        <v>50174.864</v>
      </c>
      <c r="Z105" s="246" t="n">
        <f aca="false">MAX(0,Z104)*0.4</f>
        <v>60532.524</v>
      </c>
      <c r="AA105" s="246" t="n">
        <f aca="false">MAX(0,AA104)*0.4</f>
        <v>70890.184</v>
      </c>
      <c r="AB105" s="246" t="n">
        <f aca="false">MAX(0,AB104)*0.4</f>
        <v>81247.848</v>
      </c>
      <c r="AC105" s="246" t="n">
        <f aca="false">MAX(0,AC104)*0.4</f>
        <v>91605.516</v>
      </c>
      <c r="AD105" s="246" t="n">
        <f aca="false">MAX(0,AD104)*0.45</f>
        <v>114708.573</v>
      </c>
      <c r="AE105" s="246" t="n">
        <f aca="false">MAX(0,AE104)*0.45</f>
        <v>126360.9495</v>
      </c>
      <c r="AF105" s="246" t="n">
        <f aca="false">MAX(0,AF104)*0.45</f>
        <v>153598.3245</v>
      </c>
      <c r="AG105" s="246" t="n">
        <f aca="false">MAX(0,AG104)*0.45</f>
        <v>113404.9545</v>
      </c>
      <c r="AH105" s="246" t="n">
        <f aca="false">MAX(0,AH104)*0.45</f>
        <v>113756.9085</v>
      </c>
      <c r="AI105" s="246" t="n">
        <f aca="false">MAX(0,AI104)*0.45</f>
        <v>114108.8535</v>
      </c>
      <c r="AJ105" s="246" t="n">
        <f aca="false">MAX(0,AJ104)*0.45</f>
        <v>114460.803</v>
      </c>
      <c r="AK105" s="246" t="n">
        <f aca="false">MAX(0,AK104)*0.45</f>
        <v>114812.748</v>
      </c>
      <c r="AL105" s="246" t="n">
        <f aca="false">MAX(0,AL104)*0.45</f>
        <v>126817.0695</v>
      </c>
      <c r="AM105" s="246" t="n">
        <f aca="false">MAX(0,AM104)*0.45</f>
        <v>115516.6515</v>
      </c>
      <c r="AN105" s="246" t="n">
        <f aca="false">MAX(0,AN104)*0.45</f>
        <v>104216.229</v>
      </c>
      <c r="AO105" s="246" t="n">
        <f aca="false">MAX(0,AO104)*0.45</f>
        <v>92915.8065</v>
      </c>
      <c r="AP105" s="246" t="n">
        <f aca="false">MAX(0,AP104)*0.45</f>
        <v>81615.3795</v>
      </c>
      <c r="AQ105" s="246" t="n">
        <f aca="false">MAX(0,AQ104)*0.5</f>
        <v>78127.735</v>
      </c>
      <c r="AR105" s="246" t="n">
        <f aca="false">MAX(0,AR104)*0.5</f>
        <v>65571.71</v>
      </c>
      <c r="AS105" s="246" t="n">
        <f aca="false">MAX(0,AS104)*0.5</f>
        <v>53015.68</v>
      </c>
      <c r="AT105" s="246" t="n">
        <f aca="false">MAX(0,AT104)*0.5</f>
        <v>40459.66</v>
      </c>
      <c r="AU105" s="246" t="n">
        <f aca="false">MAX(0,AU104)*0.5</f>
        <v>28388.2215</v>
      </c>
      <c r="AV105" s="246" t="n">
        <f aca="false">MAX(0,AV104)*0.5</f>
        <v>68297.05</v>
      </c>
      <c r="AW105" s="246" t="n">
        <f aca="false">MAX(0,AW104)*0.5</f>
        <v>55349.975</v>
      </c>
      <c r="AX105" s="246" t="n">
        <f aca="false">MAX(0,AX104)*0.5</f>
        <v>30137.1375</v>
      </c>
      <c r="AY105" s="246" t="n">
        <f aca="false">MAX(0,AY104)*0.5</f>
        <v>29785.188</v>
      </c>
      <c r="AZ105" s="246" t="n">
        <f aca="false">MAX(0,AZ104)*0.5</f>
        <v>29433.234</v>
      </c>
      <c r="BA105" s="246" t="n">
        <f aca="false">MAX(0,BA104)*0.5</f>
        <v>29081.289</v>
      </c>
      <c r="BB105" s="246" t="n">
        <f aca="false">MAX(0,BB104)*0.5</f>
        <v>28729.3395</v>
      </c>
      <c r="BC105" s="246" t="n">
        <f aca="false">MAX(0,BC104)*0.5</f>
        <v>28377.39</v>
      </c>
      <c r="BD105" s="246" t="n">
        <f aca="false">MAX(0,BD104)*0.5</f>
        <v>28025.4405</v>
      </c>
      <c r="BE105" s="246" t="n">
        <f aca="false">MAX(0,BE104)*0.5</f>
        <v>27673.491</v>
      </c>
      <c r="BF105" s="246" t="n">
        <f aca="false">MAX(0,BF104)*0.5</f>
        <v>27321.5415</v>
      </c>
      <c r="BG105" s="246" t="n">
        <f aca="false">MAX(0,BG104)*0.5</f>
        <v>26969.592</v>
      </c>
      <c r="BH105" s="246" t="n">
        <f aca="false">MAX(0,BH104)*0.5</f>
        <v>26617.6425</v>
      </c>
      <c r="BI105" s="246" t="n">
        <f aca="false">MAX(0,BI104)*0.5</f>
        <v>26265.693</v>
      </c>
      <c r="BJ105" s="246" t="n">
        <f aca="false">MAX(0,BJ104)*0.5</f>
        <v>25913.748</v>
      </c>
      <c r="BK105" s="246" t="n">
        <f aca="false">MAX(0,BK104)*0.5</f>
        <v>49062.294</v>
      </c>
      <c r="BL105" s="246" t="n">
        <f aca="false">MAX(0,BL104)*0.5</f>
        <v>48710.3445</v>
      </c>
      <c r="BM105" s="246" t="n">
        <f aca="false">MAX(0,BM104)*0.5</f>
        <v>100430.995</v>
      </c>
      <c r="BN105" s="246" t="n">
        <f aca="false">MAX(0,BN104)*0.5</f>
        <v>0</v>
      </c>
      <c r="BO105" s="246" t="n">
        <f aca="false">MAX(0,BO104)*0.5</f>
        <v>0</v>
      </c>
      <c r="BP105" s="246" t="n">
        <f aca="false">MAX(0,BP104)*0.5</f>
        <v>0</v>
      </c>
      <c r="BQ105" s="246" t="n">
        <f aca="false">MAX(0,BQ104)*0.5</f>
        <v>0</v>
      </c>
      <c r="BR105" s="246" t="n">
        <f aca="false">MAX(0,BR104)*0.5</f>
        <v>0</v>
      </c>
      <c r="BS105" s="246" t="n">
        <f aca="false">MAX(0,BS104)*0.5</f>
        <v>0</v>
      </c>
      <c r="BT105" s="246" t="n">
        <f aca="false">MAX(0,BT104)*0.5</f>
        <v>0</v>
      </c>
      <c r="BU105" s="246" t="n">
        <f aca="false">MAX(0,BU104)*0.5</f>
        <v>0</v>
      </c>
      <c r="BV105" s="246" t="n">
        <f aca="false">MAX(0,BV104)*0.5</f>
        <v>0</v>
      </c>
      <c r="BW105" s="246" t="n">
        <f aca="false">MAX(0,BW104)*0.5</f>
        <v>0</v>
      </c>
      <c r="BX105" s="246" t="n">
        <f aca="false">MAX(0,BX104)*0.5</f>
        <v>0</v>
      </c>
      <c r="BY105" s="246" t="n">
        <f aca="false">MAX(0,BY104)*0.5</f>
        <v>0</v>
      </c>
      <c r="BZ105" s="246" t="n">
        <f aca="false">MAX(0,BZ104)*0.5</f>
        <v>0</v>
      </c>
      <c r="CA105" s="246" t="n">
        <f aca="false">MAX(0,CA104)*0.5</f>
        <v>0</v>
      </c>
      <c r="CB105" s="246" t="n">
        <f aca="false">MAX(0,CB104)*0.5</f>
        <v>0</v>
      </c>
      <c r="CC105" s="246" t="n">
        <f aca="false">MAX(0,CC104)*0.5</f>
        <v>0</v>
      </c>
      <c r="CD105" s="246" t="n">
        <f aca="false">MAX(0,CD104)*0.5</f>
        <v>0</v>
      </c>
      <c r="CE105" s="246" t="n">
        <f aca="false">MAX(0,CE104)*0.5</f>
        <v>0</v>
      </c>
      <c r="CF105" s="246" t="n">
        <f aca="false">MAX(0,CF104)*0.5</f>
        <v>0</v>
      </c>
      <c r="CG105" s="246" t="n">
        <f aca="false">MAX(0,CG104)*0.5</f>
        <v>0</v>
      </c>
      <c r="CH105" s="246" t="n">
        <f aca="false">MAX(0,CH104)*$B$95</f>
        <v>0</v>
      </c>
    </row>
    <row r="106" customFormat="false" ht="15" hidden="false" customHeight="true" outlineLevel="0" collapsed="false">
      <c r="A106" s="99" t="s">
        <v>722</v>
      </c>
      <c r="B106" s="244" t="n">
        <f aca="false">B104-B105</f>
        <v>3538767.457</v>
      </c>
      <c r="C106" s="246" t="n">
        <f aca="false">C104-C105</f>
        <v>0</v>
      </c>
      <c r="D106" s="246" t="n">
        <f aca="false">D104-D105</f>
        <v>0</v>
      </c>
      <c r="E106" s="246" t="n">
        <f aca="false">E104-E105</f>
        <v>0</v>
      </c>
      <c r="F106" s="246" t="n">
        <f aca="false">F104-F105</f>
        <v>0</v>
      </c>
      <c r="G106" s="246" t="n">
        <f aca="false">G104-G105</f>
        <v>0</v>
      </c>
      <c r="H106" s="246" t="n">
        <f aca="false">H104-H105</f>
        <v>0</v>
      </c>
      <c r="I106" s="246" t="n">
        <f aca="false">I104-I105</f>
        <v>0</v>
      </c>
      <c r="J106" s="246" t="n">
        <f aca="false">J104-J105</f>
        <v>0</v>
      </c>
      <c r="K106" s="246" t="n">
        <f aca="false">K104-K105</f>
        <v>0</v>
      </c>
      <c r="L106" s="246" t="n">
        <f aca="false">L104-L105</f>
        <v>0</v>
      </c>
      <c r="M106" s="246" t="n">
        <f aca="false">M104-M105</f>
        <v>0</v>
      </c>
      <c r="N106" s="246" t="n">
        <f aca="false">N104-N105</f>
        <v>0</v>
      </c>
      <c r="O106" s="246" t="n">
        <f aca="false">O104-O105</f>
        <v>18627.1944</v>
      </c>
      <c r="P106" s="246" t="n">
        <f aca="false">P104-P105</f>
        <v>12376.9944</v>
      </c>
      <c r="Q106" s="246" t="n">
        <f aca="false">Q104-Q105</f>
        <v>12376.9944</v>
      </c>
      <c r="R106" s="246" t="n">
        <f aca="false">R104-R105</f>
        <v>12376.9944</v>
      </c>
      <c r="S106" s="246" t="n">
        <f aca="false">S104-S105</f>
        <v>7876.9944</v>
      </c>
      <c r="T106" s="246" t="n">
        <f aca="false">T104-T105</f>
        <v>7876.9944</v>
      </c>
      <c r="U106" s="246" t="n">
        <f aca="false">U104-U105</f>
        <v>21859.8408</v>
      </c>
      <c r="V106" s="246" t="n">
        <f aca="false">V104-V105</f>
        <v>35842.6872</v>
      </c>
      <c r="W106" s="246" t="n">
        <f aca="false">W104-W105</f>
        <v>49825.5336</v>
      </c>
      <c r="X106" s="246" t="n">
        <f aca="false">X104-X105</f>
        <v>59725.794</v>
      </c>
      <c r="Y106" s="246" t="n">
        <f aca="false">Y104-Y105</f>
        <v>75262.296</v>
      </c>
      <c r="Z106" s="246" t="n">
        <f aca="false">Z104-Z105</f>
        <v>90798.786</v>
      </c>
      <c r="AA106" s="246" t="n">
        <f aca="false">AA104-AA105</f>
        <v>106335.276</v>
      </c>
      <c r="AB106" s="246" t="n">
        <f aca="false">AB104-AB105</f>
        <v>121871.772</v>
      </c>
      <c r="AC106" s="246" t="n">
        <f aca="false">AC104-AC105</f>
        <v>137408.274</v>
      </c>
      <c r="AD106" s="246" t="n">
        <f aca="false">AD104-AD105</f>
        <v>140199.367</v>
      </c>
      <c r="AE106" s="246" t="n">
        <f aca="false">AE104-AE105</f>
        <v>154441.1605</v>
      </c>
      <c r="AF106" s="246" t="n">
        <f aca="false">AF104-AF105</f>
        <v>187731.2855</v>
      </c>
      <c r="AG106" s="246" t="n">
        <f aca="false">AG104-AG105</f>
        <v>138606.0555</v>
      </c>
      <c r="AH106" s="246" t="n">
        <f aca="false">AH104-AH105</f>
        <v>139036.2215</v>
      </c>
      <c r="AI106" s="246" t="n">
        <f aca="false">AI104-AI105</f>
        <v>139466.3765</v>
      </c>
      <c r="AJ106" s="246" t="n">
        <f aca="false">AJ104-AJ105</f>
        <v>139896.537</v>
      </c>
      <c r="AK106" s="246" t="n">
        <f aca="false">AK104-AK105</f>
        <v>140326.692</v>
      </c>
      <c r="AL106" s="246" t="n">
        <f aca="false">AL104-AL105</f>
        <v>154998.6405</v>
      </c>
      <c r="AM106" s="246" t="n">
        <f aca="false">AM104-AM105</f>
        <v>141187.0185</v>
      </c>
      <c r="AN106" s="246" t="n">
        <f aca="false">AN104-AN105</f>
        <v>127375.391</v>
      </c>
      <c r="AO106" s="246" t="n">
        <f aca="false">AO104-AO105</f>
        <v>113563.7635</v>
      </c>
      <c r="AP106" s="246" t="n">
        <f aca="false">AP104-AP105</f>
        <v>99752.1305</v>
      </c>
      <c r="AQ106" s="246" t="n">
        <f aca="false">AQ104-AQ105</f>
        <v>78127.735</v>
      </c>
      <c r="AR106" s="246" t="n">
        <f aca="false">AR104-AR105</f>
        <v>65571.71</v>
      </c>
      <c r="AS106" s="246" t="n">
        <f aca="false">AS104-AS105</f>
        <v>53015.68</v>
      </c>
      <c r="AT106" s="246" t="n">
        <f aca="false">AT104-AT105</f>
        <v>40459.66</v>
      </c>
      <c r="AU106" s="246" t="n">
        <f aca="false">AU104-AU105</f>
        <v>28388.2215</v>
      </c>
      <c r="AV106" s="246" t="n">
        <f aca="false">AV104-AV105</f>
        <v>68297.05</v>
      </c>
      <c r="AW106" s="246" t="n">
        <f aca="false">AW104-AW105</f>
        <v>55349.975</v>
      </c>
      <c r="AX106" s="246" t="n">
        <f aca="false">AX104-AX105</f>
        <v>30137.1375</v>
      </c>
      <c r="AY106" s="246" t="n">
        <f aca="false">AY104-AY105</f>
        <v>29785.188</v>
      </c>
      <c r="AZ106" s="246" t="n">
        <f aca="false">AZ104-AZ105</f>
        <v>29433.234</v>
      </c>
      <c r="BA106" s="246" t="n">
        <f aca="false">BA104-BA105</f>
        <v>29081.289</v>
      </c>
      <c r="BB106" s="246" t="n">
        <f aca="false">BB104-BB105</f>
        <v>28729.3395</v>
      </c>
      <c r="BC106" s="246" t="n">
        <f aca="false">BC104-BC105</f>
        <v>28377.39</v>
      </c>
      <c r="BD106" s="246" t="n">
        <f aca="false">BD104-BD105</f>
        <v>28025.4405</v>
      </c>
      <c r="BE106" s="246" t="n">
        <f aca="false">BE104-BE105</f>
        <v>27673.491</v>
      </c>
      <c r="BF106" s="246" t="n">
        <f aca="false">BF104-BF105</f>
        <v>27321.5415</v>
      </c>
      <c r="BG106" s="246" t="n">
        <f aca="false">BG104-BG105</f>
        <v>26969.592</v>
      </c>
      <c r="BH106" s="246" t="n">
        <f aca="false">BH104-BH105</f>
        <v>26617.6425</v>
      </c>
      <c r="BI106" s="246" t="n">
        <f aca="false">BI104-BI105</f>
        <v>26265.693</v>
      </c>
      <c r="BJ106" s="246" t="n">
        <f aca="false">BJ104-BJ105</f>
        <v>25913.748</v>
      </c>
      <c r="BK106" s="246" t="n">
        <f aca="false">BK104-BK105</f>
        <v>49062.294</v>
      </c>
      <c r="BL106" s="246" t="n">
        <f aca="false">BL104-BL105</f>
        <v>48710.3445</v>
      </c>
      <c r="BM106" s="246" t="n">
        <f aca="false">BM104-BM105</f>
        <v>100430.995</v>
      </c>
      <c r="BN106" s="246" t="n">
        <f aca="false">BN104-BN105</f>
        <v>0</v>
      </c>
      <c r="BO106" s="246" t="n">
        <f aca="false">BO104-BO105</f>
        <v>0</v>
      </c>
      <c r="BP106" s="246" t="n">
        <f aca="false">BP104-BP105</f>
        <v>0</v>
      </c>
      <c r="BQ106" s="246" t="n">
        <f aca="false">BQ104-BQ105</f>
        <v>0</v>
      </c>
      <c r="BR106" s="246" t="n">
        <f aca="false">BR104-BR105</f>
        <v>0</v>
      </c>
      <c r="BS106" s="246" t="n">
        <f aca="false">BS104-BS105</f>
        <v>0</v>
      </c>
      <c r="BT106" s="246" t="n">
        <f aca="false">BT104-BT105</f>
        <v>0</v>
      </c>
      <c r="BU106" s="246" t="n">
        <f aca="false">BU104-BU105</f>
        <v>0</v>
      </c>
      <c r="BV106" s="246" t="n">
        <f aca="false">BV104-BV105</f>
        <v>0</v>
      </c>
      <c r="BW106" s="246" t="n">
        <f aca="false">BW104-BW105</f>
        <v>0</v>
      </c>
      <c r="BX106" s="246" t="n">
        <f aca="false">BX104-BX105</f>
        <v>0</v>
      </c>
      <c r="BY106" s="246" t="n">
        <f aca="false">BY104-BY105</f>
        <v>0</v>
      </c>
      <c r="BZ106" s="246" t="n">
        <f aca="false">BZ104-BZ105</f>
        <v>0</v>
      </c>
      <c r="CA106" s="246" t="n">
        <f aca="false">CA104-CA105</f>
        <v>0</v>
      </c>
      <c r="CB106" s="246" t="n">
        <f aca="false">CB104-CB105</f>
        <v>0</v>
      </c>
      <c r="CC106" s="246" t="n">
        <f aca="false">CC104-CC105</f>
        <v>0</v>
      </c>
      <c r="CD106" s="246" t="n">
        <f aca="false">CD104-CD105</f>
        <v>0</v>
      </c>
      <c r="CE106" s="246" t="n">
        <f aca="false">CE104-CE105</f>
        <v>0</v>
      </c>
      <c r="CF106" s="246" t="n">
        <f aca="false">CF104-CF105</f>
        <v>0</v>
      </c>
      <c r="CG106" s="246" t="n">
        <f aca="false">CG104-CG105</f>
        <v>0</v>
      </c>
      <c r="CH106" s="246" t="n">
        <f aca="false">CH104-CH105</f>
        <v>0</v>
      </c>
    </row>
    <row r="107" customFormat="false" ht="15" hidden="false" customHeight="true" outlineLevel="0" collapsed="false">
      <c r="A107" s="99" t="s">
        <v>723</v>
      </c>
      <c r="B107" s="244" t="n">
        <f aca="false">B103+B106</f>
        <v>4101960.074</v>
      </c>
      <c r="C107" s="246" t="n">
        <f aca="false">C103+C106</f>
        <v>0</v>
      </c>
      <c r="D107" s="246" t="n">
        <f aca="false">D103+D106</f>
        <v>0</v>
      </c>
      <c r="E107" s="246" t="n">
        <f aca="false">E103+E106</f>
        <v>0</v>
      </c>
      <c r="F107" s="246" t="n">
        <f aca="false">F103+F106</f>
        <v>0</v>
      </c>
      <c r="G107" s="246" t="n">
        <f aca="false">G103+G106</f>
        <v>0</v>
      </c>
      <c r="H107" s="246" t="n">
        <f aca="false">H103+H106</f>
        <v>0</v>
      </c>
      <c r="I107" s="246" t="n">
        <f aca="false">I103+I106</f>
        <v>0</v>
      </c>
      <c r="J107" s="246" t="n">
        <f aca="false">J103+J106</f>
        <v>0</v>
      </c>
      <c r="K107" s="246" t="n">
        <f aca="false">K103+K106</f>
        <v>0</v>
      </c>
      <c r="L107" s="246" t="n">
        <f aca="false">L103+L106</f>
        <v>0</v>
      </c>
      <c r="M107" s="246" t="n">
        <f aca="false">M103+M106</f>
        <v>0</v>
      </c>
      <c r="N107" s="246" t="n">
        <f aca="false">N103+N106</f>
        <v>0</v>
      </c>
      <c r="O107" s="246" t="n">
        <f aca="false">O103+O106</f>
        <v>23132.2304</v>
      </c>
      <c r="P107" s="246" t="n">
        <f aca="false">P103+P106</f>
        <v>16882.0304</v>
      </c>
      <c r="Q107" s="246" t="n">
        <f aca="false">Q103+Q106</f>
        <v>16882.0304</v>
      </c>
      <c r="R107" s="246" t="n">
        <f aca="false">R103+R106</f>
        <v>16882.0304</v>
      </c>
      <c r="S107" s="246" t="n">
        <f aca="false">S103+S106</f>
        <v>12382.0304</v>
      </c>
      <c r="T107" s="246" t="n">
        <f aca="false">T103+T106</f>
        <v>12382.0304</v>
      </c>
      <c r="U107" s="246" t="n">
        <f aca="false">U103+U106</f>
        <v>28954.2928</v>
      </c>
      <c r="V107" s="246" t="n">
        <f aca="false">V103+V106</f>
        <v>45526.5552</v>
      </c>
      <c r="W107" s="246" t="n">
        <f aca="false">W103+W106</f>
        <v>62098.8176</v>
      </c>
      <c r="X107" s="246" t="n">
        <f aca="false">X103+X106</f>
        <v>72225.794</v>
      </c>
      <c r="Y107" s="246" t="n">
        <f aca="false">Y103+Y106</f>
        <v>87762.296</v>
      </c>
      <c r="Z107" s="246" t="n">
        <f aca="false">Z103+Z106</f>
        <v>103298.786</v>
      </c>
      <c r="AA107" s="246" t="n">
        <f aca="false">AA103+AA106</f>
        <v>118835.276</v>
      </c>
      <c r="AB107" s="246" t="n">
        <f aca="false">AB103+AB106</f>
        <v>134371.772</v>
      </c>
      <c r="AC107" s="246" t="n">
        <f aca="false">AC103+AC106</f>
        <v>149908.274</v>
      </c>
      <c r="AD107" s="246" t="n">
        <f aca="false">AD103+AD106</f>
        <v>152699.367</v>
      </c>
      <c r="AE107" s="246" t="n">
        <f aca="false">AE103+AE106</f>
        <v>166941.1605</v>
      </c>
      <c r="AF107" s="246" t="n">
        <f aca="false">AF103+AF106</f>
        <v>200231.2855</v>
      </c>
      <c r="AG107" s="246" t="n">
        <f aca="false">AG103+AG106</f>
        <v>151106.0555</v>
      </c>
      <c r="AH107" s="246" t="n">
        <f aca="false">AH103+AH106</f>
        <v>151536.2215</v>
      </c>
      <c r="AI107" s="246" t="n">
        <f aca="false">AI103+AI106</f>
        <v>151966.3765</v>
      </c>
      <c r="AJ107" s="246" t="n">
        <f aca="false">AJ103+AJ106</f>
        <v>152396.537</v>
      </c>
      <c r="AK107" s="246" t="n">
        <f aca="false">AK103+AK106</f>
        <v>152826.692</v>
      </c>
      <c r="AL107" s="246" t="n">
        <f aca="false">AL103+AL106</f>
        <v>167498.6405</v>
      </c>
      <c r="AM107" s="246" t="n">
        <f aca="false">AM103+AM106</f>
        <v>153687.0185</v>
      </c>
      <c r="AN107" s="246" t="n">
        <f aca="false">AN103+AN106</f>
        <v>139875.391</v>
      </c>
      <c r="AO107" s="246" t="n">
        <f aca="false">AO103+AO106</f>
        <v>126063.7635</v>
      </c>
      <c r="AP107" s="246" t="n">
        <f aca="false">AP103+AP106</f>
        <v>112252.1305</v>
      </c>
      <c r="AQ107" s="246" t="n">
        <f aca="false">AQ103+AQ106</f>
        <v>90627.735</v>
      </c>
      <c r="AR107" s="246" t="n">
        <f aca="false">AR103+AR106</f>
        <v>78071.71</v>
      </c>
      <c r="AS107" s="246" t="n">
        <f aca="false">AS103+AS106</f>
        <v>65515.68</v>
      </c>
      <c r="AT107" s="246" t="n">
        <f aca="false">AT103+AT106</f>
        <v>52959.66</v>
      </c>
      <c r="AU107" s="246" t="n">
        <f aca="false">AU103+AU106</f>
        <v>39919.0485</v>
      </c>
      <c r="AV107" s="246" t="n">
        <f aca="false">AV103+AV106</f>
        <v>80797.05</v>
      </c>
      <c r="AW107" s="246" t="n">
        <f aca="false">AW103+AW106</f>
        <v>67849.975</v>
      </c>
      <c r="AX107" s="246" t="n">
        <f aca="false">AX103+AX106</f>
        <v>42056.6125</v>
      </c>
      <c r="AY107" s="246" t="n">
        <f aca="false">AY103+AY106</f>
        <v>41626.452</v>
      </c>
      <c r="AZ107" s="246" t="n">
        <f aca="false">AZ103+AZ106</f>
        <v>41196.286</v>
      </c>
      <c r="BA107" s="246" t="n">
        <f aca="false">BA103+BA106</f>
        <v>40766.131</v>
      </c>
      <c r="BB107" s="246" t="n">
        <f aca="false">BB103+BB106</f>
        <v>40335.9705</v>
      </c>
      <c r="BC107" s="246" t="n">
        <f aca="false">BC103+BC106</f>
        <v>39905.81</v>
      </c>
      <c r="BD107" s="246" t="n">
        <f aca="false">BD103+BD106</f>
        <v>39475.6495</v>
      </c>
      <c r="BE107" s="246" t="n">
        <f aca="false">BE103+BE106</f>
        <v>39045.489</v>
      </c>
      <c r="BF107" s="246" t="n">
        <f aca="false">BF103+BF106</f>
        <v>38615.3285</v>
      </c>
      <c r="BG107" s="246" t="n">
        <f aca="false">BG103+BG106</f>
        <v>38185.168</v>
      </c>
      <c r="BH107" s="246" t="n">
        <f aca="false">BH103+BH106</f>
        <v>37755.0075</v>
      </c>
      <c r="BI107" s="246" t="n">
        <f aca="false">BI103+BI106</f>
        <v>37324.847</v>
      </c>
      <c r="BJ107" s="246" t="n">
        <f aca="false">BJ103+BJ106</f>
        <v>36894.692</v>
      </c>
      <c r="BK107" s="246" t="n">
        <f aca="false">BK103+BK106</f>
        <v>59965.026</v>
      </c>
      <c r="BL107" s="246" t="n">
        <f aca="false">BL103+BL106</f>
        <v>59534.8655</v>
      </c>
      <c r="BM107" s="246" t="n">
        <f aca="false">BM103+BM106</f>
        <v>112930.995</v>
      </c>
      <c r="BN107" s="246" t="n">
        <f aca="false">BN103+BN106</f>
        <v>0</v>
      </c>
      <c r="BO107" s="246" t="n">
        <f aca="false">BO103+BO106</f>
        <v>0</v>
      </c>
      <c r="BP107" s="246" t="n">
        <f aca="false">BP103+BP106</f>
        <v>0</v>
      </c>
      <c r="BQ107" s="246" t="n">
        <f aca="false">BQ103+BQ106</f>
        <v>0</v>
      </c>
      <c r="BR107" s="246" t="n">
        <f aca="false">BR103+BR106</f>
        <v>0</v>
      </c>
      <c r="BS107" s="246" t="n">
        <f aca="false">BS103+BS106</f>
        <v>0</v>
      </c>
      <c r="BT107" s="246" t="n">
        <f aca="false">BT103+BT106</f>
        <v>0</v>
      </c>
      <c r="BU107" s="246" t="n">
        <f aca="false">BU103+BU106</f>
        <v>0</v>
      </c>
      <c r="BV107" s="246" t="n">
        <f aca="false">BV103+BV106</f>
        <v>0</v>
      </c>
      <c r="BW107" s="246" t="n">
        <f aca="false">BW103+BW106</f>
        <v>0</v>
      </c>
      <c r="BX107" s="246" t="n">
        <f aca="false">BX103+BX106</f>
        <v>0</v>
      </c>
      <c r="BY107" s="246" t="n">
        <f aca="false">BY103+BY106</f>
        <v>0</v>
      </c>
      <c r="BZ107" s="246" t="n">
        <f aca="false">BZ103+BZ106</f>
        <v>0</v>
      </c>
      <c r="CA107" s="246" t="n">
        <f aca="false">CA103+CA106</f>
        <v>0</v>
      </c>
      <c r="CB107" s="246" t="n">
        <f aca="false">CB103+CB106</f>
        <v>0</v>
      </c>
      <c r="CC107" s="246" t="n">
        <f aca="false">CC103+CC106</f>
        <v>0</v>
      </c>
      <c r="CD107" s="246" t="n">
        <f aca="false">CD103+CD106</f>
        <v>0</v>
      </c>
      <c r="CE107" s="246" t="n">
        <f aca="false">CE103+CE106</f>
        <v>0</v>
      </c>
      <c r="CF107" s="246" t="n">
        <f aca="false">CF103+CF106</f>
        <v>0</v>
      </c>
      <c r="CG107" s="246" t="n">
        <f aca="false">CG103+CG106</f>
        <v>0</v>
      </c>
      <c r="CH107" s="246" t="n">
        <f aca="false">CH103+CH106</f>
        <v>0</v>
      </c>
    </row>
    <row r="112" customFormat="false" ht="15" hidden="false" customHeight="true" outlineLevel="0" collapsed="false">
      <c r="A112" s="1" t="s">
        <v>834</v>
      </c>
    </row>
    <row r="113" customFormat="false" ht="15" hidden="false" customHeight="true" outlineLevel="0" collapsed="false">
      <c r="A113" s="1" t="s">
        <v>835</v>
      </c>
    </row>
    <row r="114" customFormat="false" ht="15" hidden="false" customHeight="true" outlineLevel="0" collapsed="false">
      <c r="A114" s="1" t="s">
        <v>836</v>
      </c>
    </row>
    <row r="115" customFormat="false" ht="15" hidden="false" customHeight="true" outlineLevel="0" collapsed="false">
      <c r="A115" s="1" t="s">
        <v>837</v>
      </c>
    </row>
    <row r="116" customFormat="false" ht="15" hidden="false" customHeight="true" outlineLevel="0" collapsed="false">
      <c r="A116" s="1" t="s">
        <v>838</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839</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840</v>
      </c>
      <c r="B4" s="3"/>
      <c r="C4" s="247" t="n">
        <f aca="false">Model!E246</f>
        <v>9375</v>
      </c>
      <c r="D4" s="247" t="n">
        <f aca="false">Model!F246</f>
        <v>9375</v>
      </c>
      <c r="E4" s="247" t="n">
        <f aca="false">Model!G246</f>
        <v>9375</v>
      </c>
      <c r="F4" s="247" t="n">
        <f aca="false">Model!H246</f>
        <v>9375</v>
      </c>
      <c r="G4" s="247" t="n">
        <f aca="false">Model!I246</f>
        <v>0</v>
      </c>
      <c r="H4" s="247" t="n">
        <f aca="false">Model!J246</f>
        <v>9375</v>
      </c>
      <c r="I4" s="247" t="n">
        <f aca="false">Model!K246</f>
        <v>9375</v>
      </c>
      <c r="J4" s="247" t="n">
        <f aca="false">Model!L246</f>
        <v>0</v>
      </c>
      <c r="K4" s="247" t="n">
        <f aca="false">Model!M246</f>
        <v>0</v>
      </c>
      <c r="L4" s="247" t="n">
        <f aca="false">Model!N246</f>
        <v>0</v>
      </c>
      <c r="M4" s="247" t="n">
        <f aca="false">Model!O246</f>
        <v>0</v>
      </c>
      <c r="N4" s="247" t="n">
        <f aca="false">Model!P246</f>
        <v>0</v>
      </c>
      <c r="O4" s="247" t="n">
        <f aca="false">Model!Q246</f>
        <v>0</v>
      </c>
      <c r="P4" s="247" t="n">
        <f aca="false">Model!R246</f>
        <v>0</v>
      </c>
      <c r="Q4" s="247" t="n">
        <f aca="false">Model!S246</f>
        <v>0</v>
      </c>
      <c r="R4" s="247" t="n">
        <f aca="false">Model!T246</f>
        <v>0</v>
      </c>
      <c r="S4" s="247" t="n">
        <f aca="false">Model!U246</f>
        <v>0</v>
      </c>
      <c r="T4" s="247" t="n">
        <f aca="false">Model!V246</f>
        <v>0</v>
      </c>
      <c r="U4" s="247" t="n">
        <f aca="false">Model!W246</f>
        <v>0</v>
      </c>
      <c r="V4" s="247" t="n">
        <f aca="false">Model!X246</f>
        <v>0</v>
      </c>
      <c r="W4" s="247" t="n">
        <f aca="false">Model!Y246</f>
        <v>0</v>
      </c>
      <c r="X4" s="247" t="n">
        <f aca="false">Model!Z246</f>
        <v>0</v>
      </c>
      <c r="Y4" s="247" t="n">
        <f aca="false">Model!AA246</f>
        <v>0</v>
      </c>
      <c r="Z4" s="247" t="n">
        <f aca="false">Model!AB246</f>
        <v>0</v>
      </c>
      <c r="AA4" s="247" t="n">
        <f aca="false">Model!AC246</f>
        <v>0</v>
      </c>
      <c r="AB4" s="247" t="n">
        <f aca="false">Model!AD246</f>
        <v>0</v>
      </c>
      <c r="AC4" s="247" t="n">
        <f aca="false">Model!AE246</f>
        <v>0</v>
      </c>
      <c r="AD4" s="247" t="n">
        <f aca="false">Model!AF246</f>
        <v>0</v>
      </c>
      <c r="AE4" s="247" t="n">
        <f aca="false">Model!AG246</f>
        <v>0</v>
      </c>
      <c r="AF4" s="247" t="n">
        <f aca="false">Model!AH246</f>
        <v>0</v>
      </c>
      <c r="AG4" s="247" t="n">
        <f aca="false">Model!AI246</f>
        <v>0</v>
      </c>
      <c r="AH4" s="247" t="n">
        <f aca="false">Model!AJ246</f>
        <v>0</v>
      </c>
      <c r="AI4" s="247" t="n">
        <f aca="false">Model!AK246</f>
        <v>0</v>
      </c>
      <c r="AJ4" s="247" t="n">
        <f aca="false">Model!AL246</f>
        <v>0</v>
      </c>
      <c r="AK4" s="247" t="n">
        <f aca="false">Model!AM246</f>
        <v>0</v>
      </c>
      <c r="AL4" s="247" t="n">
        <f aca="false">Model!AN246</f>
        <v>0</v>
      </c>
      <c r="AM4" s="247" t="n">
        <f aca="false">Model!AO246</f>
        <v>0</v>
      </c>
      <c r="AN4" s="247" t="n">
        <f aca="false">Model!AP246</f>
        <v>0</v>
      </c>
      <c r="AO4" s="247" t="n">
        <f aca="false">Model!AQ246</f>
        <v>0</v>
      </c>
      <c r="AP4" s="247" t="n">
        <f aca="false">Model!AR246</f>
        <v>0</v>
      </c>
      <c r="AQ4" s="247" t="n">
        <f aca="false">Model!AS246</f>
        <v>0</v>
      </c>
      <c r="AR4" s="247" t="n">
        <f aca="false">Model!AT246</f>
        <v>0</v>
      </c>
      <c r="AS4" s="247" t="n">
        <f aca="false">Model!AU246</f>
        <v>0</v>
      </c>
      <c r="AT4" s="247" t="n">
        <f aca="false">Model!AV246</f>
        <v>0</v>
      </c>
      <c r="AU4" s="247" t="n">
        <f aca="false">Model!AW246</f>
        <v>0</v>
      </c>
      <c r="AV4" s="247" t="n">
        <f aca="false">Model!AX246</f>
        <v>0</v>
      </c>
      <c r="AW4" s="247" t="n">
        <f aca="false">Model!AY246</f>
        <v>0</v>
      </c>
      <c r="AX4" s="247" t="n">
        <f aca="false">Model!AZ246</f>
        <v>0</v>
      </c>
      <c r="AY4" s="247" t="n">
        <f aca="false">Model!BA246</f>
        <v>0</v>
      </c>
      <c r="AZ4" s="247" t="n">
        <f aca="false">Model!BB246</f>
        <v>0</v>
      </c>
      <c r="BA4" s="247" t="n">
        <f aca="false">Model!BC246</f>
        <v>0</v>
      </c>
      <c r="BB4" s="247" t="n">
        <f aca="false">Model!BD246</f>
        <v>0</v>
      </c>
      <c r="BC4" s="247" t="n">
        <f aca="false">Model!BE246</f>
        <v>0</v>
      </c>
      <c r="BD4" s="247" t="n">
        <f aca="false">Model!BF246</f>
        <v>0</v>
      </c>
      <c r="BE4" s="247" t="n">
        <f aca="false">Model!BG246</f>
        <v>0</v>
      </c>
      <c r="BF4" s="247" t="n">
        <f aca="false">Model!BH246</f>
        <v>0</v>
      </c>
      <c r="BG4" s="247" t="n">
        <f aca="false">Model!BI246</f>
        <v>0</v>
      </c>
      <c r="BH4" s="247" t="n">
        <f aca="false">Model!BJ246</f>
        <v>0</v>
      </c>
      <c r="BI4" s="247" t="n">
        <f aca="false">Model!BK246</f>
        <v>0</v>
      </c>
      <c r="BJ4" s="247" t="n">
        <f aca="false">Model!BL246</f>
        <v>0</v>
      </c>
      <c r="BK4" s="247" t="n">
        <f aca="false">Model!BM246</f>
        <v>0</v>
      </c>
      <c r="BL4" s="247" t="n">
        <f aca="false">Model!BN246</f>
        <v>0</v>
      </c>
      <c r="BM4" s="247" t="n">
        <f aca="false">Model!BO246</f>
        <v>0</v>
      </c>
      <c r="BN4" s="247" t="n">
        <f aca="false">Model!BP246</f>
        <v>0</v>
      </c>
      <c r="BO4" s="247" t="n">
        <f aca="false">Model!BQ246</f>
        <v>0</v>
      </c>
      <c r="BP4" s="247" t="n">
        <f aca="false">Model!BR246</f>
        <v>0</v>
      </c>
      <c r="BQ4" s="247" t="n">
        <f aca="false">Model!BS246</f>
        <v>0</v>
      </c>
      <c r="BR4" s="247" t="n">
        <f aca="false">Model!BT246</f>
        <v>0</v>
      </c>
      <c r="BS4" s="247" t="n">
        <f aca="false">Model!BU246</f>
        <v>0</v>
      </c>
      <c r="BT4" s="247" t="n">
        <f aca="false">Model!BV246</f>
        <v>0</v>
      </c>
      <c r="BU4" s="247" t="n">
        <f aca="false">Model!BW246</f>
        <v>0</v>
      </c>
      <c r="BV4" s="247" t="n">
        <f aca="false">Model!BX246</f>
        <v>0</v>
      </c>
      <c r="BW4" s="247" t="n">
        <f aca="false">Model!BY246</f>
        <v>0</v>
      </c>
      <c r="BX4" s="247" t="n">
        <f aca="false">Model!BZ246</f>
        <v>0</v>
      </c>
      <c r="BY4" s="247" t="n">
        <f aca="false">Model!CA246</f>
        <v>0</v>
      </c>
      <c r="BZ4" s="247" t="n">
        <f aca="false">Model!CB246</f>
        <v>0</v>
      </c>
      <c r="CA4" s="247" t="n">
        <f aca="false">Model!CC246</f>
        <v>0</v>
      </c>
      <c r="CB4" s="247" t="n">
        <f aca="false">Model!CD246</f>
        <v>0</v>
      </c>
      <c r="CC4" s="247" t="n">
        <f aca="false">Model!CE246</f>
        <v>0</v>
      </c>
      <c r="CD4" s="247" t="n">
        <f aca="false">Model!CF246</f>
        <v>0</v>
      </c>
      <c r="CE4" s="247" t="n">
        <f aca="false">Model!CG246</f>
        <v>0</v>
      </c>
      <c r="CF4" s="247" t="n">
        <f aca="false">Model!CH246</f>
        <v>0</v>
      </c>
      <c r="CG4" s="247" t="n">
        <f aca="false">Model!CI246</f>
        <v>0</v>
      </c>
      <c r="CH4" s="247" t="n">
        <f aca="false">Model!CJ246</f>
        <v>0</v>
      </c>
    </row>
    <row r="5" customFormat="false" ht="15" hidden="false" customHeight="true" outlineLevel="0" collapsed="false">
      <c r="A5" s="248" t="s">
        <v>841</v>
      </c>
      <c r="B5" s="248"/>
      <c r="C5" s="249" t="n">
        <f aca="false">C4</f>
        <v>9375</v>
      </c>
      <c r="D5" s="249" t="n">
        <f aca="false">D4</f>
        <v>9375</v>
      </c>
      <c r="E5" s="249" t="n">
        <f aca="false">E4</f>
        <v>9375</v>
      </c>
      <c r="F5" s="249" t="n">
        <f aca="false">F4</f>
        <v>9375</v>
      </c>
      <c r="G5" s="249" t="n">
        <f aca="false">G4</f>
        <v>0</v>
      </c>
      <c r="H5" s="249" t="n">
        <f aca="false">H4</f>
        <v>9375</v>
      </c>
      <c r="I5" s="249" t="n">
        <f aca="false">I4</f>
        <v>9375</v>
      </c>
      <c r="J5" s="249" t="n">
        <f aca="false">J4</f>
        <v>0</v>
      </c>
      <c r="K5" s="249" t="n">
        <f aca="false">K4</f>
        <v>0</v>
      </c>
      <c r="L5" s="249" t="n">
        <f aca="false">L4</f>
        <v>0</v>
      </c>
      <c r="M5" s="249" t="n">
        <f aca="false">M4</f>
        <v>0</v>
      </c>
      <c r="N5" s="249" t="n">
        <f aca="false">N4</f>
        <v>0</v>
      </c>
      <c r="O5" s="249" t="n">
        <f aca="false">O4</f>
        <v>0</v>
      </c>
      <c r="P5" s="249" t="n">
        <f aca="false">P4</f>
        <v>0</v>
      </c>
      <c r="Q5" s="249" t="n">
        <f aca="false">Q4</f>
        <v>0</v>
      </c>
      <c r="R5" s="249" t="n">
        <f aca="false">R4</f>
        <v>0</v>
      </c>
      <c r="S5" s="249" t="n">
        <f aca="false">S4</f>
        <v>0</v>
      </c>
      <c r="T5" s="249" t="n">
        <f aca="false">T4</f>
        <v>0</v>
      </c>
      <c r="U5" s="249" t="n">
        <f aca="false">U4</f>
        <v>0</v>
      </c>
      <c r="V5" s="249" t="n">
        <f aca="false">V4</f>
        <v>0</v>
      </c>
      <c r="W5" s="249" t="n">
        <f aca="false">W4</f>
        <v>0</v>
      </c>
      <c r="X5" s="249" t="n">
        <f aca="false">X4</f>
        <v>0</v>
      </c>
      <c r="Y5" s="249" t="n">
        <f aca="false">Y4</f>
        <v>0</v>
      </c>
      <c r="Z5" s="249" t="n">
        <f aca="false">Z4</f>
        <v>0</v>
      </c>
      <c r="AA5" s="249" t="n">
        <f aca="false">AA4</f>
        <v>0</v>
      </c>
      <c r="AB5" s="249" t="n">
        <f aca="false">AB4</f>
        <v>0</v>
      </c>
      <c r="AC5" s="249" t="n">
        <f aca="false">AC4</f>
        <v>0</v>
      </c>
      <c r="AD5" s="249" t="n">
        <f aca="false">AD4</f>
        <v>0</v>
      </c>
      <c r="AE5" s="249" t="n">
        <f aca="false">AE4</f>
        <v>0</v>
      </c>
      <c r="AF5" s="249" t="n">
        <f aca="false">AF4</f>
        <v>0</v>
      </c>
      <c r="AG5" s="249" t="n">
        <f aca="false">AG4</f>
        <v>0</v>
      </c>
      <c r="AH5" s="249" t="n">
        <f aca="false">AH4</f>
        <v>0</v>
      </c>
      <c r="AI5" s="249" t="n">
        <f aca="false">AI4</f>
        <v>0</v>
      </c>
      <c r="AJ5" s="249" t="n">
        <f aca="false">AJ4</f>
        <v>0</v>
      </c>
      <c r="AK5" s="249" t="n">
        <f aca="false">AK4</f>
        <v>0</v>
      </c>
      <c r="AL5" s="249" t="n">
        <f aca="false">AL4</f>
        <v>0</v>
      </c>
      <c r="AM5" s="249" t="n">
        <f aca="false">AM4</f>
        <v>0</v>
      </c>
      <c r="AN5" s="249" t="n">
        <f aca="false">AN4</f>
        <v>0</v>
      </c>
      <c r="AO5" s="249" t="n">
        <f aca="false">AO4</f>
        <v>0</v>
      </c>
      <c r="AP5" s="249" t="n">
        <f aca="false">AP4</f>
        <v>0</v>
      </c>
      <c r="AQ5" s="249" t="n">
        <f aca="false">AQ4</f>
        <v>0</v>
      </c>
      <c r="AR5" s="249" t="n">
        <f aca="false">AR4</f>
        <v>0</v>
      </c>
      <c r="AS5" s="249" t="n">
        <f aca="false">AS4</f>
        <v>0</v>
      </c>
      <c r="AT5" s="249" t="n">
        <f aca="false">AT4</f>
        <v>0</v>
      </c>
      <c r="AU5" s="249" t="n">
        <f aca="false">AU4</f>
        <v>0</v>
      </c>
      <c r="AV5" s="249" t="n">
        <f aca="false">AV4</f>
        <v>0</v>
      </c>
      <c r="AW5" s="249" t="n">
        <f aca="false">AW4</f>
        <v>0</v>
      </c>
      <c r="AX5" s="249" t="n">
        <f aca="false">AX4</f>
        <v>0</v>
      </c>
      <c r="AY5" s="249" t="n">
        <f aca="false">AY4</f>
        <v>0</v>
      </c>
      <c r="AZ5" s="249" t="n">
        <f aca="false">AZ4</f>
        <v>0</v>
      </c>
      <c r="BA5" s="249" t="n">
        <f aca="false">BA4</f>
        <v>0</v>
      </c>
      <c r="BB5" s="249" t="n">
        <f aca="false">BB4</f>
        <v>0</v>
      </c>
      <c r="BC5" s="249" t="n">
        <f aca="false">BC4</f>
        <v>0</v>
      </c>
      <c r="BD5" s="249" t="n">
        <f aca="false">BD4</f>
        <v>0</v>
      </c>
      <c r="BE5" s="249" t="n">
        <f aca="false">BE4</f>
        <v>0</v>
      </c>
      <c r="BF5" s="249" t="n">
        <f aca="false">BF4</f>
        <v>0</v>
      </c>
      <c r="BG5" s="249" t="n">
        <f aca="false">BG4</f>
        <v>0</v>
      </c>
      <c r="BH5" s="249" t="n">
        <f aca="false">BH4</f>
        <v>0</v>
      </c>
      <c r="BI5" s="249" t="n">
        <f aca="false">BI4</f>
        <v>0</v>
      </c>
      <c r="BJ5" s="249" t="n">
        <f aca="false">BJ4</f>
        <v>0</v>
      </c>
      <c r="BK5" s="249" t="n">
        <f aca="false">BK4</f>
        <v>0</v>
      </c>
      <c r="BL5" s="249" t="n">
        <f aca="false">BL4</f>
        <v>0</v>
      </c>
      <c r="BM5" s="249" t="n">
        <f aca="false">BM4</f>
        <v>0</v>
      </c>
      <c r="BN5" s="249" t="n">
        <f aca="false">BN4</f>
        <v>0</v>
      </c>
      <c r="BO5" s="249" t="n">
        <f aca="false">BO4</f>
        <v>0</v>
      </c>
      <c r="BP5" s="249" t="n">
        <f aca="false">BP4</f>
        <v>0</v>
      </c>
      <c r="BQ5" s="249" t="n">
        <f aca="false">BQ4</f>
        <v>0</v>
      </c>
      <c r="BR5" s="249" t="n">
        <f aca="false">BR4</f>
        <v>0</v>
      </c>
      <c r="BS5" s="249" t="n">
        <f aca="false">BS4</f>
        <v>0</v>
      </c>
      <c r="BT5" s="249" t="n">
        <f aca="false">BT4</f>
        <v>0</v>
      </c>
      <c r="BU5" s="249" t="n">
        <f aca="false">BU4</f>
        <v>0</v>
      </c>
      <c r="BV5" s="249" t="n">
        <f aca="false">BV4</f>
        <v>0</v>
      </c>
      <c r="BW5" s="249" t="n">
        <f aca="false">BW4</f>
        <v>0</v>
      </c>
      <c r="BX5" s="249" t="n">
        <f aca="false">BX4</f>
        <v>0</v>
      </c>
      <c r="BY5" s="249" t="n">
        <f aca="false">BY4</f>
        <v>0</v>
      </c>
      <c r="BZ5" s="249" t="n">
        <f aca="false">BZ4</f>
        <v>0</v>
      </c>
      <c r="CA5" s="249" t="n">
        <f aca="false">CA4</f>
        <v>0</v>
      </c>
      <c r="CB5" s="249" t="n">
        <f aca="false">CB4</f>
        <v>0</v>
      </c>
      <c r="CC5" s="249" t="n">
        <f aca="false">CC4</f>
        <v>0</v>
      </c>
      <c r="CD5" s="249" t="n">
        <f aca="false">CD4</f>
        <v>0</v>
      </c>
      <c r="CE5" s="249" t="n">
        <f aca="false">CE4</f>
        <v>0</v>
      </c>
      <c r="CF5" s="249" t="n">
        <f aca="false">CF4</f>
        <v>0</v>
      </c>
      <c r="CG5" s="249" t="n">
        <f aca="false">CG4</f>
        <v>0</v>
      </c>
      <c r="CH5" s="249" t="n">
        <f aca="false">CH4</f>
        <v>0</v>
      </c>
    </row>
    <row r="6" customFormat="false" ht="15" hidden="false" customHeight="true" outlineLevel="0" collapsed="false">
      <c r="A6" s="2" t="s">
        <v>842</v>
      </c>
      <c r="B6" s="3"/>
      <c r="C6" s="250" t="n">
        <f aca="false">C5</f>
        <v>9375</v>
      </c>
      <c r="D6" s="250" t="n">
        <f aca="false">C6+D5</f>
        <v>18750</v>
      </c>
      <c r="E6" s="250" t="n">
        <f aca="false">D6+E5</f>
        <v>28125</v>
      </c>
      <c r="F6" s="250" t="n">
        <f aca="false">E6+F5</f>
        <v>37500</v>
      </c>
      <c r="G6" s="250" t="n">
        <f aca="false">F6+G5</f>
        <v>37500</v>
      </c>
      <c r="H6" s="250" t="n">
        <f aca="false">G6+H5</f>
        <v>46875</v>
      </c>
      <c r="I6" s="250" t="n">
        <f aca="false">H6+I5</f>
        <v>56250</v>
      </c>
      <c r="J6" s="250" t="n">
        <f aca="false">I6+J5</f>
        <v>56250</v>
      </c>
      <c r="K6" s="250" t="n">
        <f aca="false">J6+K5</f>
        <v>56250</v>
      </c>
      <c r="L6" s="250" t="n">
        <f aca="false">K6+L5</f>
        <v>56250</v>
      </c>
      <c r="M6" s="250" t="n">
        <f aca="false">L6+M5</f>
        <v>56250</v>
      </c>
      <c r="N6" s="250" t="n">
        <f aca="false">M6+N5</f>
        <v>56250</v>
      </c>
      <c r="O6" s="250" t="n">
        <f aca="false">N6+O5</f>
        <v>56250</v>
      </c>
      <c r="P6" s="250" t="n">
        <f aca="false">O6+P5</f>
        <v>56250</v>
      </c>
      <c r="Q6" s="250" t="n">
        <f aca="false">P6+Q5</f>
        <v>56250</v>
      </c>
      <c r="R6" s="250" t="n">
        <f aca="false">Q6+R5</f>
        <v>56250</v>
      </c>
      <c r="S6" s="250" t="n">
        <f aca="false">R6+S5</f>
        <v>56250</v>
      </c>
      <c r="T6" s="250" t="n">
        <f aca="false">S6+T5</f>
        <v>56250</v>
      </c>
      <c r="U6" s="250" t="n">
        <f aca="false">T6+U5</f>
        <v>56250</v>
      </c>
      <c r="V6" s="250" t="n">
        <f aca="false">U6+V5</f>
        <v>56250</v>
      </c>
      <c r="W6" s="250" t="n">
        <f aca="false">V6+W5</f>
        <v>56250</v>
      </c>
      <c r="X6" s="250" t="n">
        <f aca="false">W6+X5</f>
        <v>56250</v>
      </c>
      <c r="Y6" s="250" t="n">
        <f aca="false">X6+Y5</f>
        <v>56250</v>
      </c>
      <c r="Z6" s="250" t="n">
        <f aca="false">Y6+Z5</f>
        <v>56250</v>
      </c>
      <c r="AA6" s="250" t="n">
        <f aca="false">Z6+AA5</f>
        <v>56250</v>
      </c>
      <c r="AB6" s="250" t="n">
        <f aca="false">AA6+AB5</f>
        <v>56250</v>
      </c>
      <c r="AC6" s="250" t="n">
        <f aca="false">AB6+AC5</f>
        <v>56250</v>
      </c>
      <c r="AD6" s="250" t="n">
        <f aca="false">AC6+AD5</f>
        <v>56250</v>
      </c>
      <c r="AE6" s="250" t="n">
        <f aca="false">AD6+AE5</f>
        <v>56250</v>
      </c>
      <c r="AF6" s="250" t="n">
        <f aca="false">AE6+AF5</f>
        <v>56250</v>
      </c>
      <c r="AG6" s="250" t="n">
        <f aca="false">AF6+AG5</f>
        <v>56250</v>
      </c>
      <c r="AH6" s="250" t="n">
        <f aca="false">AG6+AH5</f>
        <v>56250</v>
      </c>
      <c r="AI6" s="250" t="n">
        <f aca="false">AH6+AI5</f>
        <v>56250</v>
      </c>
      <c r="AJ6" s="250" t="n">
        <f aca="false">AI6+AJ5</f>
        <v>56250</v>
      </c>
      <c r="AK6" s="250" t="n">
        <f aca="false">AJ6+AK5</f>
        <v>56250</v>
      </c>
      <c r="AL6" s="250" t="n">
        <f aca="false">AK6+AL5</f>
        <v>56250</v>
      </c>
      <c r="AM6" s="250" t="n">
        <f aca="false">AL6+AM5</f>
        <v>56250</v>
      </c>
      <c r="AN6" s="250" t="n">
        <f aca="false">AM6+AN5</f>
        <v>56250</v>
      </c>
      <c r="AO6" s="250" t="n">
        <f aca="false">AN6+AO5</f>
        <v>56250</v>
      </c>
      <c r="AP6" s="250" t="n">
        <f aca="false">AO6+AP5</f>
        <v>56250</v>
      </c>
      <c r="AQ6" s="250" t="n">
        <f aca="false">AP6+AQ5</f>
        <v>56250</v>
      </c>
      <c r="AR6" s="250" t="n">
        <f aca="false">AQ6+AR5</f>
        <v>56250</v>
      </c>
      <c r="AS6" s="250" t="n">
        <f aca="false">AR6+AS5</f>
        <v>56250</v>
      </c>
      <c r="AT6" s="250" t="n">
        <f aca="false">AS6+AT5</f>
        <v>56250</v>
      </c>
      <c r="AU6" s="250" t="n">
        <f aca="false">AT6+AU5</f>
        <v>56250</v>
      </c>
      <c r="AV6" s="250" t="n">
        <f aca="false">AU6+AV5</f>
        <v>56250</v>
      </c>
      <c r="AW6" s="250" t="n">
        <f aca="false">AV6+AW5</f>
        <v>56250</v>
      </c>
      <c r="AX6" s="250" t="n">
        <f aca="false">AW6+AX5</f>
        <v>56250</v>
      </c>
      <c r="AY6" s="250" t="n">
        <f aca="false">AX6+AY5</f>
        <v>56250</v>
      </c>
      <c r="AZ6" s="250" t="n">
        <f aca="false">AY6+AZ5</f>
        <v>56250</v>
      </c>
      <c r="BA6" s="250" t="n">
        <f aca="false">AZ6+BA5</f>
        <v>56250</v>
      </c>
      <c r="BB6" s="250" t="n">
        <f aca="false">BA6+BB5</f>
        <v>56250</v>
      </c>
      <c r="BC6" s="250" t="n">
        <f aca="false">BB6+BC5</f>
        <v>56250</v>
      </c>
      <c r="BD6" s="250" t="n">
        <f aca="false">BC6+BD5</f>
        <v>56250</v>
      </c>
      <c r="BE6" s="250" t="n">
        <f aca="false">BD6+BE5</f>
        <v>56250</v>
      </c>
      <c r="BF6" s="250" t="n">
        <f aca="false">BE6+BF5</f>
        <v>56250</v>
      </c>
      <c r="BG6" s="250" t="n">
        <f aca="false">BF6+BG5</f>
        <v>56250</v>
      </c>
      <c r="BH6" s="250" t="n">
        <f aca="false">BG6+BH5</f>
        <v>56250</v>
      </c>
      <c r="BI6" s="250" t="n">
        <f aca="false">BH6+BI5</f>
        <v>56250</v>
      </c>
      <c r="BJ6" s="250" t="n">
        <f aca="false">BI6+BJ5</f>
        <v>56250</v>
      </c>
      <c r="BK6" s="250" t="n">
        <f aca="false">BJ6+BK5</f>
        <v>56250</v>
      </c>
      <c r="BL6" s="250" t="n">
        <f aca="false">BK6+BL5</f>
        <v>56250</v>
      </c>
      <c r="BM6" s="250" t="n">
        <f aca="false">BL6+BM5</f>
        <v>56250</v>
      </c>
      <c r="BN6" s="250" t="n">
        <f aca="false">BM6+BN5</f>
        <v>56250</v>
      </c>
      <c r="BO6" s="250" t="n">
        <f aca="false">BN6+BO5</f>
        <v>56250</v>
      </c>
      <c r="BP6" s="250" t="n">
        <f aca="false">BO6+BP5</f>
        <v>56250</v>
      </c>
      <c r="BQ6" s="250" t="n">
        <f aca="false">BP6+BQ5</f>
        <v>56250</v>
      </c>
      <c r="BR6" s="250" t="n">
        <f aca="false">BQ6+BR5</f>
        <v>56250</v>
      </c>
      <c r="BS6" s="250" t="n">
        <f aca="false">BR6+BS5</f>
        <v>56250</v>
      </c>
      <c r="BT6" s="250" t="n">
        <f aca="false">BS6+BT5</f>
        <v>56250</v>
      </c>
      <c r="BU6" s="250" t="n">
        <f aca="false">BT6+BU5</f>
        <v>56250</v>
      </c>
      <c r="BV6" s="250" t="n">
        <f aca="false">BU6+BV5</f>
        <v>56250</v>
      </c>
      <c r="BW6" s="250" t="n">
        <f aca="false">BV6+BW5</f>
        <v>56250</v>
      </c>
      <c r="BX6" s="250" t="n">
        <f aca="false">BW6+BX5</f>
        <v>56250</v>
      </c>
      <c r="BY6" s="250" t="n">
        <f aca="false">BX6+BY5</f>
        <v>56250</v>
      </c>
      <c r="BZ6" s="250" t="n">
        <f aca="false">BY6+BZ5</f>
        <v>56250</v>
      </c>
      <c r="CA6" s="250" t="n">
        <f aca="false">BZ6+CA5</f>
        <v>56250</v>
      </c>
      <c r="CB6" s="250" t="n">
        <f aca="false">CA6+CB5</f>
        <v>56250</v>
      </c>
      <c r="CC6" s="250" t="n">
        <f aca="false">CB6+CC5</f>
        <v>56250</v>
      </c>
      <c r="CD6" s="250" t="n">
        <f aca="false">CC6+CD5</f>
        <v>56250</v>
      </c>
      <c r="CE6" s="250" t="n">
        <f aca="false">CD6+CE5</f>
        <v>56250</v>
      </c>
      <c r="CF6" s="250" t="n">
        <f aca="false">CE6+CF5</f>
        <v>56250</v>
      </c>
      <c r="CG6" s="250" t="n">
        <f aca="false">CF6+CG5</f>
        <v>56250</v>
      </c>
      <c r="CH6" s="250" t="n">
        <f aca="false">CG6+CH5</f>
        <v>56250</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840</v>
      </c>
      <c r="B9" s="3"/>
      <c r="C9" s="247" t="n">
        <f aca="false">Model!E242+Model!E243+Model!E244+Model!E245</f>
        <v>23906.25</v>
      </c>
      <c r="D9" s="247" t="n">
        <f aca="false">Model!F242+Model!F243+Model!F244+Model!F245</f>
        <v>23906.25</v>
      </c>
      <c r="E9" s="247" t="n">
        <f aca="false">Model!G242+Model!G243+Model!G244+Model!G245</f>
        <v>23906.25</v>
      </c>
      <c r="F9" s="247" t="n">
        <f aca="false">Model!H242+Model!H243+Model!H244+Model!H245</f>
        <v>23906.25</v>
      </c>
      <c r="G9" s="247" t="n">
        <f aca="false">Model!I242+Model!I243+Model!I244+Model!I245</f>
        <v>0</v>
      </c>
      <c r="H9" s="247" t="n">
        <f aca="false">Model!J242+Model!J243+Model!J244+Model!J245</f>
        <v>23906.25</v>
      </c>
      <c r="I9" s="247" t="n">
        <f aca="false">Model!K242+Model!K243+Model!K244+Model!K245</f>
        <v>23906.25</v>
      </c>
      <c r="J9" s="247" t="n">
        <f aca="false">Model!L242+Model!L243+Model!L244+Model!L245</f>
        <v>23906.25</v>
      </c>
      <c r="K9" s="247" t="n">
        <f aca="false">Model!M242+Model!M243+Model!M244+Model!M245</f>
        <v>23906.25</v>
      </c>
      <c r="L9" s="247" t="n">
        <f aca="false">Model!N242+Model!N243+Model!N244+Model!N245</f>
        <v>23906.25</v>
      </c>
      <c r="M9" s="247" t="n">
        <f aca="false">Model!O242+Model!O243+Model!O244+Model!O245</f>
        <v>23906.25</v>
      </c>
      <c r="N9" s="247" t="n">
        <f aca="false">Model!P242+Model!P243+Model!P244+Model!P245</f>
        <v>23906.25</v>
      </c>
      <c r="O9" s="247" t="n">
        <f aca="false">Model!Q242+Model!Q243+Model!Q244+Model!Q245</f>
        <v>23906.25</v>
      </c>
      <c r="P9" s="247" t="n">
        <f aca="false">Model!R242+Model!R243+Model!R244+Model!R245</f>
        <v>23906.25</v>
      </c>
      <c r="Q9" s="247" t="n">
        <f aca="false">Model!S242+Model!S243+Model!S244+Model!S245</f>
        <v>23906.25</v>
      </c>
      <c r="R9" s="247" t="n">
        <f aca="false">Model!T242+Model!T243+Model!T244+Model!T245</f>
        <v>0</v>
      </c>
      <c r="S9" s="247" t="n">
        <f aca="false">Model!U242+Model!U243+Model!U244+Model!U245</f>
        <v>0</v>
      </c>
      <c r="T9" s="247" t="n">
        <f aca="false">Model!V242+Model!V243+Model!V244+Model!V245</f>
        <v>0</v>
      </c>
      <c r="U9" s="247" t="n">
        <f aca="false">Model!W242+Model!W243+Model!W244+Model!W245</f>
        <v>0</v>
      </c>
      <c r="V9" s="247" t="n">
        <f aca="false">Model!X242+Model!X243+Model!X244+Model!X245</f>
        <v>0</v>
      </c>
      <c r="W9" s="247" t="n">
        <f aca="false">Model!Y242+Model!Y243+Model!Y244+Model!Y245</f>
        <v>57375</v>
      </c>
      <c r="X9" s="247" t="n">
        <f aca="false">Model!Z242+Model!Z243+Model!Z244+Model!Z245</f>
        <v>0</v>
      </c>
      <c r="Y9" s="247" t="n">
        <f aca="false">Model!AA242+Model!AA243+Model!AA244+Model!AA245</f>
        <v>0</v>
      </c>
      <c r="Z9" s="247" t="n">
        <f aca="false">Model!AB242+Model!AB243+Model!AB244+Model!AB245</f>
        <v>57375</v>
      </c>
      <c r="AA9" s="247" t="n">
        <f aca="false">Model!AC242+Model!AC243+Model!AC244+Model!AC245</f>
        <v>0</v>
      </c>
      <c r="AB9" s="247" t="n">
        <f aca="false">Model!AD242+Model!AD243+Model!AD244+Model!AD245</f>
        <v>0</v>
      </c>
      <c r="AC9" s="247" t="n">
        <f aca="false">Model!AE242+Model!AE243+Model!AE244+Model!AE245</f>
        <v>57375</v>
      </c>
      <c r="AD9" s="247" t="n">
        <f aca="false">Model!AF242+Model!AF243+Model!AF244+Model!AF245</f>
        <v>0</v>
      </c>
      <c r="AE9" s="247" t="n">
        <f aca="false">Model!AG242+Model!AG243+Model!AG244+Model!AG245</f>
        <v>0</v>
      </c>
      <c r="AF9" s="247" t="n">
        <f aca="false">Model!AH242+Model!AH243+Model!AH244+Model!AH245</f>
        <v>0</v>
      </c>
      <c r="AG9" s="247" t="n">
        <f aca="false">Model!AI242+Model!AI243+Model!AI244+Model!AI245</f>
        <v>0</v>
      </c>
      <c r="AH9" s="247" t="n">
        <f aca="false">Model!AJ242+Model!AJ243+Model!AJ244+Model!AJ245</f>
        <v>0</v>
      </c>
      <c r="AI9" s="247" t="n">
        <f aca="false">Model!AK242+Model!AK243+Model!AK244+Model!AK245</f>
        <v>0</v>
      </c>
      <c r="AJ9" s="247" t="n">
        <f aca="false">Model!AL242+Model!AL243+Model!AL244+Model!AL245</f>
        <v>0</v>
      </c>
      <c r="AK9" s="247" t="n">
        <f aca="false">Model!AM242+Model!AM243+Model!AM244+Model!AM245</f>
        <v>0</v>
      </c>
      <c r="AL9" s="247" t="n">
        <f aca="false">Model!AN242+Model!AN243+Model!AN244+Model!AN245</f>
        <v>0</v>
      </c>
      <c r="AM9" s="247" t="n">
        <f aca="false">Model!AO242+Model!AO243+Model!AO244+Model!AO245</f>
        <v>0</v>
      </c>
      <c r="AN9" s="247" t="n">
        <f aca="false">Model!AP242+Model!AP243+Model!AP244+Model!AP245</f>
        <v>0</v>
      </c>
      <c r="AO9" s="247" t="n">
        <f aca="false">Model!AQ242+Model!AQ243+Model!AQ244+Model!AQ245</f>
        <v>0</v>
      </c>
      <c r="AP9" s="247" t="n">
        <f aca="false">Model!AR242+Model!AR243+Model!AR244+Model!AR245</f>
        <v>0</v>
      </c>
      <c r="AQ9" s="247" t="n">
        <f aca="false">Model!AS242+Model!AS243+Model!AS244+Model!AS245</f>
        <v>0</v>
      </c>
      <c r="AR9" s="247" t="n">
        <f aca="false">Model!AT242+Model!AT243+Model!AT244+Model!AT245</f>
        <v>0</v>
      </c>
      <c r="AS9" s="247" t="n">
        <f aca="false">Model!AU242+Model!AU243+Model!AU244+Model!AU245</f>
        <v>0</v>
      </c>
      <c r="AT9" s="247" t="n">
        <f aca="false">Model!AV242+Model!AV243+Model!AV244+Model!AV245</f>
        <v>0</v>
      </c>
      <c r="AU9" s="247" t="n">
        <f aca="false">Model!AW242+Model!AW243+Model!AW244+Model!AW245</f>
        <v>0</v>
      </c>
      <c r="AV9" s="247" t="n">
        <f aca="false">Model!AX242+Model!AX243+Model!AX244+Model!AX245</f>
        <v>0</v>
      </c>
      <c r="AW9" s="247" t="n">
        <f aca="false">Model!AY242+Model!AY243+Model!AY244+Model!AY245</f>
        <v>0</v>
      </c>
      <c r="AX9" s="247" t="n">
        <f aca="false">Model!AZ242+Model!AZ243+Model!AZ244+Model!AZ245</f>
        <v>0</v>
      </c>
      <c r="AY9" s="247" t="n">
        <f aca="false">Model!BA242+Model!BA243+Model!BA244+Model!BA245</f>
        <v>0</v>
      </c>
      <c r="AZ9" s="247" t="n">
        <f aca="false">Model!BB242+Model!BB243+Model!BB244+Model!BB245</f>
        <v>0</v>
      </c>
      <c r="BA9" s="247" t="n">
        <f aca="false">Model!BC242+Model!BC243+Model!BC244+Model!BC245</f>
        <v>0</v>
      </c>
      <c r="BB9" s="247" t="n">
        <f aca="false">Model!BD242+Model!BD243+Model!BD244+Model!BD245</f>
        <v>0</v>
      </c>
      <c r="BC9" s="247" t="n">
        <f aca="false">Model!BE242+Model!BE243+Model!BE244+Model!BE245</f>
        <v>0</v>
      </c>
      <c r="BD9" s="247" t="n">
        <f aca="false">Model!BF242+Model!BF243+Model!BF244+Model!BF245</f>
        <v>0</v>
      </c>
      <c r="BE9" s="247" t="n">
        <f aca="false">Model!BG242+Model!BG243+Model!BG244+Model!BG245</f>
        <v>0</v>
      </c>
      <c r="BF9" s="247" t="n">
        <f aca="false">Model!BH242+Model!BH243+Model!BH244+Model!BH245</f>
        <v>0</v>
      </c>
      <c r="BG9" s="247" t="n">
        <f aca="false">Model!BI242+Model!BI243+Model!BI244+Model!BI245</f>
        <v>0</v>
      </c>
      <c r="BH9" s="247" t="n">
        <f aca="false">Model!BJ242+Model!BJ243+Model!BJ244+Model!BJ245</f>
        <v>0</v>
      </c>
      <c r="BI9" s="247" t="n">
        <f aca="false">Model!BK242+Model!BK243+Model!BK244+Model!BK245</f>
        <v>0</v>
      </c>
      <c r="BJ9" s="247" t="n">
        <f aca="false">Model!BL242+Model!BL243+Model!BL244+Model!BL245</f>
        <v>0</v>
      </c>
      <c r="BK9" s="247" t="n">
        <f aca="false">Model!BM242+Model!BM243+Model!BM244+Model!BM245</f>
        <v>0</v>
      </c>
      <c r="BL9" s="247" t="n">
        <f aca="false">Model!BN242+Model!BN243+Model!BN244+Model!BN245</f>
        <v>0</v>
      </c>
      <c r="BM9" s="247" t="n">
        <f aca="false">Model!BO242+Model!BO243+Model!BO244+Model!BO245</f>
        <v>0</v>
      </c>
      <c r="BN9" s="247" t="n">
        <f aca="false">Model!BP242+Model!BP243+Model!BP244+Model!BP245</f>
        <v>0</v>
      </c>
      <c r="BO9" s="247" t="n">
        <f aca="false">Model!BQ242+Model!BQ243+Model!BQ244+Model!BQ245</f>
        <v>0</v>
      </c>
      <c r="BP9" s="247" t="n">
        <f aca="false">Model!BR242+Model!BR243+Model!BR244+Model!BR245</f>
        <v>0</v>
      </c>
      <c r="BQ9" s="247" t="n">
        <f aca="false">Model!BS242+Model!BS243+Model!BS244+Model!BS245</f>
        <v>0</v>
      </c>
      <c r="BR9" s="247" t="n">
        <f aca="false">Model!BT242+Model!BT243+Model!BT244+Model!BT245</f>
        <v>0</v>
      </c>
      <c r="BS9" s="247" t="n">
        <f aca="false">Model!BU242+Model!BU243+Model!BU244+Model!BU245</f>
        <v>0</v>
      </c>
      <c r="BT9" s="247" t="n">
        <f aca="false">Model!BV242+Model!BV243+Model!BV244+Model!BV245</f>
        <v>0</v>
      </c>
      <c r="BU9" s="247" t="n">
        <f aca="false">Model!BW242+Model!BW243+Model!BW244+Model!BW245</f>
        <v>0</v>
      </c>
      <c r="BV9" s="247" t="n">
        <f aca="false">Model!BX242+Model!BX243+Model!BX244+Model!BX245</f>
        <v>0</v>
      </c>
      <c r="BW9" s="247" t="n">
        <f aca="false">Model!BY242+Model!BY243+Model!BY244+Model!BY245</f>
        <v>0</v>
      </c>
      <c r="BX9" s="247" t="n">
        <f aca="false">Model!BZ242+Model!BZ243+Model!BZ244+Model!BZ245</f>
        <v>0</v>
      </c>
      <c r="BY9" s="247" t="n">
        <f aca="false">Model!CA242+Model!CA243+Model!CA244+Model!CA245</f>
        <v>0</v>
      </c>
      <c r="BZ9" s="247" t="n">
        <f aca="false">Model!CB242+Model!CB243+Model!CB244+Model!CB245</f>
        <v>0</v>
      </c>
      <c r="CA9" s="247" t="n">
        <f aca="false">Model!CC242+Model!CC243+Model!CC244+Model!CC245</f>
        <v>0</v>
      </c>
      <c r="CB9" s="247" t="n">
        <f aca="false">Model!CD242+Model!CD243+Model!CD244+Model!CD245</f>
        <v>0</v>
      </c>
      <c r="CC9" s="247" t="n">
        <f aca="false">Model!CE242+Model!CE243+Model!CE244+Model!CE245</f>
        <v>0</v>
      </c>
      <c r="CD9" s="247" t="n">
        <f aca="false">Model!CF242+Model!CF243+Model!CF244+Model!CF245</f>
        <v>0</v>
      </c>
      <c r="CE9" s="247" t="n">
        <f aca="false">Model!CG242+Model!CG243+Model!CG244+Model!CG245</f>
        <v>0</v>
      </c>
      <c r="CF9" s="247" t="n">
        <f aca="false">Model!CH242+Model!CH243+Model!CH244+Model!CH245</f>
        <v>0</v>
      </c>
      <c r="CG9" s="247" t="n">
        <f aca="false">Model!CI242+Model!CI243+Model!CI244+Model!CI245</f>
        <v>0</v>
      </c>
      <c r="CH9" s="247" t="n">
        <f aca="false">Model!CJ242+Model!CJ243+Model!CJ244+Model!CJ245</f>
        <v>0</v>
      </c>
    </row>
    <row r="10" customFormat="false" ht="15" hidden="false" customHeight="true" outlineLevel="0" collapsed="false">
      <c r="A10" s="248" t="s">
        <v>841</v>
      </c>
      <c r="B10" s="248"/>
      <c r="C10" s="249" t="n">
        <f aca="false">C9</f>
        <v>23906.25</v>
      </c>
      <c r="D10" s="249" t="n">
        <f aca="false">D9</f>
        <v>23906.25</v>
      </c>
      <c r="E10" s="249" t="n">
        <f aca="false">E9</f>
        <v>23906.25</v>
      </c>
      <c r="F10" s="249" t="n">
        <f aca="false">F9</f>
        <v>23906.25</v>
      </c>
      <c r="G10" s="249" t="n">
        <f aca="false">G9</f>
        <v>0</v>
      </c>
      <c r="H10" s="249" t="n">
        <f aca="false">H9</f>
        <v>23906.25</v>
      </c>
      <c r="I10" s="249" t="n">
        <f aca="false">I9</f>
        <v>23906.25</v>
      </c>
      <c r="J10" s="249" t="n">
        <f aca="false">J9</f>
        <v>23906.25</v>
      </c>
      <c r="K10" s="249" t="n">
        <f aca="false">K9</f>
        <v>23906.25</v>
      </c>
      <c r="L10" s="249" t="n">
        <f aca="false">L9</f>
        <v>23906.25</v>
      </c>
      <c r="M10" s="249" t="n">
        <f aca="false">M9</f>
        <v>23906.25</v>
      </c>
      <c r="N10" s="249" t="n">
        <f aca="false">N9</f>
        <v>23906.25</v>
      </c>
      <c r="O10" s="249" t="n">
        <f aca="false">O9</f>
        <v>23906.25</v>
      </c>
      <c r="P10" s="249" t="n">
        <f aca="false">P9</f>
        <v>23906.25</v>
      </c>
      <c r="Q10" s="249" t="n">
        <f aca="false">Q9</f>
        <v>23906.25</v>
      </c>
      <c r="R10" s="249" t="n">
        <f aca="false">R9</f>
        <v>0</v>
      </c>
      <c r="S10" s="249" t="n">
        <f aca="false">S9</f>
        <v>0</v>
      </c>
      <c r="T10" s="249" t="n">
        <f aca="false">T9</f>
        <v>0</v>
      </c>
      <c r="U10" s="249" t="n">
        <f aca="false">U9</f>
        <v>0</v>
      </c>
      <c r="V10" s="249" t="n">
        <f aca="false">V9</f>
        <v>0</v>
      </c>
      <c r="W10" s="249" t="n">
        <f aca="false">W9</f>
        <v>57375</v>
      </c>
      <c r="X10" s="249" t="n">
        <f aca="false">X9</f>
        <v>0</v>
      </c>
      <c r="Y10" s="249" t="n">
        <f aca="false">Y9</f>
        <v>0</v>
      </c>
      <c r="Z10" s="249" t="n">
        <f aca="false">Z9</f>
        <v>57375</v>
      </c>
      <c r="AA10" s="249" t="n">
        <f aca="false">AA9</f>
        <v>0</v>
      </c>
      <c r="AB10" s="249" t="n">
        <f aca="false">AB9</f>
        <v>0</v>
      </c>
      <c r="AC10" s="249" t="n">
        <f aca="false">AC9</f>
        <v>57375</v>
      </c>
      <c r="AD10" s="249" t="n">
        <f aca="false">AD9</f>
        <v>0</v>
      </c>
      <c r="AE10" s="249" t="n">
        <f aca="false">AE9</f>
        <v>0</v>
      </c>
      <c r="AF10" s="249" t="n">
        <f aca="false">AF9</f>
        <v>0</v>
      </c>
      <c r="AG10" s="249" t="n">
        <f aca="false">AG9</f>
        <v>0</v>
      </c>
      <c r="AH10" s="249" t="n">
        <f aca="false">AH9</f>
        <v>0</v>
      </c>
      <c r="AI10" s="249" t="n">
        <f aca="false">AI9</f>
        <v>0</v>
      </c>
      <c r="AJ10" s="249" t="n">
        <f aca="false">AJ9</f>
        <v>0</v>
      </c>
      <c r="AK10" s="249" t="n">
        <f aca="false">AK9</f>
        <v>0</v>
      </c>
      <c r="AL10" s="249" t="n">
        <f aca="false">AL9</f>
        <v>0</v>
      </c>
      <c r="AM10" s="249" t="n">
        <f aca="false">AM9</f>
        <v>0</v>
      </c>
      <c r="AN10" s="249" t="n">
        <f aca="false">AN9</f>
        <v>0</v>
      </c>
      <c r="AO10" s="249" t="n">
        <f aca="false">AO9</f>
        <v>0</v>
      </c>
      <c r="AP10" s="249" t="n">
        <f aca="false">AP9</f>
        <v>0</v>
      </c>
      <c r="AQ10" s="249" t="n">
        <f aca="false">AQ9</f>
        <v>0</v>
      </c>
      <c r="AR10" s="249" t="n">
        <f aca="false">AR9</f>
        <v>0</v>
      </c>
      <c r="AS10" s="249" t="n">
        <f aca="false">AS9</f>
        <v>0</v>
      </c>
      <c r="AT10" s="249" t="n">
        <f aca="false">AT9</f>
        <v>0</v>
      </c>
      <c r="AU10" s="249" t="n">
        <f aca="false">AU9</f>
        <v>0</v>
      </c>
      <c r="AV10" s="249" t="n">
        <f aca="false">AV9</f>
        <v>0</v>
      </c>
      <c r="AW10" s="249" t="n">
        <f aca="false">AW9</f>
        <v>0</v>
      </c>
      <c r="AX10" s="249" t="n">
        <f aca="false">AX9</f>
        <v>0</v>
      </c>
      <c r="AY10" s="249" t="n">
        <f aca="false">AY9</f>
        <v>0</v>
      </c>
      <c r="AZ10" s="249" t="n">
        <f aca="false">AZ9</f>
        <v>0</v>
      </c>
      <c r="BA10" s="249" t="n">
        <f aca="false">BA9</f>
        <v>0</v>
      </c>
      <c r="BB10" s="249" t="n">
        <f aca="false">BB9</f>
        <v>0</v>
      </c>
      <c r="BC10" s="249" t="n">
        <f aca="false">BC9</f>
        <v>0</v>
      </c>
      <c r="BD10" s="249" t="n">
        <f aca="false">BD9</f>
        <v>0</v>
      </c>
      <c r="BE10" s="249" t="n">
        <f aca="false">BE9</f>
        <v>0</v>
      </c>
      <c r="BF10" s="249" t="n">
        <f aca="false">BF9</f>
        <v>0</v>
      </c>
      <c r="BG10" s="249" t="n">
        <f aca="false">BG9</f>
        <v>0</v>
      </c>
      <c r="BH10" s="249" t="n">
        <f aca="false">BH9</f>
        <v>0</v>
      </c>
      <c r="BI10" s="249" t="n">
        <f aca="false">BI9</f>
        <v>0</v>
      </c>
      <c r="BJ10" s="249" t="n">
        <f aca="false">BJ9</f>
        <v>0</v>
      </c>
      <c r="BK10" s="249" t="n">
        <f aca="false">BK9</f>
        <v>0</v>
      </c>
      <c r="BL10" s="249" t="n">
        <f aca="false">BL9</f>
        <v>0</v>
      </c>
      <c r="BM10" s="249" t="n">
        <f aca="false">BM9</f>
        <v>0</v>
      </c>
      <c r="BN10" s="249" t="n">
        <f aca="false">BN9</f>
        <v>0</v>
      </c>
      <c r="BO10" s="249" t="n">
        <f aca="false">BO9</f>
        <v>0</v>
      </c>
      <c r="BP10" s="249" t="n">
        <f aca="false">BP9</f>
        <v>0</v>
      </c>
      <c r="BQ10" s="249" t="n">
        <f aca="false">BQ9</f>
        <v>0</v>
      </c>
      <c r="BR10" s="249" t="n">
        <f aca="false">BR9</f>
        <v>0</v>
      </c>
      <c r="BS10" s="249" t="n">
        <f aca="false">BS9</f>
        <v>0</v>
      </c>
      <c r="BT10" s="249" t="n">
        <f aca="false">BT9</f>
        <v>0</v>
      </c>
      <c r="BU10" s="249" t="n">
        <f aca="false">BU9</f>
        <v>0</v>
      </c>
      <c r="BV10" s="249" t="n">
        <f aca="false">BV9</f>
        <v>0</v>
      </c>
      <c r="BW10" s="249" t="n">
        <f aca="false">BW9</f>
        <v>0</v>
      </c>
      <c r="BX10" s="249" t="n">
        <f aca="false">BX9</f>
        <v>0</v>
      </c>
      <c r="BY10" s="249" t="n">
        <f aca="false">BY9</f>
        <v>0</v>
      </c>
      <c r="BZ10" s="249" t="n">
        <f aca="false">BZ9</f>
        <v>0</v>
      </c>
      <c r="CA10" s="249" t="n">
        <f aca="false">CA9</f>
        <v>0</v>
      </c>
      <c r="CB10" s="249" t="n">
        <f aca="false">CB9</f>
        <v>0</v>
      </c>
      <c r="CC10" s="249" t="n">
        <f aca="false">CC9</f>
        <v>0</v>
      </c>
      <c r="CD10" s="249" t="n">
        <f aca="false">CD9</f>
        <v>0</v>
      </c>
      <c r="CE10" s="249" t="n">
        <f aca="false">CE9</f>
        <v>0</v>
      </c>
      <c r="CF10" s="249" t="n">
        <f aca="false">CF9</f>
        <v>0</v>
      </c>
      <c r="CG10" s="249" t="n">
        <f aca="false">CG9</f>
        <v>0</v>
      </c>
      <c r="CH10" s="249" t="n">
        <f aca="false">CH9</f>
        <v>0</v>
      </c>
    </row>
    <row r="11" customFormat="false" ht="15" hidden="false" customHeight="true" outlineLevel="0" collapsed="false">
      <c r="A11" s="2" t="s">
        <v>842</v>
      </c>
      <c r="B11" s="3"/>
      <c r="C11" s="250" t="n">
        <f aca="false">C10</f>
        <v>23906.25</v>
      </c>
      <c r="D11" s="250" t="n">
        <f aca="false">C11+D10</f>
        <v>47812.5</v>
      </c>
      <c r="E11" s="250" t="n">
        <f aca="false">D11+E10</f>
        <v>71718.75</v>
      </c>
      <c r="F11" s="250" t="n">
        <f aca="false">E11+F10</f>
        <v>95625</v>
      </c>
      <c r="G11" s="250" t="n">
        <f aca="false">F11+G10</f>
        <v>95625</v>
      </c>
      <c r="H11" s="250" t="n">
        <f aca="false">G11+H10</f>
        <v>119531.25</v>
      </c>
      <c r="I11" s="250" t="n">
        <f aca="false">H11+I10</f>
        <v>143437.5</v>
      </c>
      <c r="J11" s="250" t="n">
        <f aca="false">I11+J10</f>
        <v>167343.75</v>
      </c>
      <c r="K11" s="250" t="n">
        <f aca="false">J11+K10</f>
        <v>191250</v>
      </c>
      <c r="L11" s="250" t="n">
        <f aca="false">K11+L10</f>
        <v>215156.25</v>
      </c>
      <c r="M11" s="250" t="n">
        <f aca="false">L11+M10</f>
        <v>239062.5</v>
      </c>
      <c r="N11" s="250" t="n">
        <f aca="false">M11+N10</f>
        <v>262968.75</v>
      </c>
      <c r="O11" s="250" t="n">
        <f aca="false">N11+O10</f>
        <v>286875</v>
      </c>
      <c r="P11" s="250" t="n">
        <f aca="false">O11+P10</f>
        <v>310781.25</v>
      </c>
      <c r="Q11" s="250" t="n">
        <f aca="false">P11+Q10</f>
        <v>334687.5</v>
      </c>
      <c r="R11" s="250" t="n">
        <f aca="false">Q11+R10</f>
        <v>334687.5</v>
      </c>
      <c r="S11" s="250" t="n">
        <f aca="false">R11+S10</f>
        <v>334687.5</v>
      </c>
      <c r="T11" s="250" t="n">
        <f aca="false">S11+T10</f>
        <v>334687.5</v>
      </c>
      <c r="U11" s="250" t="n">
        <f aca="false">T11+U10</f>
        <v>334687.5</v>
      </c>
      <c r="V11" s="250" t="n">
        <f aca="false">U11+V10</f>
        <v>334687.5</v>
      </c>
      <c r="W11" s="250" t="n">
        <f aca="false">V11+W10</f>
        <v>392062.5</v>
      </c>
      <c r="X11" s="250" t="n">
        <f aca="false">W11+X10</f>
        <v>392062.5</v>
      </c>
      <c r="Y11" s="250" t="n">
        <f aca="false">X11+Y10</f>
        <v>392062.5</v>
      </c>
      <c r="Z11" s="250" t="n">
        <f aca="false">Y11+Z10</f>
        <v>449437.5</v>
      </c>
      <c r="AA11" s="250" t="n">
        <f aca="false">Z11+AA10</f>
        <v>449437.5</v>
      </c>
      <c r="AB11" s="250" t="n">
        <f aca="false">AA11+AB10</f>
        <v>449437.5</v>
      </c>
      <c r="AC11" s="250" t="n">
        <f aca="false">AB11+AC10</f>
        <v>506812.5</v>
      </c>
      <c r="AD11" s="250" t="n">
        <f aca="false">AC11+AD10</f>
        <v>506812.5</v>
      </c>
      <c r="AE11" s="250" t="n">
        <f aca="false">AD11+AE10</f>
        <v>506812.5</v>
      </c>
      <c r="AF11" s="250" t="n">
        <f aca="false">AE11+AF10</f>
        <v>506812.5</v>
      </c>
      <c r="AG11" s="250" t="n">
        <f aca="false">AF11+AG10</f>
        <v>506812.5</v>
      </c>
      <c r="AH11" s="250" t="n">
        <f aca="false">AG11+AH10</f>
        <v>506812.5</v>
      </c>
      <c r="AI11" s="250" t="n">
        <f aca="false">AH11+AI10</f>
        <v>506812.5</v>
      </c>
      <c r="AJ11" s="250" t="n">
        <f aca="false">AI11+AJ10</f>
        <v>506812.5</v>
      </c>
      <c r="AK11" s="250" t="n">
        <f aca="false">AJ11+AK10</f>
        <v>506812.5</v>
      </c>
      <c r="AL11" s="250" t="n">
        <f aca="false">AK11+AL10</f>
        <v>506812.5</v>
      </c>
      <c r="AM11" s="250" t="n">
        <f aca="false">AL11+AM10</f>
        <v>506812.5</v>
      </c>
      <c r="AN11" s="250" t="n">
        <f aca="false">AM11+AN10</f>
        <v>506812.5</v>
      </c>
      <c r="AO11" s="250" t="n">
        <f aca="false">AN11+AO10</f>
        <v>506812.5</v>
      </c>
      <c r="AP11" s="250" t="n">
        <f aca="false">AO11+AP10</f>
        <v>506812.5</v>
      </c>
      <c r="AQ11" s="250" t="n">
        <f aca="false">AP11+AQ10</f>
        <v>506812.5</v>
      </c>
      <c r="AR11" s="250" t="n">
        <f aca="false">AQ11+AR10</f>
        <v>506812.5</v>
      </c>
      <c r="AS11" s="250" t="n">
        <f aca="false">AR11+AS10</f>
        <v>506812.5</v>
      </c>
      <c r="AT11" s="250" t="n">
        <f aca="false">AS11+AT10</f>
        <v>506812.5</v>
      </c>
      <c r="AU11" s="250" t="n">
        <f aca="false">AT11+AU10</f>
        <v>506812.5</v>
      </c>
      <c r="AV11" s="250" t="n">
        <f aca="false">AU11+AV10</f>
        <v>506812.5</v>
      </c>
      <c r="AW11" s="250" t="n">
        <f aca="false">AV11+AW10</f>
        <v>506812.5</v>
      </c>
      <c r="AX11" s="250" t="n">
        <f aca="false">AW11+AX10</f>
        <v>506812.5</v>
      </c>
      <c r="AY11" s="250" t="n">
        <f aca="false">AX11+AY10</f>
        <v>506812.5</v>
      </c>
      <c r="AZ11" s="250" t="n">
        <f aca="false">AY11+AZ10</f>
        <v>506812.5</v>
      </c>
      <c r="BA11" s="250" t="n">
        <f aca="false">AZ11+BA10</f>
        <v>506812.5</v>
      </c>
      <c r="BB11" s="250" t="n">
        <f aca="false">BA11+BB10</f>
        <v>506812.5</v>
      </c>
      <c r="BC11" s="250" t="n">
        <f aca="false">BB11+BC10</f>
        <v>506812.5</v>
      </c>
      <c r="BD11" s="250" t="n">
        <f aca="false">BC11+BD10</f>
        <v>506812.5</v>
      </c>
      <c r="BE11" s="250" t="n">
        <f aca="false">BD11+BE10</f>
        <v>506812.5</v>
      </c>
      <c r="BF11" s="250" t="n">
        <f aca="false">BE11+BF10</f>
        <v>506812.5</v>
      </c>
      <c r="BG11" s="250" t="n">
        <f aca="false">BF11+BG10</f>
        <v>506812.5</v>
      </c>
      <c r="BH11" s="250" t="n">
        <f aca="false">BG11+BH10</f>
        <v>506812.5</v>
      </c>
      <c r="BI11" s="250" t="n">
        <f aca="false">BH11+BI10</f>
        <v>506812.5</v>
      </c>
      <c r="BJ11" s="250" t="n">
        <f aca="false">BI11+BJ10</f>
        <v>506812.5</v>
      </c>
      <c r="BK11" s="250" t="n">
        <f aca="false">BJ11+BK10</f>
        <v>506812.5</v>
      </c>
      <c r="BL11" s="250" t="n">
        <f aca="false">BK11+BL10</f>
        <v>506812.5</v>
      </c>
      <c r="BM11" s="250" t="n">
        <f aca="false">BL11+BM10</f>
        <v>506812.5</v>
      </c>
      <c r="BN11" s="250" t="n">
        <f aca="false">BM11+BN10</f>
        <v>506812.5</v>
      </c>
      <c r="BO11" s="250" t="n">
        <f aca="false">BN11+BO10</f>
        <v>506812.5</v>
      </c>
      <c r="BP11" s="250" t="n">
        <f aca="false">BO11+BP10</f>
        <v>506812.5</v>
      </c>
      <c r="BQ11" s="250" t="n">
        <f aca="false">BP11+BQ10</f>
        <v>506812.5</v>
      </c>
      <c r="BR11" s="250" t="n">
        <f aca="false">BQ11+BR10</f>
        <v>506812.5</v>
      </c>
      <c r="BS11" s="250" t="n">
        <f aca="false">BR11+BS10</f>
        <v>506812.5</v>
      </c>
      <c r="BT11" s="250" t="n">
        <f aca="false">BS11+BT10</f>
        <v>506812.5</v>
      </c>
      <c r="BU11" s="250" t="n">
        <f aca="false">BT11+BU10</f>
        <v>506812.5</v>
      </c>
      <c r="BV11" s="250" t="n">
        <f aca="false">BU11+BV10</f>
        <v>506812.5</v>
      </c>
      <c r="BW11" s="250" t="n">
        <f aca="false">BV11+BW10</f>
        <v>506812.5</v>
      </c>
      <c r="BX11" s="250" t="n">
        <f aca="false">BW11+BX10</f>
        <v>506812.5</v>
      </c>
      <c r="BY11" s="250" t="n">
        <f aca="false">BX11+BY10</f>
        <v>506812.5</v>
      </c>
      <c r="BZ11" s="250" t="n">
        <f aca="false">BY11+BZ10</f>
        <v>506812.5</v>
      </c>
      <c r="CA11" s="250" t="n">
        <f aca="false">BZ11+CA10</f>
        <v>506812.5</v>
      </c>
      <c r="CB11" s="250" t="n">
        <f aca="false">CA11+CB10</f>
        <v>506812.5</v>
      </c>
      <c r="CC11" s="250" t="n">
        <f aca="false">CB11+CC10</f>
        <v>506812.5</v>
      </c>
      <c r="CD11" s="250" t="n">
        <f aca="false">CC11+CD10</f>
        <v>506812.5</v>
      </c>
      <c r="CE11" s="250" t="n">
        <f aca="false">CD11+CE10</f>
        <v>506812.5</v>
      </c>
      <c r="CF11" s="250" t="n">
        <f aca="false">CE11+CF10</f>
        <v>506812.5</v>
      </c>
      <c r="CG11" s="250" t="n">
        <f aca="false">CF11+CG10</f>
        <v>506812.5</v>
      </c>
      <c r="CH11" s="250" t="n">
        <f aca="false">CG11+CH10</f>
        <v>506812.5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840</v>
      </c>
      <c r="B14" s="3"/>
      <c r="C14" s="247" t="n">
        <f aca="false">Model!E248+Model!E249+Model!E250</f>
        <v>0</v>
      </c>
      <c r="D14" s="247" t="n">
        <f aca="false">Model!F248+Model!F249+Model!F250</f>
        <v>0</v>
      </c>
      <c r="E14" s="247" t="n">
        <f aca="false">Model!G248+Model!G249+Model!G250</f>
        <v>0</v>
      </c>
      <c r="F14" s="247" t="n">
        <f aca="false">Model!H248+Model!H249+Model!H250</f>
        <v>0</v>
      </c>
      <c r="G14" s="247" t="n">
        <f aca="false">Model!I248+Model!I249+Model!I250</f>
        <v>0</v>
      </c>
      <c r="H14" s="247" t="n">
        <f aca="false">Model!J248+Model!J249+Model!J250</f>
        <v>0</v>
      </c>
      <c r="I14" s="247" t="n">
        <f aca="false">Model!K248+Model!K249+Model!K250</f>
        <v>0</v>
      </c>
      <c r="J14" s="247" t="n">
        <f aca="false">Model!L248+Model!L249+Model!L250</f>
        <v>0</v>
      </c>
      <c r="K14" s="247" t="n">
        <f aca="false">Model!M248+Model!M249+Model!M250</f>
        <v>0</v>
      </c>
      <c r="L14" s="247" t="n">
        <f aca="false">Model!N248+Model!N249+Model!N250</f>
        <v>0</v>
      </c>
      <c r="M14" s="247" t="n">
        <f aca="false">Model!O248+Model!O249+Model!O250</f>
        <v>266611.58</v>
      </c>
      <c r="N14" s="247" t="n">
        <f aca="false">Model!P248+Model!P249+Model!P250</f>
        <v>12631.58</v>
      </c>
      <c r="O14" s="247" t="n">
        <f aca="false">Model!Q248+Model!Q249+Model!Q250</f>
        <v>12631.58</v>
      </c>
      <c r="P14" s="247" t="n">
        <f aca="false">Model!R248+Model!R249+Model!R250</f>
        <v>12631.58</v>
      </c>
      <c r="Q14" s="247" t="n">
        <f aca="false">Model!S248+Model!S249+Model!S250</f>
        <v>12631.58</v>
      </c>
      <c r="R14" s="247" t="n">
        <f aca="false">Model!T248+Model!T249+Model!T250</f>
        <v>12631.58</v>
      </c>
      <c r="S14" s="247" t="n">
        <f aca="false">Model!U248+Model!U249+Model!U250</f>
        <v>12631.58</v>
      </c>
      <c r="T14" s="247" t="n">
        <f aca="false">Model!V248+Model!V249+Model!V250</f>
        <v>12631.58</v>
      </c>
      <c r="U14" s="247" t="n">
        <f aca="false">Model!W248+Model!W249+Model!W250</f>
        <v>12631.58</v>
      </c>
      <c r="V14" s="247" t="n">
        <f aca="false">Model!X248+Model!X249+Model!X250</f>
        <v>12631.58</v>
      </c>
      <c r="W14" s="247" t="n">
        <f aca="false">Model!Y248+Model!Y249+Model!Y250</f>
        <v>12631.58</v>
      </c>
      <c r="X14" s="247" t="n">
        <f aca="false">Model!Z248+Model!Z249+Model!Z250</f>
        <v>12631.58</v>
      </c>
      <c r="Y14" s="247" t="n">
        <f aca="false">Model!AA248+Model!AA249+Model!AA250</f>
        <v>12631.58</v>
      </c>
      <c r="Z14" s="247" t="n">
        <f aca="false">Model!AB248+Model!AB249+Model!AB250</f>
        <v>12631.58</v>
      </c>
      <c r="AA14" s="247" t="n">
        <f aca="false">Model!AC248+Model!AC249+Model!AC250</f>
        <v>12631.58</v>
      </c>
      <c r="AB14" s="247" t="n">
        <f aca="false">Model!AD248+Model!AD249+Model!AD250</f>
        <v>12631.58</v>
      </c>
      <c r="AC14" s="247" t="n">
        <f aca="false">Model!AE248+Model!AE249+Model!AE250</f>
        <v>12631.58</v>
      </c>
      <c r="AD14" s="247" t="n">
        <f aca="false">Model!AF248+Model!AF249+Model!AF250</f>
        <v>12631.58</v>
      </c>
      <c r="AE14" s="247" t="n">
        <f aca="false">Model!AG248+Model!AG249+Model!AG250</f>
        <v>12631.58</v>
      </c>
      <c r="AF14" s="247" t="n">
        <f aca="false">Model!AH248+Model!AH249+Model!AH250</f>
        <v>0</v>
      </c>
      <c r="AG14" s="247" t="n">
        <f aca="false">Model!AI248+Model!AI249+Model!AI250</f>
        <v>0</v>
      </c>
      <c r="AH14" s="247" t="n">
        <f aca="false">Model!AJ248+Model!AJ249+Model!AJ250</f>
        <v>0</v>
      </c>
      <c r="AI14" s="247" t="n">
        <f aca="false">Model!AK248+Model!AK249+Model!AK250</f>
        <v>0</v>
      </c>
      <c r="AJ14" s="247" t="n">
        <f aca="false">Model!AL248+Model!AL249+Model!AL250</f>
        <v>0</v>
      </c>
      <c r="AK14" s="247" t="n">
        <f aca="false">Model!AM248+Model!AM249+Model!AM250</f>
        <v>0</v>
      </c>
      <c r="AL14" s="247" t="n">
        <f aca="false">Model!AN248+Model!AN249+Model!AN250</f>
        <v>0</v>
      </c>
      <c r="AM14" s="247" t="n">
        <f aca="false">Model!AO248+Model!AO249+Model!AO250</f>
        <v>0</v>
      </c>
      <c r="AN14" s="247" t="n">
        <f aca="false">Model!AP248+Model!AP249+Model!AP250</f>
        <v>0</v>
      </c>
      <c r="AO14" s="247" t="n">
        <f aca="false">Model!AQ248+Model!AQ249+Model!AQ250</f>
        <v>0</v>
      </c>
      <c r="AP14" s="247" t="n">
        <f aca="false">Model!AR248+Model!AR249+Model!AR250</f>
        <v>0</v>
      </c>
      <c r="AQ14" s="247" t="n">
        <f aca="false">Model!AS248+Model!AS249+Model!AS250</f>
        <v>0</v>
      </c>
      <c r="AR14" s="247" t="n">
        <f aca="false">Model!AT248+Model!AT249+Model!AT250</f>
        <v>0</v>
      </c>
      <c r="AS14" s="247" t="n">
        <f aca="false">Model!AU248+Model!AU249+Model!AU250</f>
        <v>0</v>
      </c>
      <c r="AT14" s="247" t="n">
        <f aca="false">Model!AV248+Model!AV249+Model!AV250</f>
        <v>0</v>
      </c>
      <c r="AU14" s="247" t="n">
        <f aca="false">Model!AW248+Model!AW249+Model!AW250</f>
        <v>0</v>
      </c>
      <c r="AV14" s="247" t="n">
        <f aca="false">Model!AX248+Model!AX249+Model!AX250</f>
        <v>0</v>
      </c>
      <c r="AW14" s="247" t="n">
        <f aca="false">Model!AY248+Model!AY249+Model!AY250</f>
        <v>0</v>
      </c>
      <c r="AX14" s="247" t="n">
        <f aca="false">Model!AZ248+Model!AZ249+Model!AZ250</f>
        <v>0</v>
      </c>
      <c r="AY14" s="247" t="n">
        <f aca="false">Model!BA248+Model!BA249+Model!BA250</f>
        <v>0</v>
      </c>
      <c r="AZ14" s="247" t="n">
        <f aca="false">Model!BB248+Model!BB249+Model!BB250</f>
        <v>0</v>
      </c>
      <c r="BA14" s="247" t="n">
        <f aca="false">Model!BC248+Model!BC249+Model!BC250</f>
        <v>0</v>
      </c>
      <c r="BB14" s="247" t="n">
        <f aca="false">Model!BD248+Model!BD249+Model!BD250</f>
        <v>0</v>
      </c>
      <c r="BC14" s="247" t="n">
        <f aca="false">Model!BE248+Model!BE249+Model!BE250</f>
        <v>0</v>
      </c>
      <c r="BD14" s="247" t="n">
        <f aca="false">Model!BF248+Model!BF249+Model!BF250</f>
        <v>0</v>
      </c>
      <c r="BE14" s="247" t="n">
        <f aca="false">Model!BG248+Model!BG249+Model!BG250</f>
        <v>0</v>
      </c>
      <c r="BF14" s="247" t="n">
        <f aca="false">Model!BH248+Model!BH249+Model!BH250</f>
        <v>0</v>
      </c>
      <c r="BG14" s="247" t="n">
        <f aca="false">Model!BI248+Model!BI249+Model!BI250</f>
        <v>0</v>
      </c>
      <c r="BH14" s="247" t="n">
        <f aca="false">Model!BJ248+Model!BJ249+Model!BJ250</f>
        <v>0</v>
      </c>
      <c r="BI14" s="247" t="n">
        <f aca="false">Model!BK248+Model!BK249+Model!BK250</f>
        <v>0</v>
      </c>
      <c r="BJ14" s="247" t="n">
        <f aca="false">Model!BL248+Model!BL249+Model!BL250</f>
        <v>0</v>
      </c>
      <c r="BK14" s="247" t="n">
        <f aca="false">Model!BM248+Model!BM249+Model!BM250</f>
        <v>0</v>
      </c>
      <c r="BL14" s="247" t="n">
        <f aca="false">Model!BN248+Model!BN249+Model!BN250</f>
        <v>0</v>
      </c>
      <c r="BM14" s="247" t="n">
        <f aca="false">Model!BO248+Model!BO249+Model!BO250</f>
        <v>0</v>
      </c>
      <c r="BN14" s="247" t="n">
        <f aca="false">Model!BP248+Model!BP249+Model!BP250</f>
        <v>0</v>
      </c>
      <c r="BO14" s="247" t="n">
        <f aca="false">Model!BQ248+Model!BQ249+Model!BQ250</f>
        <v>0</v>
      </c>
      <c r="BP14" s="247" t="n">
        <f aca="false">Model!BR248+Model!BR249+Model!BR250</f>
        <v>0</v>
      </c>
      <c r="BQ14" s="247" t="n">
        <f aca="false">Model!BS248+Model!BS249+Model!BS250</f>
        <v>0</v>
      </c>
      <c r="BR14" s="247" t="n">
        <f aca="false">Model!BT248+Model!BT249+Model!BT250</f>
        <v>0</v>
      </c>
      <c r="BS14" s="247" t="n">
        <f aca="false">Model!BU248+Model!BU249+Model!BU250</f>
        <v>0</v>
      </c>
      <c r="BT14" s="247" t="n">
        <f aca="false">Model!BV248+Model!BV249+Model!BV250</f>
        <v>0</v>
      </c>
      <c r="BU14" s="247" t="n">
        <f aca="false">Model!BW248+Model!BW249+Model!BW250</f>
        <v>0</v>
      </c>
      <c r="BV14" s="247" t="n">
        <f aca="false">Model!BX248+Model!BX249+Model!BX250</f>
        <v>0</v>
      </c>
      <c r="BW14" s="247" t="n">
        <f aca="false">Model!BY248+Model!BY249+Model!BY250</f>
        <v>0</v>
      </c>
      <c r="BX14" s="247" t="n">
        <f aca="false">Model!BZ248+Model!BZ249+Model!BZ250</f>
        <v>0</v>
      </c>
      <c r="BY14" s="247" t="n">
        <f aca="false">Model!CA248+Model!CA249+Model!CA250</f>
        <v>0</v>
      </c>
      <c r="BZ14" s="247" t="n">
        <f aca="false">Model!CB248+Model!CB249+Model!CB250</f>
        <v>0</v>
      </c>
      <c r="CA14" s="247" t="n">
        <f aca="false">Model!CC248+Model!CC249+Model!CC250</f>
        <v>0</v>
      </c>
      <c r="CB14" s="247" t="n">
        <f aca="false">Model!CD248+Model!CD249+Model!CD250</f>
        <v>0</v>
      </c>
      <c r="CC14" s="247" t="n">
        <f aca="false">Model!CE248+Model!CE249+Model!CE250</f>
        <v>0</v>
      </c>
      <c r="CD14" s="247" t="n">
        <f aca="false">Model!CF248+Model!CF249+Model!CF250</f>
        <v>0</v>
      </c>
      <c r="CE14" s="247" t="n">
        <f aca="false">Model!CG248+Model!CG249+Model!CG250</f>
        <v>0</v>
      </c>
      <c r="CF14" s="247" t="n">
        <f aca="false">Model!CH248+Model!CH249+Model!CH250</f>
        <v>0</v>
      </c>
      <c r="CG14" s="247" t="n">
        <f aca="false">Model!CI248+Model!CI249+Model!CI250</f>
        <v>0</v>
      </c>
      <c r="CH14" s="247" t="n">
        <f aca="false">Model!CJ248+Model!CJ249+Model!CJ250</f>
        <v>0</v>
      </c>
    </row>
    <row r="15" customFormat="false" ht="15" hidden="false" customHeight="true" outlineLevel="0" collapsed="false">
      <c r="A15" s="251" t="s">
        <v>843</v>
      </c>
      <c r="B15" s="3"/>
      <c r="C15" s="252" t="n">
        <f aca="false">IF(AND(Projects!$G$11="Yes",1=Projects!$C$11),-155771,0)</f>
        <v>0</v>
      </c>
      <c r="D15" s="252" t="n">
        <f aca="false">IF(AND(Projects!$G$11="Yes",2=Projects!$C$11),-155771,0)</f>
        <v>0</v>
      </c>
      <c r="E15" s="252" t="n">
        <f aca="false">IF(AND(Projects!$G$11="Yes",3=Projects!$C$11),-155771,0)</f>
        <v>0</v>
      </c>
      <c r="F15" s="252" t="n">
        <f aca="false">IF(AND(Projects!$G$11="Yes",4=Projects!$C$11),-155771,0)</f>
        <v>0</v>
      </c>
      <c r="G15" s="252" t="n">
        <f aca="false">IF(AND(Projects!$G$11="Yes",5=Projects!$C$11),-155771,0)</f>
        <v>0</v>
      </c>
      <c r="H15" s="252" t="n">
        <f aca="false">IF(AND(Projects!$G$11="Yes",6=Projects!$C$11),-155771,0)</f>
        <v>0</v>
      </c>
      <c r="I15" s="252" t="n">
        <f aca="false">IF(AND(Projects!$G$11="Yes",7=Projects!$C$11),-155771,0)</f>
        <v>0</v>
      </c>
      <c r="J15" s="252" t="n">
        <f aca="false">IF(AND(Projects!$G$11="Yes",8=Projects!$C$11),-155771,0)</f>
        <v>0</v>
      </c>
      <c r="K15" s="252" t="n">
        <f aca="false">IF(AND(Projects!$G$11="Yes",9=Projects!$C$11),-155771,0)</f>
        <v>0</v>
      </c>
      <c r="L15" s="252" t="n">
        <f aca="false">IF(AND(Projects!$G$11="Yes",10=Projects!$C$11),-155771,0)</f>
        <v>0</v>
      </c>
      <c r="M15" s="252" t="n">
        <f aca="false">IF(AND(Projects!$G$11="Yes",11=Projects!$C$11),-155771,0)</f>
        <v>-155771</v>
      </c>
      <c r="N15" s="252" t="n">
        <f aca="false">IF(AND(Projects!$G$11="Yes",12=Projects!$C$11),-155771,0)</f>
        <v>0</v>
      </c>
      <c r="O15" s="252" t="n">
        <f aca="false">IF(AND(Projects!$G$11="Yes",13=Projects!$C$11),-155771,0)</f>
        <v>0</v>
      </c>
      <c r="P15" s="252" t="n">
        <f aca="false">IF(AND(Projects!$G$11="Yes",14=Projects!$C$11),-155771,0)</f>
        <v>0</v>
      </c>
      <c r="Q15" s="252" t="n">
        <f aca="false">IF(AND(Projects!$G$11="Yes",15=Projects!$C$11),-155771,0)</f>
        <v>0</v>
      </c>
      <c r="R15" s="252" t="n">
        <f aca="false">IF(AND(Projects!$G$11="Yes",16=Projects!$C$11),-155771,0)</f>
        <v>0</v>
      </c>
      <c r="S15" s="252" t="n">
        <f aca="false">IF(AND(Projects!$G$11="Yes",17=Projects!$C$11),-155771,0)</f>
        <v>0</v>
      </c>
      <c r="T15" s="252" t="n">
        <f aca="false">IF(AND(Projects!$G$11="Yes",18=Projects!$C$11),-155771,0)</f>
        <v>0</v>
      </c>
      <c r="U15" s="252" t="n">
        <f aca="false">IF(AND(Projects!$G$11="Yes",19=Projects!$C$11),-155771,0)</f>
        <v>0</v>
      </c>
      <c r="V15" s="252" t="n">
        <f aca="false">IF(AND(Projects!$G$11="Yes",20=Projects!$C$11),-155771,0)</f>
        <v>0</v>
      </c>
      <c r="W15" s="252" t="n">
        <f aca="false">IF(AND(Projects!$G$11="Yes",21=Projects!$C$11),-155771,0)</f>
        <v>0</v>
      </c>
      <c r="X15" s="252" t="n">
        <f aca="false">IF(AND(Projects!$G$11="Yes",22=Projects!$C$11),-155771,0)</f>
        <v>0</v>
      </c>
      <c r="Y15" s="252" t="n">
        <f aca="false">IF(AND(Projects!$G$11="Yes",23=Projects!$C$11),-155771,0)</f>
        <v>0</v>
      </c>
      <c r="Z15" s="252" t="n">
        <f aca="false">IF(AND(Projects!$G$11="Yes",24=Projects!$C$11),-155771,0)</f>
        <v>0</v>
      </c>
      <c r="AA15" s="252" t="n">
        <f aca="false">IF(AND(Projects!$G$11="Yes",25=Projects!$C$11),-155771,0)</f>
        <v>0</v>
      </c>
      <c r="AB15" s="252" t="n">
        <f aca="false">IF(AND(Projects!$G$11="Yes",26=Projects!$C$11),-155771,0)</f>
        <v>0</v>
      </c>
      <c r="AC15" s="252" t="n">
        <f aca="false">IF(AND(Projects!$G$11="Yes",27=Projects!$C$11),-155771,0)</f>
        <v>0</v>
      </c>
      <c r="AD15" s="252" t="n">
        <f aca="false">IF(AND(Projects!$G$11="Yes",28=Projects!$C$11),-155771,0)</f>
        <v>0</v>
      </c>
      <c r="AE15" s="252" t="n">
        <f aca="false">IF(AND(Projects!$G$11="Yes",29=Projects!$C$11),-155771,0)</f>
        <v>0</v>
      </c>
      <c r="AF15" s="252" t="n">
        <f aca="false">IF(AND(Projects!$G$11="Yes",30=Projects!$C$11),-155771,0)</f>
        <v>0</v>
      </c>
      <c r="AG15" s="252" t="n">
        <f aca="false">IF(AND(Projects!$G$11="Yes",31=Projects!$C$11),-155771,0)</f>
        <v>0</v>
      </c>
      <c r="AH15" s="252" t="n">
        <f aca="false">IF(AND(Projects!$G$11="Yes",32=Projects!$C$11),-155771,0)</f>
        <v>0</v>
      </c>
      <c r="AI15" s="252" t="n">
        <f aca="false">IF(AND(Projects!$G$11="Yes",33=Projects!$C$11),-155771,0)</f>
        <v>0</v>
      </c>
      <c r="AJ15" s="252" t="n">
        <f aca="false">IF(AND(Projects!$G$11="Yes",34=Projects!$C$11),-155771,0)</f>
        <v>0</v>
      </c>
      <c r="AK15" s="252" t="n">
        <f aca="false">IF(AND(Projects!$G$11="Yes",35=Projects!$C$11),-155771,0)</f>
        <v>0</v>
      </c>
      <c r="AL15" s="252" t="n">
        <f aca="false">IF(AND(Projects!$G$11="Yes",36=Projects!$C$11),-155771,0)</f>
        <v>0</v>
      </c>
      <c r="AM15" s="252" t="n">
        <f aca="false">IF(AND(Projects!$G$11="Yes",37=Projects!$C$11),-155771,0)</f>
        <v>0</v>
      </c>
      <c r="AN15" s="252" t="n">
        <f aca="false">IF(AND(Projects!$G$11="Yes",38=Projects!$C$11),-155771,0)</f>
        <v>0</v>
      </c>
      <c r="AO15" s="252" t="n">
        <f aca="false">IF(AND(Projects!$G$11="Yes",39=Projects!$C$11),-155771,0)</f>
        <v>0</v>
      </c>
      <c r="AP15" s="252" t="n">
        <f aca="false">IF(AND(Projects!$G$11="Yes",40=Projects!$C$11),-155771,0)</f>
        <v>0</v>
      </c>
      <c r="AQ15" s="252" t="n">
        <f aca="false">IF(AND(Projects!$G$11="Yes",41=Projects!$C$11),-155771,0)</f>
        <v>0</v>
      </c>
      <c r="AR15" s="252" t="n">
        <f aca="false">IF(AND(Projects!$G$11="Yes",42=Projects!$C$11),-155771,0)</f>
        <v>0</v>
      </c>
      <c r="AS15" s="252" t="n">
        <f aca="false">IF(AND(Projects!$G$11="Yes",43=Projects!$C$11),-155771,0)</f>
        <v>0</v>
      </c>
      <c r="AT15" s="252" t="n">
        <f aca="false">IF(AND(Projects!$G$11="Yes",44=Projects!$C$11),-155771,0)</f>
        <v>0</v>
      </c>
      <c r="AU15" s="252" t="n">
        <f aca="false">IF(AND(Projects!$G$11="Yes",45=Projects!$C$11),-155771,0)</f>
        <v>0</v>
      </c>
      <c r="AV15" s="252" t="n">
        <f aca="false">IF(AND(Projects!$G$11="Yes",46=Projects!$C$11),-155771,0)</f>
        <v>0</v>
      </c>
      <c r="AW15" s="252" t="n">
        <f aca="false">IF(AND(Projects!$G$11="Yes",47=Projects!$C$11),-155771,0)</f>
        <v>0</v>
      </c>
      <c r="AX15" s="252" t="n">
        <f aca="false">IF(AND(Projects!$G$11="Yes",48=Projects!$C$11),-155771,0)</f>
        <v>0</v>
      </c>
      <c r="AY15" s="252" t="n">
        <f aca="false">IF(AND(Projects!$G$11="Yes",49=Projects!$C$11),-155771,0)</f>
        <v>0</v>
      </c>
      <c r="AZ15" s="252" t="n">
        <f aca="false">IF(AND(Projects!$G$11="Yes",50=Projects!$C$11),-155771,0)</f>
        <v>0</v>
      </c>
      <c r="BA15" s="252" t="n">
        <f aca="false">IF(AND(Projects!$G$11="Yes",51=Projects!$C$11),-155771,0)</f>
        <v>0</v>
      </c>
      <c r="BB15" s="252" t="n">
        <f aca="false">IF(AND(Projects!$G$11="Yes",52=Projects!$C$11),-155771,0)</f>
        <v>0</v>
      </c>
      <c r="BC15" s="252" t="n">
        <f aca="false">IF(AND(Projects!$G$11="Yes",53=Projects!$C$11),-155771,0)</f>
        <v>0</v>
      </c>
      <c r="BD15" s="252" t="n">
        <f aca="false">IF(AND(Projects!$G$11="Yes",54=Projects!$C$11),-155771,0)</f>
        <v>0</v>
      </c>
      <c r="BE15" s="252" t="n">
        <f aca="false">IF(AND(Projects!$G$11="Yes",55=Projects!$C$11),-155771,0)</f>
        <v>0</v>
      </c>
      <c r="BF15" s="252" t="n">
        <f aca="false">IF(AND(Projects!$G$11="Yes",56=Projects!$C$11),-155771,0)</f>
        <v>0</v>
      </c>
      <c r="BG15" s="252" t="n">
        <f aca="false">IF(AND(Projects!$G$11="Yes",57=Projects!$C$11),-155771,0)</f>
        <v>0</v>
      </c>
      <c r="BH15" s="252" t="n">
        <f aca="false">IF(AND(Projects!$G$11="Yes",58=Projects!$C$11),-155771,0)</f>
        <v>0</v>
      </c>
      <c r="BI15" s="252" t="n">
        <f aca="false">IF(AND(Projects!$G$11="Yes",59=Projects!$C$11),-155771,0)</f>
        <v>0</v>
      </c>
      <c r="BJ15" s="252" t="n">
        <f aca="false">IF(AND(Projects!$G$11="Yes",60=Projects!$C$11),-155771,0)</f>
        <v>0</v>
      </c>
      <c r="BK15" s="252" t="n">
        <f aca="false">IF(AND(Projects!$G$11="Yes",61=Projects!$C$11),-155771,0)</f>
        <v>0</v>
      </c>
      <c r="BL15" s="252" t="n">
        <f aca="false">IF(AND(Projects!$G$11="Yes",62=Projects!$C$11),-155771,0)</f>
        <v>0</v>
      </c>
      <c r="BM15" s="252" t="n">
        <f aca="false">IF(AND(Projects!$G$11="Yes",63=Projects!$C$11),-155771,0)</f>
        <v>0</v>
      </c>
      <c r="BN15" s="252" t="n">
        <f aca="false">IF(AND(Projects!$G$11="Yes",64=Projects!$C$11),-155771,0)</f>
        <v>0</v>
      </c>
      <c r="BO15" s="252" t="n">
        <f aca="false">IF(AND(Projects!$G$11="Yes",65=Projects!$C$11),-155771,0)</f>
        <v>0</v>
      </c>
      <c r="BP15" s="252" t="n">
        <f aca="false">IF(AND(Projects!$G$11="Yes",66=Projects!$C$11),-155771,0)</f>
        <v>0</v>
      </c>
      <c r="BQ15" s="252" t="n">
        <f aca="false">IF(AND(Projects!$G$11="Yes",67=Projects!$C$11),-155771,0)</f>
        <v>0</v>
      </c>
      <c r="BR15" s="252" t="n">
        <f aca="false">IF(AND(Projects!$G$11="Yes",68=Projects!$C$11),-155771,0)</f>
        <v>0</v>
      </c>
      <c r="BS15" s="252" t="n">
        <f aca="false">IF(AND(Projects!$G$11="Yes",69=Projects!$C$11),-155771,0)</f>
        <v>0</v>
      </c>
      <c r="BT15" s="252" t="n">
        <f aca="false">IF(AND(Projects!$G$11="Yes",70=Projects!$C$11),-155771,0)</f>
        <v>0</v>
      </c>
      <c r="BU15" s="252" t="n">
        <f aca="false">IF(AND(Projects!$G$11="Yes",71=Projects!$C$11),-155771,0)</f>
        <v>0</v>
      </c>
      <c r="BV15" s="252" t="n">
        <f aca="false">IF(AND(Projects!$G$11="Yes",72=Projects!$C$11),-155771,0)</f>
        <v>0</v>
      </c>
      <c r="BW15" s="252" t="n">
        <f aca="false">IF(AND(Projects!$G$11="Yes",73=Projects!$C$11),-155771,0)</f>
        <v>0</v>
      </c>
      <c r="BX15" s="252" t="n">
        <f aca="false">IF(AND(Projects!$G$11="Yes",74=Projects!$C$11),-155771,0)</f>
        <v>0</v>
      </c>
      <c r="BY15" s="252" t="n">
        <f aca="false">IF(AND(Projects!$G$11="Yes",75=Projects!$C$11),-155771,0)</f>
        <v>0</v>
      </c>
      <c r="BZ15" s="252" t="n">
        <f aca="false">IF(AND(Projects!$G$11="Yes",76=Projects!$C$11),-155771,0)</f>
        <v>0</v>
      </c>
      <c r="CA15" s="252" t="n">
        <f aca="false">IF(AND(Projects!$G$11="Yes",77=Projects!$C$11),-155771,0)</f>
        <v>0</v>
      </c>
      <c r="CB15" s="252" t="n">
        <f aca="false">IF(AND(Projects!$G$11="Yes",78=Projects!$C$11),-155771,0)</f>
        <v>0</v>
      </c>
      <c r="CC15" s="252" t="n">
        <f aca="false">IF(AND(Projects!$G$11="Yes",79=Projects!$C$11),-155771,0)</f>
        <v>0</v>
      </c>
      <c r="CD15" s="252" t="n">
        <f aca="false">IF(AND(Projects!$G$11="Yes",80=Projects!$C$11),-155771,0)</f>
        <v>0</v>
      </c>
      <c r="CE15" s="252" t="n">
        <f aca="false">IF(AND(Projects!$G$11="Yes",81=Projects!$C$11),-155771,0)</f>
        <v>0</v>
      </c>
      <c r="CF15" s="252" t="n">
        <f aca="false">IF(AND(Projects!$G$11="Yes",82=Projects!$C$11),-155771,0)</f>
        <v>0</v>
      </c>
      <c r="CG15" s="252" t="n">
        <f aca="false">IF(AND(Projects!$G$11="Yes",83=Projects!$C$11),-155771,0)</f>
        <v>0</v>
      </c>
      <c r="CH15" s="252" t="n">
        <f aca="false">IF(AND(Projects!$G$11="Yes",84=Projects!$C$11),-155771,0)</f>
        <v>0</v>
      </c>
    </row>
    <row r="16" customFormat="false" ht="15" hidden="false" customHeight="true" outlineLevel="0" collapsed="false">
      <c r="A16" s="248" t="s">
        <v>841</v>
      </c>
      <c r="B16" s="248"/>
      <c r="C16" s="249" t="n">
        <f aca="false">C14+C15</f>
        <v>0</v>
      </c>
      <c r="D16" s="249" t="n">
        <f aca="false">D14+D15</f>
        <v>0</v>
      </c>
      <c r="E16" s="249" t="n">
        <f aca="false">E14+E15</f>
        <v>0</v>
      </c>
      <c r="F16" s="249" t="n">
        <f aca="false">F14+F15</f>
        <v>0</v>
      </c>
      <c r="G16" s="249" t="n">
        <f aca="false">G14+G15</f>
        <v>0</v>
      </c>
      <c r="H16" s="249" t="n">
        <f aca="false">H14+H15</f>
        <v>0</v>
      </c>
      <c r="I16" s="249" t="n">
        <f aca="false">I14+I15</f>
        <v>0</v>
      </c>
      <c r="J16" s="249" t="n">
        <f aca="false">J14+J15</f>
        <v>0</v>
      </c>
      <c r="K16" s="249" t="n">
        <f aca="false">K14+K15</f>
        <v>0</v>
      </c>
      <c r="L16" s="249" t="n">
        <f aca="false">L14+L15</f>
        <v>0</v>
      </c>
      <c r="M16" s="249" t="n">
        <f aca="false">M14+M15</f>
        <v>110840.58</v>
      </c>
      <c r="N16" s="249" t="n">
        <f aca="false">N14+N15</f>
        <v>12631.58</v>
      </c>
      <c r="O16" s="249" t="n">
        <f aca="false">O14+O15</f>
        <v>12631.58</v>
      </c>
      <c r="P16" s="249" t="n">
        <f aca="false">P14+P15</f>
        <v>12631.58</v>
      </c>
      <c r="Q16" s="249" t="n">
        <f aca="false">Q14+Q15</f>
        <v>12631.58</v>
      </c>
      <c r="R16" s="249" t="n">
        <f aca="false">R14+R15</f>
        <v>12631.58</v>
      </c>
      <c r="S16" s="249" t="n">
        <f aca="false">S14+S15</f>
        <v>12631.58</v>
      </c>
      <c r="T16" s="249" t="n">
        <f aca="false">T14+T15</f>
        <v>12631.58</v>
      </c>
      <c r="U16" s="249" t="n">
        <f aca="false">U14+U15</f>
        <v>12631.58</v>
      </c>
      <c r="V16" s="249" t="n">
        <f aca="false">V14+V15</f>
        <v>12631.58</v>
      </c>
      <c r="W16" s="249" t="n">
        <f aca="false">W14+W15</f>
        <v>12631.58</v>
      </c>
      <c r="X16" s="249" t="n">
        <f aca="false">X14+X15</f>
        <v>12631.58</v>
      </c>
      <c r="Y16" s="249" t="n">
        <f aca="false">Y14+Y15</f>
        <v>12631.58</v>
      </c>
      <c r="Z16" s="249" t="n">
        <f aca="false">Z14+Z15</f>
        <v>12631.58</v>
      </c>
      <c r="AA16" s="249" t="n">
        <f aca="false">AA14+AA15</f>
        <v>12631.58</v>
      </c>
      <c r="AB16" s="249" t="n">
        <f aca="false">AB14+AB15</f>
        <v>12631.58</v>
      </c>
      <c r="AC16" s="249" t="n">
        <f aca="false">AC14+AC15</f>
        <v>12631.58</v>
      </c>
      <c r="AD16" s="249" t="n">
        <f aca="false">AD14+AD15</f>
        <v>12631.58</v>
      </c>
      <c r="AE16" s="249" t="n">
        <f aca="false">AE14+AE15</f>
        <v>12631.58</v>
      </c>
      <c r="AF16" s="249" t="n">
        <f aca="false">AF14+AF15</f>
        <v>0</v>
      </c>
      <c r="AG16" s="249" t="n">
        <f aca="false">AG14+AG15</f>
        <v>0</v>
      </c>
      <c r="AH16" s="249" t="n">
        <f aca="false">AH14+AH15</f>
        <v>0</v>
      </c>
      <c r="AI16" s="249" t="n">
        <f aca="false">AI14+AI15</f>
        <v>0</v>
      </c>
      <c r="AJ16" s="249" t="n">
        <f aca="false">AJ14+AJ15</f>
        <v>0</v>
      </c>
      <c r="AK16" s="249" t="n">
        <f aca="false">AK14+AK15</f>
        <v>0</v>
      </c>
      <c r="AL16" s="249" t="n">
        <f aca="false">AL14+AL15</f>
        <v>0</v>
      </c>
      <c r="AM16" s="249" t="n">
        <f aca="false">AM14+AM15</f>
        <v>0</v>
      </c>
      <c r="AN16" s="249" t="n">
        <f aca="false">AN14+AN15</f>
        <v>0</v>
      </c>
      <c r="AO16" s="249" t="n">
        <f aca="false">AO14+AO15</f>
        <v>0</v>
      </c>
      <c r="AP16" s="249" t="n">
        <f aca="false">AP14+AP15</f>
        <v>0</v>
      </c>
      <c r="AQ16" s="249" t="n">
        <f aca="false">AQ14+AQ15</f>
        <v>0</v>
      </c>
      <c r="AR16" s="249" t="n">
        <f aca="false">AR14+AR15</f>
        <v>0</v>
      </c>
      <c r="AS16" s="249" t="n">
        <f aca="false">AS14+AS15</f>
        <v>0</v>
      </c>
      <c r="AT16" s="249" t="n">
        <f aca="false">AT14+AT15</f>
        <v>0</v>
      </c>
      <c r="AU16" s="249" t="n">
        <f aca="false">AU14+AU15</f>
        <v>0</v>
      </c>
      <c r="AV16" s="249" t="n">
        <f aca="false">AV14+AV15</f>
        <v>0</v>
      </c>
      <c r="AW16" s="249" t="n">
        <f aca="false">AW14+AW15</f>
        <v>0</v>
      </c>
      <c r="AX16" s="249" t="n">
        <f aca="false">AX14+AX15</f>
        <v>0</v>
      </c>
      <c r="AY16" s="249" t="n">
        <f aca="false">AY14+AY15</f>
        <v>0</v>
      </c>
      <c r="AZ16" s="249" t="n">
        <f aca="false">AZ14+AZ15</f>
        <v>0</v>
      </c>
      <c r="BA16" s="249" t="n">
        <f aca="false">BA14+BA15</f>
        <v>0</v>
      </c>
      <c r="BB16" s="249" t="n">
        <f aca="false">BB14+BB15</f>
        <v>0</v>
      </c>
      <c r="BC16" s="249" t="n">
        <f aca="false">BC14+BC15</f>
        <v>0</v>
      </c>
      <c r="BD16" s="249" t="n">
        <f aca="false">BD14+BD15</f>
        <v>0</v>
      </c>
      <c r="BE16" s="249" t="n">
        <f aca="false">BE14+BE15</f>
        <v>0</v>
      </c>
      <c r="BF16" s="249" t="n">
        <f aca="false">BF14+BF15</f>
        <v>0</v>
      </c>
      <c r="BG16" s="249" t="n">
        <f aca="false">BG14+BG15</f>
        <v>0</v>
      </c>
      <c r="BH16" s="249" t="n">
        <f aca="false">BH14+BH15</f>
        <v>0</v>
      </c>
      <c r="BI16" s="249" t="n">
        <f aca="false">BI14+BI15</f>
        <v>0</v>
      </c>
      <c r="BJ16" s="249" t="n">
        <f aca="false">BJ14+BJ15</f>
        <v>0</v>
      </c>
      <c r="BK16" s="249" t="n">
        <f aca="false">BK14+BK15</f>
        <v>0</v>
      </c>
      <c r="BL16" s="249" t="n">
        <f aca="false">BL14+BL15</f>
        <v>0</v>
      </c>
      <c r="BM16" s="249" t="n">
        <f aca="false">BM14+BM15</f>
        <v>0</v>
      </c>
      <c r="BN16" s="249" t="n">
        <f aca="false">BN14+BN15</f>
        <v>0</v>
      </c>
      <c r="BO16" s="249" t="n">
        <f aca="false">BO14+BO15</f>
        <v>0</v>
      </c>
      <c r="BP16" s="249" t="n">
        <f aca="false">BP14+BP15</f>
        <v>0</v>
      </c>
      <c r="BQ16" s="249" t="n">
        <f aca="false">BQ14+BQ15</f>
        <v>0</v>
      </c>
      <c r="BR16" s="249" t="n">
        <f aca="false">BR14+BR15</f>
        <v>0</v>
      </c>
      <c r="BS16" s="249" t="n">
        <f aca="false">BS14+BS15</f>
        <v>0</v>
      </c>
      <c r="BT16" s="249" t="n">
        <f aca="false">BT14+BT15</f>
        <v>0</v>
      </c>
      <c r="BU16" s="249" t="n">
        <f aca="false">BU14+BU15</f>
        <v>0</v>
      </c>
      <c r="BV16" s="249" t="n">
        <f aca="false">BV14+BV15</f>
        <v>0</v>
      </c>
      <c r="BW16" s="249" t="n">
        <f aca="false">BW14+BW15</f>
        <v>0</v>
      </c>
      <c r="BX16" s="249" t="n">
        <f aca="false">BX14+BX15</f>
        <v>0</v>
      </c>
      <c r="BY16" s="249" t="n">
        <f aca="false">BY14+BY15</f>
        <v>0</v>
      </c>
      <c r="BZ16" s="249" t="n">
        <f aca="false">BZ14+BZ15</f>
        <v>0</v>
      </c>
      <c r="CA16" s="249" t="n">
        <f aca="false">CA14+CA15</f>
        <v>0</v>
      </c>
      <c r="CB16" s="249" t="n">
        <f aca="false">CB14+CB15</f>
        <v>0</v>
      </c>
      <c r="CC16" s="249" t="n">
        <f aca="false">CC14+CC15</f>
        <v>0</v>
      </c>
      <c r="CD16" s="249" t="n">
        <f aca="false">CD14+CD15</f>
        <v>0</v>
      </c>
      <c r="CE16" s="249" t="n">
        <f aca="false">CE14+CE15</f>
        <v>0</v>
      </c>
      <c r="CF16" s="249" t="n">
        <f aca="false">CF14+CF15</f>
        <v>0</v>
      </c>
      <c r="CG16" s="249" t="n">
        <f aca="false">CG14+CG15</f>
        <v>0</v>
      </c>
      <c r="CH16" s="249" t="n">
        <f aca="false">CH14+CH15</f>
        <v>0</v>
      </c>
    </row>
    <row r="17" customFormat="false" ht="15" hidden="false" customHeight="true" outlineLevel="0" collapsed="false">
      <c r="A17" s="2" t="s">
        <v>842</v>
      </c>
      <c r="B17" s="3"/>
      <c r="C17" s="250" t="n">
        <f aca="false">C16</f>
        <v>0</v>
      </c>
      <c r="D17" s="250" t="n">
        <f aca="false">C17+D16</f>
        <v>0</v>
      </c>
      <c r="E17" s="250" t="n">
        <f aca="false">D17+E16</f>
        <v>0</v>
      </c>
      <c r="F17" s="250" t="n">
        <f aca="false">E17+F16</f>
        <v>0</v>
      </c>
      <c r="G17" s="250" t="n">
        <f aca="false">F17+G16</f>
        <v>0</v>
      </c>
      <c r="H17" s="250" t="n">
        <f aca="false">G17+H16</f>
        <v>0</v>
      </c>
      <c r="I17" s="250" t="n">
        <f aca="false">H17+I16</f>
        <v>0</v>
      </c>
      <c r="J17" s="250" t="n">
        <f aca="false">I17+J16</f>
        <v>0</v>
      </c>
      <c r="K17" s="250" t="n">
        <f aca="false">J17+K16</f>
        <v>0</v>
      </c>
      <c r="L17" s="250" t="n">
        <f aca="false">K17+L16</f>
        <v>0</v>
      </c>
      <c r="M17" s="250" t="n">
        <f aca="false">L17+M16</f>
        <v>110840.58</v>
      </c>
      <c r="N17" s="250" t="n">
        <f aca="false">M17+N16</f>
        <v>123472.16</v>
      </c>
      <c r="O17" s="250" t="n">
        <f aca="false">N17+O16</f>
        <v>136103.74</v>
      </c>
      <c r="P17" s="250" t="n">
        <f aca="false">O17+P16</f>
        <v>148735.32</v>
      </c>
      <c r="Q17" s="250" t="n">
        <f aca="false">P17+Q16</f>
        <v>161366.9</v>
      </c>
      <c r="R17" s="250" t="n">
        <f aca="false">Q17+R16</f>
        <v>173998.48</v>
      </c>
      <c r="S17" s="250" t="n">
        <f aca="false">R17+S16</f>
        <v>186630.06</v>
      </c>
      <c r="T17" s="250" t="n">
        <f aca="false">S17+T16</f>
        <v>199261.64</v>
      </c>
      <c r="U17" s="250" t="n">
        <f aca="false">T17+U16</f>
        <v>211893.22</v>
      </c>
      <c r="V17" s="250" t="n">
        <f aca="false">U17+V16</f>
        <v>224524.8</v>
      </c>
      <c r="W17" s="250" t="n">
        <f aca="false">V17+W16</f>
        <v>237156.38</v>
      </c>
      <c r="X17" s="250" t="n">
        <f aca="false">W17+X16</f>
        <v>249787.96</v>
      </c>
      <c r="Y17" s="250" t="n">
        <f aca="false">X17+Y16</f>
        <v>262419.54</v>
      </c>
      <c r="Z17" s="250" t="n">
        <f aca="false">Y17+Z16</f>
        <v>275051.12</v>
      </c>
      <c r="AA17" s="250" t="n">
        <f aca="false">Z17+AA16</f>
        <v>287682.7</v>
      </c>
      <c r="AB17" s="250" t="n">
        <f aca="false">AA17+AB16</f>
        <v>300314.28</v>
      </c>
      <c r="AC17" s="250" t="n">
        <f aca="false">AB17+AC16</f>
        <v>312945.86</v>
      </c>
      <c r="AD17" s="250" t="n">
        <f aca="false">AC17+AD16</f>
        <v>325577.44</v>
      </c>
      <c r="AE17" s="250" t="n">
        <f aca="false">AD17+AE16</f>
        <v>338209.02</v>
      </c>
      <c r="AF17" s="250" t="n">
        <f aca="false">AE17+AF16</f>
        <v>338209.02</v>
      </c>
      <c r="AG17" s="250" t="n">
        <f aca="false">AF17+AG16</f>
        <v>338209.02</v>
      </c>
      <c r="AH17" s="250" t="n">
        <f aca="false">AG17+AH16</f>
        <v>338209.02</v>
      </c>
      <c r="AI17" s="250" t="n">
        <f aca="false">AH17+AI16</f>
        <v>338209.02</v>
      </c>
      <c r="AJ17" s="250" t="n">
        <f aca="false">AI17+AJ16</f>
        <v>338209.02</v>
      </c>
      <c r="AK17" s="250" t="n">
        <f aca="false">AJ17+AK16</f>
        <v>338209.02</v>
      </c>
      <c r="AL17" s="250" t="n">
        <f aca="false">AK17+AL16</f>
        <v>338209.02</v>
      </c>
      <c r="AM17" s="250" t="n">
        <f aca="false">AL17+AM16</f>
        <v>338209.02</v>
      </c>
      <c r="AN17" s="250" t="n">
        <f aca="false">AM17+AN16</f>
        <v>338209.02</v>
      </c>
      <c r="AO17" s="250" t="n">
        <f aca="false">AN17+AO16</f>
        <v>338209.02</v>
      </c>
      <c r="AP17" s="250" t="n">
        <f aca="false">AO17+AP16</f>
        <v>338209.02</v>
      </c>
      <c r="AQ17" s="250" t="n">
        <f aca="false">AP17+AQ16</f>
        <v>338209.02</v>
      </c>
      <c r="AR17" s="250" t="n">
        <f aca="false">AQ17+AR16</f>
        <v>338209.02</v>
      </c>
      <c r="AS17" s="250" t="n">
        <f aca="false">AR17+AS16</f>
        <v>338209.02</v>
      </c>
      <c r="AT17" s="250" t="n">
        <f aca="false">AS17+AT16</f>
        <v>338209.02</v>
      </c>
      <c r="AU17" s="250" t="n">
        <f aca="false">AT17+AU16</f>
        <v>338209.02</v>
      </c>
      <c r="AV17" s="250" t="n">
        <f aca="false">AU17+AV16</f>
        <v>338209.02</v>
      </c>
      <c r="AW17" s="250" t="n">
        <f aca="false">AV17+AW16</f>
        <v>338209.02</v>
      </c>
      <c r="AX17" s="250" t="n">
        <f aca="false">AW17+AX16</f>
        <v>338209.02</v>
      </c>
      <c r="AY17" s="250" t="n">
        <f aca="false">AX17+AY16</f>
        <v>338209.02</v>
      </c>
      <c r="AZ17" s="250" t="n">
        <f aca="false">AY17+AZ16</f>
        <v>338209.02</v>
      </c>
      <c r="BA17" s="250" t="n">
        <f aca="false">AZ17+BA16</f>
        <v>338209.02</v>
      </c>
      <c r="BB17" s="250" t="n">
        <f aca="false">BA17+BB16</f>
        <v>338209.02</v>
      </c>
      <c r="BC17" s="250" t="n">
        <f aca="false">BB17+BC16</f>
        <v>338209.02</v>
      </c>
      <c r="BD17" s="250" t="n">
        <f aca="false">BC17+BD16</f>
        <v>338209.02</v>
      </c>
      <c r="BE17" s="250" t="n">
        <f aca="false">BD17+BE16</f>
        <v>338209.02</v>
      </c>
      <c r="BF17" s="250" t="n">
        <f aca="false">BE17+BF16</f>
        <v>338209.02</v>
      </c>
      <c r="BG17" s="250" t="n">
        <f aca="false">BF17+BG16</f>
        <v>338209.02</v>
      </c>
      <c r="BH17" s="250" t="n">
        <f aca="false">BG17+BH16</f>
        <v>338209.02</v>
      </c>
      <c r="BI17" s="250" t="n">
        <f aca="false">BH17+BI16</f>
        <v>338209.02</v>
      </c>
      <c r="BJ17" s="250" t="n">
        <f aca="false">BI17+BJ16</f>
        <v>338209.02</v>
      </c>
      <c r="BK17" s="250" t="n">
        <f aca="false">BJ17+BK16</f>
        <v>338209.02</v>
      </c>
      <c r="BL17" s="250" t="n">
        <f aca="false">BK17+BL16</f>
        <v>338209.02</v>
      </c>
      <c r="BM17" s="250" t="n">
        <f aca="false">BL17+BM16</f>
        <v>338209.02</v>
      </c>
      <c r="BN17" s="250" t="n">
        <f aca="false">BM17+BN16</f>
        <v>338209.02</v>
      </c>
      <c r="BO17" s="250" t="n">
        <f aca="false">BN17+BO16</f>
        <v>338209.02</v>
      </c>
      <c r="BP17" s="250" t="n">
        <f aca="false">BO17+BP16</f>
        <v>338209.02</v>
      </c>
      <c r="BQ17" s="250" t="n">
        <f aca="false">BP17+BQ16</f>
        <v>338209.02</v>
      </c>
      <c r="BR17" s="250" t="n">
        <f aca="false">BQ17+BR16</f>
        <v>338209.02</v>
      </c>
      <c r="BS17" s="250" t="n">
        <f aca="false">BR17+BS16</f>
        <v>338209.02</v>
      </c>
      <c r="BT17" s="250" t="n">
        <f aca="false">BS17+BT16</f>
        <v>338209.02</v>
      </c>
      <c r="BU17" s="250" t="n">
        <f aca="false">BT17+BU16</f>
        <v>338209.02</v>
      </c>
      <c r="BV17" s="250" t="n">
        <f aca="false">BU17+BV16</f>
        <v>338209.02</v>
      </c>
      <c r="BW17" s="250" t="n">
        <f aca="false">BV17+BW16</f>
        <v>338209.02</v>
      </c>
      <c r="BX17" s="250" t="n">
        <f aca="false">BW17+BX16</f>
        <v>338209.02</v>
      </c>
      <c r="BY17" s="250" t="n">
        <f aca="false">BX17+BY16</f>
        <v>338209.02</v>
      </c>
      <c r="BZ17" s="250" t="n">
        <f aca="false">BY17+BZ16</f>
        <v>338209.02</v>
      </c>
      <c r="CA17" s="250" t="n">
        <f aca="false">BZ17+CA16</f>
        <v>338209.02</v>
      </c>
      <c r="CB17" s="250" t="n">
        <f aca="false">CA17+CB16</f>
        <v>338209.02</v>
      </c>
      <c r="CC17" s="250" t="n">
        <f aca="false">CB17+CC16</f>
        <v>338209.02</v>
      </c>
      <c r="CD17" s="250" t="n">
        <f aca="false">CC17+CD16</f>
        <v>338209.02</v>
      </c>
      <c r="CE17" s="250" t="n">
        <f aca="false">CD17+CE16</f>
        <v>338209.02</v>
      </c>
      <c r="CF17" s="250" t="n">
        <f aca="false">CE17+CF16</f>
        <v>338209.02</v>
      </c>
      <c r="CG17" s="250" t="n">
        <f aca="false">CF17+CG16</f>
        <v>338209.02</v>
      </c>
      <c r="CH17" s="250"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840</v>
      </c>
      <c r="B20" s="3"/>
      <c r="C20" s="247" t="n">
        <f aca="false">Model!E251+Model!E252+Model!E253</f>
        <v>0</v>
      </c>
      <c r="D20" s="247" t="n">
        <f aca="false">Model!F251+Model!F252+Model!F253</f>
        <v>0</v>
      </c>
      <c r="E20" s="247" t="n">
        <f aca="false">Model!G251+Model!G252+Model!G253</f>
        <v>0</v>
      </c>
      <c r="F20" s="247" t="n">
        <f aca="false">Model!H251+Model!H252+Model!H253</f>
        <v>0</v>
      </c>
      <c r="G20" s="247" t="n">
        <f aca="false">Model!I251+Model!I252+Model!I253</f>
        <v>0</v>
      </c>
      <c r="H20" s="247" t="n">
        <f aca="false">Model!J251+Model!J252+Model!J253</f>
        <v>0</v>
      </c>
      <c r="I20" s="247" t="n">
        <f aca="false">Model!K251+Model!K252+Model!K253</f>
        <v>0</v>
      </c>
      <c r="J20" s="247" t="n">
        <f aca="false">Model!L251+Model!L252+Model!L253</f>
        <v>0</v>
      </c>
      <c r="K20" s="247" t="n">
        <f aca="false">Model!M251+Model!M252+Model!M253</f>
        <v>0</v>
      </c>
      <c r="L20" s="247" t="n">
        <f aca="false">Model!N251+Model!N252+Model!N253</f>
        <v>192797.63</v>
      </c>
      <c r="M20" s="247" t="n">
        <f aca="false">Model!O251+Model!O252+Model!O253</f>
        <v>11052.63</v>
      </c>
      <c r="N20" s="247" t="n">
        <f aca="false">Model!P251+Model!P252+Model!P253</f>
        <v>11052.63</v>
      </c>
      <c r="O20" s="247" t="n">
        <f aca="false">Model!Q251+Model!Q252+Model!Q253</f>
        <v>11052.63</v>
      </c>
      <c r="P20" s="247" t="n">
        <f aca="false">Model!R251+Model!R252+Model!R253</f>
        <v>11052.63</v>
      </c>
      <c r="Q20" s="247" t="n">
        <f aca="false">Model!S251+Model!S252+Model!S253</f>
        <v>11052.63</v>
      </c>
      <c r="R20" s="247" t="n">
        <f aca="false">Model!T251+Model!T252+Model!T253</f>
        <v>11052.63</v>
      </c>
      <c r="S20" s="247" t="n">
        <f aca="false">Model!U251+Model!U252+Model!U253</f>
        <v>11052.63</v>
      </c>
      <c r="T20" s="247" t="n">
        <f aca="false">Model!V251+Model!V252+Model!V253</f>
        <v>11052.63</v>
      </c>
      <c r="U20" s="247" t="n">
        <f aca="false">Model!W251+Model!W252+Model!W253</f>
        <v>11052.63</v>
      </c>
      <c r="V20" s="247" t="n">
        <f aca="false">Model!X251+Model!X252+Model!X253</f>
        <v>11052.63</v>
      </c>
      <c r="W20" s="247" t="n">
        <f aca="false">Model!Y251+Model!Y252+Model!Y253</f>
        <v>11052.63</v>
      </c>
      <c r="X20" s="247" t="n">
        <f aca="false">Model!Z251+Model!Z252+Model!Z253</f>
        <v>11052.63</v>
      </c>
      <c r="Y20" s="247" t="n">
        <f aca="false">Model!AA251+Model!AA252+Model!AA253</f>
        <v>11052.63</v>
      </c>
      <c r="Z20" s="247" t="n">
        <f aca="false">Model!AB251+Model!AB252+Model!AB253</f>
        <v>11052.63</v>
      </c>
      <c r="AA20" s="247" t="n">
        <f aca="false">Model!AC251+Model!AC252+Model!AC253</f>
        <v>11052.63</v>
      </c>
      <c r="AB20" s="247" t="n">
        <f aca="false">Model!AD251+Model!AD252+Model!AD253</f>
        <v>11052.63</v>
      </c>
      <c r="AC20" s="247" t="n">
        <f aca="false">Model!AE251+Model!AE252+Model!AE253</f>
        <v>11052.63</v>
      </c>
      <c r="AD20" s="247" t="n">
        <f aca="false">Model!AF251+Model!AF252+Model!AF253</f>
        <v>11052.63</v>
      </c>
      <c r="AE20" s="247" t="n">
        <f aca="false">Model!AG251+Model!AG252+Model!AG253</f>
        <v>0</v>
      </c>
      <c r="AF20" s="247" t="n">
        <f aca="false">Model!AH251+Model!AH252+Model!AH253</f>
        <v>0</v>
      </c>
      <c r="AG20" s="247" t="n">
        <f aca="false">Model!AI251+Model!AI252+Model!AI253</f>
        <v>0</v>
      </c>
      <c r="AH20" s="247" t="n">
        <f aca="false">Model!AJ251+Model!AJ252+Model!AJ253</f>
        <v>0</v>
      </c>
      <c r="AI20" s="247" t="n">
        <f aca="false">Model!AK251+Model!AK252+Model!AK253</f>
        <v>0</v>
      </c>
      <c r="AJ20" s="247" t="n">
        <f aca="false">Model!AL251+Model!AL252+Model!AL253</f>
        <v>0</v>
      </c>
      <c r="AK20" s="247" t="n">
        <f aca="false">Model!AM251+Model!AM252+Model!AM253</f>
        <v>0</v>
      </c>
      <c r="AL20" s="247" t="n">
        <f aca="false">Model!AN251+Model!AN252+Model!AN253</f>
        <v>0</v>
      </c>
      <c r="AM20" s="247" t="n">
        <f aca="false">Model!AO251+Model!AO252+Model!AO253</f>
        <v>0</v>
      </c>
      <c r="AN20" s="247" t="n">
        <f aca="false">Model!AP251+Model!AP252+Model!AP253</f>
        <v>0</v>
      </c>
      <c r="AO20" s="247" t="n">
        <f aca="false">Model!AQ251+Model!AQ252+Model!AQ253</f>
        <v>0</v>
      </c>
      <c r="AP20" s="247" t="n">
        <f aca="false">Model!AR251+Model!AR252+Model!AR253</f>
        <v>0</v>
      </c>
      <c r="AQ20" s="247" t="n">
        <f aca="false">Model!AS251+Model!AS252+Model!AS253</f>
        <v>0</v>
      </c>
      <c r="AR20" s="247" t="n">
        <f aca="false">Model!AT251+Model!AT252+Model!AT253</f>
        <v>0</v>
      </c>
      <c r="AS20" s="247" t="n">
        <f aca="false">Model!AU251+Model!AU252+Model!AU253</f>
        <v>0</v>
      </c>
      <c r="AT20" s="247" t="n">
        <f aca="false">Model!AV251+Model!AV252+Model!AV253</f>
        <v>0</v>
      </c>
      <c r="AU20" s="247" t="n">
        <f aca="false">Model!AW251+Model!AW252+Model!AW253</f>
        <v>0</v>
      </c>
      <c r="AV20" s="247" t="n">
        <f aca="false">Model!AX251+Model!AX252+Model!AX253</f>
        <v>0</v>
      </c>
      <c r="AW20" s="247" t="n">
        <f aca="false">Model!AY251+Model!AY252+Model!AY253</f>
        <v>0</v>
      </c>
      <c r="AX20" s="247" t="n">
        <f aca="false">Model!AZ251+Model!AZ252+Model!AZ253</f>
        <v>0</v>
      </c>
      <c r="AY20" s="247" t="n">
        <f aca="false">Model!BA251+Model!BA252+Model!BA253</f>
        <v>0</v>
      </c>
      <c r="AZ20" s="247" t="n">
        <f aca="false">Model!BB251+Model!BB252+Model!BB253</f>
        <v>0</v>
      </c>
      <c r="BA20" s="247" t="n">
        <f aca="false">Model!BC251+Model!BC252+Model!BC253</f>
        <v>0</v>
      </c>
      <c r="BB20" s="247" t="n">
        <f aca="false">Model!BD251+Model!BD252+Model!BD253</f>
        <v>0</v>
      </c>
      <c r="BC20" s="247" t="n">
        <f aca="false">Model!BE251+Model!BE252+Model!BE253</f>
        <v>0</v>
      </c>
      <c r="BD20" s="247" t="n">
        <f aca="false">Model!BF251+Model!BF252+Model!BF253</f>
        <v>0</v>
      </c>
      <c r="BE20" s="247" t="n">
        <f aca="false">Model!BG251+Model!BG252+Model!BG253</f>
        <v>0</v>
      </c>
      <c r="BF20" s="247" t="n">
        <f aca="false">Model!BH251+Model!BH252+Model!BH253</f>
        <v>0</v>
      </c>
      <c r="BG20" s="247" t="n">
        <f aca="false">Model!BI251+Model!BI252+Model!BI253</f>
        <v>0</v>
      </c>
      <c r="BH20" s="247" t="n">
        <f aca="false">Model!BJ251+Model!BJ252+Model!BJ253</f>
        <v>0</v>
      </c>
      <c r="BI20" s="247" t="n">
        <f aca="false">Model!BK251+Model!BK252+Model!BK253</f>
        <v>0</v>
      </c>
      <c r="BJ20" s="247" t="n">
        <f aca="false">Model!BL251+Model!BL252+Model!BL253</f>
        <v>0</v>
      </c>
      <c r="BK20" s="247" t="n">
        <f aca="false">Model!BM251+Model!BM252+Model!BM253</f>
        <v>0</v>
      </c>
      <c r="BL20" s="247" t="n">
        <f aca="false">Model!BN251+Model!BN252+Model!BN253</f>
        <v>0</v>
      </c>
      <c r="BM20" s="247" t="n">
        <f aca="false">Model!BO251+Model!BO252+Model!BO253</f>
        <v>0</v>
      </c>
      <c r="BN20" s="247" t="n">
        <f aca="false">Model!BP251+Model!BP252+Model!BP253</f>
        <v>0</v>
      </c>
      <c r="BO20" s="247" t="n">
        <f aca="false">Model!BQ251+Model!BQ252+Model!BQ253</f>
        <v>0</v>
      </c>
      <c r="BP20" s="247" t="n">
        <f aca="false">Model!BR251+Model!BR252+Model!BR253</f>
        <v>0</v>
      </c>
      <c r="BQ20" s="247" t="n">
        <f aca="false">Model!BS251+Model!BS252+Model!BS253</f>
        <v>0</v>
      </c>
      <c r="BR20" s="247" t="n">
        <f aca="false">Model!BT251+Model!BT252+Model!BT253</f>
        <v>0</v>
      </c>
      <c r="BS20" s="247" t="n">
        <f aca="false">Model!BU251+Model!BU252+Model!BU253</f>
        <v>0</v>
      </c>
      <c r="BT20" s="247" t="n">
        <f aca="false">Model!BV251+Model!BV252+Model!BV253</f>
        <v>0</v>
      </c>
      <c r="BU20" s="247" t="n">
        <f aca="false">Model!BW251+Model!BW252+Model!BW253</f>
        <v>0</v>
      </c>
      <c r="BV20" s="247" t="n">
        <f aca="false">Model!BX251+Model!BX252+Model!BX253</f>
        <v>0</v>
      </c>
      <c r="BW20" s="247" t="n">
        <f aca="false">Model!BY251+Model!BY252+Model!BY253</f>
        <v>0</v>
      </c>
      <c r="BX20" s="247" t="n">
        <f aca="false">Model!BZ251+Model!BZ252+Model!BZ253</f>
        <v>0</v>
      </c>
      <c r="BY20" s="247" t="n">
        <f aca="false">Model!CA251+Model!CA252+Model!CA253</f>
        <v>0</v>
      </c>
      <c r="BZ20" s="247" t="n">
        <f aca="false">Model!CB251+Model!CB252+Model!CB253</f>
        <v>0</v>
      </c>
      <c r="CA20" s="247" t="n">
        <f aca="false">Model!CC251+Model!CC252+Model!CC253</f>
        <v>0</v>
      </c>
      <c r="CB20" s="247" t="n">
        <f aca="false">Model!CD251+Model!CD252+Model!CD253</f>
        <v>0</v>
      </c>
      <c r="CC20" s="247" t="n">
        <f aca="false">Model!CE251+Model!CE252+Model!CE253</f>
        <v>0</v>
      </c>
      <c r="CD20" s="247" t="n">
        <f aca="false">Model!CF251+Model!CF252+Model!CF253</f>
        <v>0</v>
      </c>
      <c r="CE20" s="247" t="n">
        <f aca="false">Model!CG251+Model!CG252+Model!CG253</f>
        <v>0</v>
      </c>
      <c r="CF20" s="247" t="n">
        <f aca="false">Model!CH251+Model!CH252+Model!CH253</f>
        <v>0</v>
      </c>
      <c r="CG20" s="247" t="n">
        <f aca="false">Model!CI251+Model!CI252+Model!CI253</f>
        <v>0</v>
      </c>
      <c r="CH20" s="247" t="n">
        <f aca="false">Model!CJ251+Model!CJ252+Model!CJ253</f>
        <v>0</v>
      </c>
    </row>
    <row r="21" customFormat="false" ht="15" hidden="false" customHeight="true" outlineLevel="0" collapsed="false">
      <c r="A21" s="251" t="s">
        <v>843</v>
      </c>
      <c r="B21" s="3"/>
      <c r="C21" s="252" t="n">
        <f aca="false">IF(AND(Projects!$G$12="Yes",1=Projects!$C$12),-135452,0)</f>
        <v>0</v>
      </c>
      <c r="D21" s="252" t="n">
        <f aca="false">IF(AND(Projects!$G$12="Yes",2=Projects!$C$12),-135452,0)</f>
        <v>0</v>
      </c>
      <c r="E21" s="252" t="n">
        <f aca="false">IF(AND(Projects!$G$12="Yes",3=Projects!$C$12),-135452,0)</f>
        <v>0</v>
      </c>
      <c r="F21" s="252" t="n">
        <f aca="false">IF(AND(Projects!$G$12="Yes",4=Projects!$C$12),-135452,0)</f>
        <v>0</v>
      </c>
      <c r="G21" s="252" t="n">
        <f aca="false">IF(AND(Projects!$G$12="Yes",5=Projects!$C$12),-135452,0)</f>
        <v>0</v>
      </c>
      <c r="H21" s="252" t="n">
        <f aca="false">IF(AND(Projects!$G$12="Yes",6=Projects!$C$12),-135452,0)</f>
        <v>0</v>
      </c>
      <c r="I21" s="252" t="n">
        <f aca="false">IF(AND(Projects!$G$12="Yes",7=Projects!$C$12),-135452,0)</f>
        <v>0</v>
      </c>
      <c r="J21" s="252" t="n">
        <f aca="false">IF(AND(Projects!$G$12="Yes",8=Projects!$C$12),-135452,0)</f>
        <v>0</v>
      </c>
      <c r="K21" s="252" t="n">
        <f aca="false">IF(AND(Projects!$G$12="Yes",9=Projects!$C$12),-135452,0)</f>
        <v>0</v>
      </c>
      <c r="L21" s="252" t="n">
        <f aca="false">IF(AND(Projects!$G$12="Yes",10=Projects!$C$12),-135452,0)</f>
        <v>-135452</v>
      </c>
      <c r="M21" s="252" t="n">
        <f aca="false">IF(AND(Projects!$G$12="Yes",11=Projects!$C$12),-135452,0)</f>
        <v>0</v>
      </c>
      <c r="N21" s="252" t="n">
        <f aca="false">IF(AND(Projects!$G$12="Yes",12=Projects!$C$12),-135452,0)</f>
        <v>0</v>
      </c>
      <c r="O21" s="252" t="n">
        <f aca="false">IF(AND(Projects!$G$12="Yes",13=Projects!$C$12),-135452,0)</f>
        <v>0</v>
      </c>
      <c r="P21" s="252" t="n">
        <f aca="false">IF(AND(Projects!$G$12="Yes",14=Projects!$C$12),-135452,0)</f>
        <v>0</v>
      </c>
      <c r="Q21" s="252" t="n">
        <f aca="false">IF(AND(Projects!$G$12="Yes",15=Projects!$C$12),-135452,0)</f>
        <v>0</v>
      </c>
      <c r="R21" s="252" t="n">
        <f aca="false">IF(AND(Projects!$G$12="Yes",16=Projects!$C$12),-135452,0)</f>
        <v>0</v>
      </c>
      <c r="S21" s="252" t="n">
        <f aca="false">IF(AND(Projects!$G$12="Yes",17=Projects!$C$12),-135452,0)</f>
        <v>0</v>
      </c>
      <c r="T21" s="252" t="n">
        <f aca="false">IF(AND(Projects!$G$12="Yes",18=Projects!$C$12),-135452,0)</f>
        <v>0</v>
      </c>
      <c r="U21" s="252" t="n">
        <f aca="false">IF(AND(Projects!$G$12="Yes",19=Projects!$C$12),-135452,0)</f>
        <v>0</v>
      </c>
      <c r="V21" s="252" t="n">
        <f aca="false">IF(AND(Projects!$G$12="Yes",20=Projects!$C$12),-135452,0)</f>
        <v>0</v>
      </c>
      <c r="W21" s="252" t="n">
        <f aca="false">IF(AND(Projects!$G$12="Yes",21=Projects!$C$12),-135452,0)</f>
        <v>0</v>
      </c>
      <c r="X21" s="252" t="n">
        <f aca="false">IF(AND(Projects!$G$12="Yes",22=Projects!$C$12),-135452,0)</f>
        <v>0</v>
      </c>
      <c r="Y21" s="252" t="n">
        <f aca="false">IF(AND(Projects!$G$12="Yes",23=Projects!$C$12),-135452,0)</f>
        <v>0</v>
      </c>
      <c r="Z21" s="252" t="n">
        <f aca="false">IF(AND(Projects!$G$12="Yes",24=Projects!$C$12),-135452,0)</f>
        <v>0</v>
      </c>
      <c r="AA21" s="252" t="n">
        <f aca="false">IF(AND(Projects!$G$12="Yes",25=Projects!$C$12),-135452,0)</f>
        <v>0</v>
      </c>
      <c r="AB21" s="252" t="n">
        <f aca="false">IF(AND(Projects!$G$12="Yes",26=Projects!$C$12),-135452,0)</f>
        <v>0</v>
      </c>
      <c r="AC21" s="252" t="n">
        <f aca="false">IF(AND(Projects!$G$12="Yes",27=Projects!$C$12),-135452,0)</f>
        <v>0</v>
      </c>
      <c r="AD21" s="252" t="n">
        <f aca="false">IF(AND(Projects!$G$12="Yes",28=Projects!$C$12),-135452,0)</f>
        <v>0</v>
      </c>
      <c r="AE21" s="252" t="n">
        <f aca="false">IF(AND(Projects!$G$12="Yes",29=Projects!$C$12),-135452,0)</f>
        <v>0</v>
      </c>
      <c r="AF21" s="252" t="n">
        <f aca="false">IF(AND(Projects!$G$12="Yes",30=Projects!$C$12),-135452,0)</f>
        <v>0</v>
      </c>
      <c r="AG21" s="252" t="n">
        <f aca="false">IF(AND(Projects!$G$12="Yes",31=Projects!$C$12),-135452,0)</f>
        <v>0</v>
      </c>
      <c r="AH21" s="252" t="n">
        <f aca="false">IF(AND(Projects!$G$12="Yes",32=Projects!$C$12),-135452,0)</f>
        <v>0</v>
      </c>
      <c r="AI21" s="252" t="n">
        <f aca="false">IF(AND(Projects!$G$12="Yes",33=Projects!$C$12),-135452,0)</f>
        <v>0</v>
      </c>
      <c r="AJ21" s="252" t="n">
        <f aca="false">IF(AND(Projects!$G$12="Yes",34=Projects!$C$12),-135452,0)</f>
        <v>0</v>
      </c>
      <c r="AK21" s="252" t="n">
        <f aca="false">IF(AND(Projects!$G$12="Yes",35=Projects!$C$12),-135452,0)</f>
        <v>0</v>
      </c>
      <c r="AL21" s="252" t="n">
        <f aca="false">IF(AND(Projects!$G$12="Yes",36=Projects!$C$12),-135452,0)</f>
        <v>0</v>
      </c>
      <c r="AM21" s="252" t="n">
        <f aca="false">IF(AND(Projects!$G$12="Yes",37=Projects!$C$12),-135452,0)</f>
        <v>0</v>
      </c>
      <c r="AN21" s="252" t="n">
        <f aca="false">IF(AND(Projects!$G$12="Yes",38=Projects!$C$12),-135452,0)</f>
        <v>0</v>
      </c>
      <c r="AO21" s="252" t="n">
        <f aca="false">IF(AND(Projects!$G$12="Yes",39=Projects!$C$12),-135452,0)</f>
        <v>0</v>
      </c>
      <c r="AP21" s="252" t="n">
        <f aca="false">IF(AND(Projects!$G$12="Yes",40=Projects!$C$12),-135452,0)</f>
        <v>0</v>
      </c>
      <c r="AQ21" s="252" t="n">
        <f aca="false">IF(AND(Projects!$G$12="Yes",41=Projects!$C$12),-135452,0)</f>
        <v>0</v>
      </c>
      <c r="AR21" s="252" t="n">
        <f aca="false">IF(AND(Projects!$G$12="Yes",42=Projects!$C$12),-135452,0)</f>
        <v>0</v>
      </c>
      <c r="AS21" s="252" t="n">
        <f aca="false">IF(AND(Projects!$G$12="Yes",43=Projects!$C$12),-135452,0)</f>
        <v>0</v>
      </c>
      <c r="AT21" s="252" t="n">
        <f aca="false">IF(AND(Projects!$G$12="Yes",44=Projects!$C$12),-135452,0)</f>
        <v>0</v>
      </c>
      <c r="AU21" s="252" t="n">
        <f aca="false">IF(AND(Projects!$G$12="Yes",45=Projects!$C$12),-135452,0)</f>
        <v>0</v>
      </c>
      <c r="AV21" s="252" t="n">
        <f aca="false">IF(AND(Projects!$G$12="Yes",46=Projects!$C$12),-135452,0)</f>
        <v>0</v>
      </c>
      <c r="AW21" s="252" t="n">
        <f aca="false">IF(AND(Projects!$G$12="Yes",47=Projects!$C$12),-135452,0)</f>
        <v>0</v>
      </c>
      <c r="AX21" s="252" t="n">
        <f aca="false">IF(AND(Projects!$G$12="Yes",48=Projects!$C$12),-135452,0)</f>
        <v>0</v>
      </c>
      <c r="AY21" s="252" t="n">
        <f aca="false">IF(AND(Projects!$G$12="Yes",49=Projects!$C$12),-135452,0)</f>
        <v>0</v>
      </c>
      <c r="AZ21" s="252" t="n">
        <f aca="false">IF(AND(Projects!$G$12="Yes",50=Projects!$C$12),-135452,0)</f>
        <v>0</v>
      </c>
      <c r="BA21" s="252" t="n">
        <f aca="false">IF(AND(Projects!$G$12="Yes",51=Projects!$C$12),-135452,0)</f>
        <v>0</v>
      </c>
      <c r="BB21" s="252" t="n">
        <f aca="false">IF(AND(Projects!$G$12="Yes",52=Projects!$C$12),-135452,0)</f>
        <v>0</v>
      </c>
      <c r="BC21" s="252" t="n">
        <f aca="false">IF(AND(Projects!$G$12="Yes",53=Projects!$C$12),-135452,0)</f>
        <v>0</v>
      </c>
      <c r="BD21" s="252" t="n">
        <f aca="false">IF(AND(Projects!$G$12="Yes",54=Projects!$C$12),-135452,0)</f>
        <v>0</v>
      </c>
      <c r="BE21" s="252" t="n">
        <f aca="false">IF(AND(Projects!$G$12="Yes",55=Projects!$C$12),-135452,0)</f>
        <v>0</v>
      </c>
      <c r="BF21" s="252" t="n">
        <f aca="false">IF(AND(Projects!$G$12="Yes",56=Projects!$C$12),-135452,0)</f>
        <v>0</v>
      </c>
      <c r="BG21" s="252" t="n">
        <f aca="false">IF(AND(Projects!$G$12="Yes",57=Projects!$C$12),-135452,0)</f>
        <v>0</v>
      </c>
      <c r="BH21" s="252" t="n">
        <f aca="false">IF(AND(Projects!$G$12="Yes",58=Projects!$C$12),-135452,0)</f>
        <v>0</v>
      </c>
      <c r="BI21" s="252" t="n">
        <f aca="false">IF(AND(Projects!$G$12="Yes",59=Projects!$C$12),-135452,0)</f>
        <v>0</v>
      </c>
      <c r="BJ21" s="252" t="n">
        <f aca="false">IF(AND(Projects!$G$12="Yes",60=Projects!$C$12),-135452,0)</f>
        <v>0</v>
      </c>
      <c r="BK21" s="252" t="n">
        <f aca="false">IF(AND(Projects!$G$12="Yes",61=Projects!$C$12),-135452,0)</f>
        <v>0</v>
      </c>
      <c r="BL21" s="252" t="n">
        <f aca="false">IF(AND(Projects!$G$12="Yes",62=Projects!$C$12),-135452,0)</f>
        <v>0</v>
      </c>
      <c r="BM21" s="252" t="n">
        <f aca="false">IF(AND(Projects!$G$12="Yes",63=Projects!$C$12),-135452,0)</f>
        <v>0</v>
      </c>
      <c r="BN21" s="252" t="n">
        <f aca="false">IF(AND(Projects!$G$12="Yes",64=Projects!$C$12),-135452,0)</f>
        <v>0</v>
      </c>
      <c r="BO21" s="252" t="n">
        <f aca="false">IF(AND(Projects!$G$12="Yes",65=Projects!$C$12),-135452,0)</f>
        <v>0</v>
      </c>
      <c r="BP21" s="252" t="n">
        <f aca="false">IF(AND(Projects!$G$12="Yes",66=Projects!$C$12),-135452,0)</f>
        <v>0</v>
      </c>
      <c r="BQ21" s="252" t="n">
        <f aca="false">IF(AND(Projects!$G$12="Yes",67=Projects!$C$12),-135452,0)</f>
        <v>0</v>
      </c>
      <c r="BR21" s="252" t="n">
        <f aca="false">IF(AND(Projects!$G$12="Yes",68=Projects!$C$12),-135452,0)</f>
        <v>0</v>
      </c>
      <c r="BS21" s="252" t="n">
        <f aca="false">IF(AND(Projects!$G$12="Yes",69=Projects!$C$12),-135452,0)</f>
        <v>0</v>
      </c>
      <c r="BT21" s="252" t="n">
        <f aca="false">IF(AND(Projects!$G$12="Yes",70=Projects!$C$12),-135452,0)</f>
        <v>0</v>
      </c>
      <c r="BU21" s="252" t="n">
        <f aca="false">IF(AND(Projects!$G$12="Yes",71=Projects!$C$12),-135452,0)</f>
        <v>0</v>
      </c>
      <c r="BV21" s="252" t="n">
        <f aca="false">IF(AND(Projects!$G$12="Yes",72=Projects!$C$12),-135452,0)</f>
        <v>0</v>
      </c>
      <c r="BW21" s="252" t="n">
        <f aca="false">IF(AND(Projects!$G$12="Yes",73=Projects!$C$12),-135452,0)</f>
        <v>0</v>
      </c>
      <c r="BX21" s="252" t="n">
        <f aca="false">IF(AND(Projects!$G$12="Yes",74=Projects!$C$12),-135452,0)</f>
        <v>0</v>
      </c>
      <c r="BY21" s="252" t="n">
        <f aca="false">IF(AND(Projects!$G$12="Yes",75=Projects!$C$12),-135452,0)</f>
        <v>0</v>
      </c>
      <c r="BZ21" s="252" t="n">
        <f aca="false">IF(AND(Projects!$G$12="Yes",76=Projects!$C$12),-135452,0)</f>
        <v>0</v>
      </c>
      <c r="CA21" s="252" t="n">
        <f aca="false">IF(AND(Projects!$G$12="Yes",77=Projects!$C$12),-135452,0)</f>
        <v>0</v>
      </c>
      <c r="CB21" s="252" t="n">
        <f aca="false">IF(AND(Projects!$G$12="Yes",78=Projects!$C$12),-135452,0)</f>
        <v>0</v>
      </c>
      <c r="CC21" s="252" t="n">
        <f aca="false">IF(AND(Projects!$G$12="Yes",79=Projects!$C$12),-135452,0)</f>
        <v>0</v>
      </c>
      <c r="CD21" s="252" t="n">
        <f aca="false">IF(AND(Projects!$G$12="Yes",80=Projects!$C$12),-135452,0)</f>
        <v>0</v>
      </c>
      <c r="CE21" s="252" t="n">
        <f aca="false">IF(AND(Projects!$G$12="Yes",81=Projects!$C$12),-135452,0)</f>
        <v>0</v>
      </c>
      <c r="CF21" s="252" t="n">
        <f aca="false">IF(AND(Projects!$G$12="Yes",82=Projects!$C$12),-135452,0)</f>
        <v>0</v>
      </c>
      <c r="CG21" s="252" t="n">
        <f aca="false">IF(AND(Projects!$G$12="Yes",83=Projects!$C$12),-135452,0)</f>
        <v>0</v>
      </c>
      <c r="CH21" s="252" t="n">
        <f aca="false">IF(AND(Projects!$G$12="Yes",84=Projects!$C$12),-135452,0)</f>
        <v>0</v>
      </c>
    </row>
    <row r="22" customFormat="false" ht="15" hidden="false" customHeight="true" outlineLevel="0" collapsed="false">
      <c r="A22" s="248" t="s">
        <v>841</v>
      </c>
      <c r="B22" s="248"/>
      <c r="C22" s="249" t="n">
        <f aca="false">C20+C21</f>
        <v>0</v>
      </c>
      <c r="D22" s="249" t="n">
        <f aca="false">D20+D21</f>
        <v>0</v>
      </c>
      <c r="E22" s="249" t="n">
        <f aca="false">E20+E21</f>
        <v>0</v>
      </c>
      <c r="F22" s="249" t="n">
        <f aca="false">F20+F21</f>
        <v>0</v>
      </c>
      <c r="G22" s="249" t="n">
        <f aca="false">G20+G21</f>
        <v>0</v>
      </c>
      <c r="H22" s="249" t="n">
        <f aca="false">H20+H21</f>
        <v>0</v>
      </c>
      <c r="I22" s="249" t="n">
        <f aca="false">I20+I21</f>
        <v>0</v>
      </c>
      <c r="J22" s="249" t="n">
        <f aca="false">J20+J21</f>
        <v>0</v>
      </c>
      <c r="K22" s="249" t="n">
        <f aca="false">K20+K21</f>
        <v>0</v>
      </c>
      <c r="L22" s="249" t="n">
        <f aca="false">L20+L21</f>
        <v>57345.63</v>
      </c>
      <c r="M22" s="249" t="n">
        <f aca="false">M20+M21</f>
        <v>11052.63</v>
      </c>
      <c r="N22" s="249" t="n">
        <f aca="false">N20+N21</f>
        <v>11052.63</v>
      </c>
      <c r="O22" s="249" t="n">
        <f aca="false">O20+O21</f>
        <v>11052.63</v>
      </c>
      <c r="P22" s="249" t="n">
        <f aca="false">P20+P21</f>
        <v>11052.63</v>
      </c>
      <c r="Q22" s="249" t="n">
        <f aca="false">Q20+Q21</f>
        <v>11052.63</v>
      </c>
      <c r="R22" s="249" t="n">
        <f aca="false">R20+R21</f>
        <v>11052.63</v>
      </c>
      <c r="S22" s="249" t="n">
        <f aca="false">S20+S21</f>
        <v>11052.63</v>
      </c>
      <c r="T22" s="249" t="n">
        <f aca="false">T20+T21</f>
        <v>11052.63</v>
      </c>
      <c r="U22" s="249" t="n">
        <f aca="false">U20+U21</f>
        <v>11052.63</v>
      </c>
      <c r="V22" s="249" t="n">
        <f aca="false">V20+V21</f>
        <v>11052.63</v>
      </c>
      <c r="W22" s="249" t="n">
        <f aca="false">W20+W21</f>
        <v>11052.63</v>
      </c>
      <c r="X22" s="249" t="n">
        <f aca="false">X20+X21</f>
        <v>11052.63</v>
      </c>
      <c r="Y22" s="249" t="n">
        <f aca="false">Y20+Y21</f>
        <v>11052.63</v>
      </c>
      <c r="Z22" s="249" t="n">
        <f aca="false">Z20+Z21</f>
        <v>11052.63</v>
      </c>
      <c r="AA22" s="249" t="n">
        <f aca="false">AA20+AA21</f>
        <v>11052.63</v>
      </c>
      <c r="AB22" s="249" t="n">
        <f aca="false">AB20+AB21</f>
        <v>11052.63</v>
      </c>
      <c r="AC22" s="249" t="n">
        <f aca="false">AC20+AC21</f>
        <v>11052.63</v>
      </c>
      <c r="AD22" s="249" t="n">
        <f aca="false">AD20+AD21</f>
        <v>11052.63</v>
      </c>
      <c r="AE22" s="249" t="n">
        <f aca="false">AE20+AE21</f>
        <v>0</v>
      </c>
      <c r="AF22" s="249" t="n">
        <f aca="false">AF20+AF21</f>
        <v>0</v>
      </c>
      <c r="AG22" s="249" t="n">
        <f aca="false">AG20+AG21</f>
        <v>0</v>
      </c>
      <c r="AH22" s="249" t="n">
        <f aca="false">AH20+AH21</f>
        <v>0</v>
      </c>
      <c r="AI22" s="249" t="n">
        <f aca="false">AI20+AI21</f>
        <v>0</v>
      </c>
      <c r="AJ22" s="249" t="n">
        <f aca="false">AJ20+AJ21</f>
        <v>0</v>
      </c>
      <c r="AK22" s="249" t="n">
        <f aca="false">AK20+AK21</f>
        <v>0</v>
      </c>
      <c r="AL22" s="249" t="n">
        <f aca="false">AL20+AL21</f>
        <v>0</v>
      </c>
      <c r="AM22" s="249" t="n">
        <f aca="false">AM20+AM21</f>
        <v>0</v>
      </c>
      <c r="AN22" s="249" t="n">
        <f aca="false">AN20+AN21</f>
        <v>0</v>
      </c>
      <c r="AO22" s="249" t="n">
        <f aca="false">AO20+AO21</f>
        <v>0</v>
      </c>
      <c r="AP22" s="249" t="n">
        <f aca="false">AP20+AP21</f>
        <v>0</v>
      </c>
      <c r="AQ22" s="249" t="n">
        <f aca="false">AQ20+AQ21</f>
        <v>0</v>
      </c>
      <c r="AR22" s="249" t="n">
        <f aca="false">AR20+AR21</f>
        <v>0</v>
      </c>
      <c r="AS22" s="249" t="n">
        <f aca="false">AS20+AS21</f>
        <v>0</v>
      </c>
      <c r="AT22" s="249" t="n">
        <f aca="false">AT20+AT21</f>
        <v>0</v>
      </c>
      <c r="AU22" s="249" t="n">
        <f aca="false">AU20+AU21</f>
        <v>0</v>
      </c>
      <c r="AV22" s="249" t="n">
        <f aca="false">AV20+AV21</f>
        <v>0</v>
      </c>
      <c r="AW22" s="249" t="n">
        <f aca="false">AW20+AW21</f>
        <v>0</v>
      </c>
      <c r="AX22" s="249" t="n">
        <f aca="false">AX20+AX21</f>
        <v>0</v>
      </c>
      <c r="AY22" s="249" t="n">
        <f aca="false">AY20+AY21</f>
        <v>0</v>
      </c>
      <c r="AZ22" s="249" t="n">
        <f aca="false">AZ20+AZ21</f>
        <v>0</v>
      </c>
      <c r="BA22" s="249" t="n">
        <f aca="false">BA20+BA21</f>
        <v>0</v>
      </c>
      <c r="BB22" s="249" t="n">
        <f aca="false">BB20+BB21</f>
        <v>0</v>
      </c>
      <c r="BC22" s="249" t="n">
        <f aca="false">BC20+BC21</f>
        <v>0</v>
      </c>
      <c r="BD22" s="249" t="n">
        <f aca="false">BD20+BD21</f>
        <v>0</v>
      </c>
      <c r="BE22" s="249" t="n">
        <f aca="false">BE20+BE21</f>
        <v>0</v>
      </c>
      <c r="BF22" s="249" t="n">
        <f aca="false">BF20+BF21</f>
        <v>0</v>
      </c>
      <c r="BG22" s="249" t="n">
        <f aca="false">BG20+BG21</f>
        <v>0</v>
      </c>
      <c r="BH22" s="249" t="n">
        <f aca="false">BH20+BH21</f>
        <v>0</v>
      </c>
      <c r="BI22" s="249" t="n">
        <f aca="false">BI20+BI21</f>
        <v>0</v>
      </c>
      <c r="BJ22" s="249" t="n">
        <f aca="false">BJ20+BJ21</f>
        <v>0</v>
      </c>
      <c r="BK22" s="249" t="n">
        <f aca="false">BK20+BK21</f>
        <v>0</v>
      </c>
      <c r="BL22" s="249" t="n">
        <f aca="false">BL20+BL21</f>
        <v>0</v>
      </c>
      <c r="BM22" s="249" t="n">
        <f aca="false">BM20+BM21</f>
        <v>0</v>
      </c>
      <c r="BN22" s="249" t="n">
        <f aca="false">BN20+BN21</f>
        <v>0</v>
      </c>
      <c r="BO22" s="249" t="n">
        <f aca="false">BO20+BO21</f>
        <v>0</v>
      </c>
      <c r="BP22" s="249" t="n">
        <f aca="false">BP20+BP21</f>
        <v>0</v>
      </c>
      <c r="BQ22" s="249" t="n">
        <f aca="false">BQ20+BQ21</f>
        <v>0</v>
      </c>
      <c r="BR22" s="249" t="n">
        <f aca="false">BR20+BR21</f>
        <v>0</v>
      </c>
      <c r="BS22" s="249" t="n">
        <f aca="false">BS20+BS21</f>
        <v>0</v>
      </c>
      <c r="BT22" s="249" t="n">
        <f aca="false">BT20+BT21</f>
        <v>0</v>
      </c>
      <c r="BU22" s="249" t="n">
        <f aca="false">BU20+BU21</f>
        <v>0</v>
      </c>
      <c r="BV22" s="249" t="n">
        <f aca="false">BV20+BV21</f>
        <v>0</v>
      </c>
      <c r="BW22" s="249" t="n">
        <f aca="false">BW20+BW21</f>
        <v>0</v>
      </c>
      <c r="BX22" s="249" t="n">
        <f aca="false">BX20+BX21</f>
        <v>0</v>
      </c>
      <c r="BY22" s="249" t="n">
        <f aca="false">BY20+BY21</f>
        <v>0</v>
      </c>
      <c r="BZ22" s="249" t="n">
        <f aca="false">BZ20+BZ21</f>
        <v>0</v>
      </c>
      <c r="CA22" s="249" t="n">
        <f aca="false">CA20+CA21</f>
        <v>0</v>
      </c>
      <c r="CB22" s="249" t="n">
        <f aca="false">CB20+CB21</f>
        <v>0</v>
      </c>
      <c r="CC22" s="249" t="n">
        <f aca="false">CC20+CC21</f>
        <v>0</v>
      </c>
      <c r="CD22" s="249" t="n">
        <f aca="false">CD20+CD21</f>
        <v>0</v>
      </c>
      <c r="CE22" s="249" t="n">
        <f aca="false">CE20+CE21</f>
        <v>0</v>
      </c>
      <c r="CF22" s="249" t="n">
        <f aca="false">CF20+CF21</f>
        <v>0</v>
      </c>
      <c r="CG22" s="249" t="n">
        <f aca="false">CG20+CG21</f>
        <v>0</v>
      </c>
      <c r="CH22" s="249" t="n">
        <f aca="false">CH20+CH21</f>
        <v>0</v>
      </c>
    </row>
    <row r="23" customFormat="false" ht="15" hidden="false" customHeight="true" outlineLevel="0" collapsed="false">
      <c r="A23" s="2" t="s">
        <v>842</v>
      </c>
      <c r="B23" s="3"/>
      <c r="C23" s="250" t="n">
        <f aca="false">C22</f>
        <v>0</v>
      </c>
      <c r="D23" s="250" t="n">
        <f aca="false">C23+D22</f>
        <v>0</v>
      </c>
      <c r="E23" s="250" t="n">
        <f aca="false">D23+E22</f>
        <v>0</v>
      </c>
      <c r="F23" s="250" t="n">
        <f aca="false">E23+F22</f>
        <v>0</v>
      </c>
      <c r="G23" s="250" t="n">
        <f aca="false">F23+G22</f>
        <v>0</v>
      </c>
      <c r="H23" s="250" t="n">
        <f aca="false">G23+H22</f>
        <v>0</v>
      </c>
      <c r="I23" s="250" t="n">
        <f aca="false">H23+I22</f>
        <v>0</v>
      </c>
      <c r="J23" s="250" t="n">
        <f aca="false">I23+J22</f>
        <v>0</v>
      </c>
      <c r="K23" s="250" t="n">
        <f aca="false">J23+K22</f>
        <v>0</v>
      </c>
      <c r="L23" s="250" t="n">
        <f aca="false">K23+L22</f>
        <v>57345.63</v>
      </c>
      <c r="M23" s="250" t="n">
        <f aca="false">L23+M22</f>
        <v>68398.26</v>
      </c>
      <c r="N23" s="250" t="n">
        <f aca="false">M23+N22</f>
        <v>79450.89</v>
      </c>
      <c r="O23" s="250" t="n">
        <f aca="false">N23+O22</f>
        <v>90503.52</v>
      </c>
      <c r="P23" s="250" t="n">
        <f aca="false">O23+P22</f>
        <v>101556.15</v>
      </c>
      <c r="Q23" s="250" t="n">
        <f aca="false">P23+Q22</f>
        <v>112608.78</v>
      </c>
      <c r="R23" s="250" t="n">
        <f aca="false">Q23+R22</f>
        <v>123661.41</v>
      </c>
      <c r="S23" s="250" t="n">
        <f aca="false">R23+S22</f>
        <v>134714.04</v>
      </c>
      <c r="T23" s="250" t="n">
        <f aca="false">S23+T22</f>
        <v>145766.67</v>
      </c>
      <c r="U23" s="250" t="n">
        <f aca="false">T23+U22</f>
        <v>156819.3</v>
      </c>
      <c r="V23" s="250" t="n">
        <f aca="false">U23+V22</f>
        <v>167871.93</v>
      </c>
      <c r="W23" s="250" t="n">
        <f aca="false">V23+W22</f>
        <v>178924.56</v>
      </c>
      <c r="X23" s="250" t="n">
        <f aca="false">W23+X22</f>
        <v>189977.19</v>
      </c>
      <c r="Y23" s="250" t="n">
        <f aca="false">X23+Y22</f>
        <v>201029.82</v>
      </c>
      <c r="Z23" s="250" t="n">
        <f aca="false">Y23+Z22</f>
        <v>212082.45</v>
      </c>
      <c r="AA23" s="250" t="n">
        <f aca="false">Z23+AA22</f>
        <v>223135.08</v>
      </c>
      <c r="AB23" s="250" t="n">
        <f aca="false">AA23+AB22</f>
        <v>234187.71</v>
      </c>
      <c r="AC23" s="250" t="n">
        <f aca="false">AB23+AC22</f>
        <v>245240.34</v>
      </c>
      <c r="AD23" s="250" t="n">
        <f aca="false">AC23+AD22</f>
        <v>256292.97</v>
      </c>
      <c r="AE23" s="250" t="n">
        <f aca="false">AD23+AE22</f>
        <v>256292.97</v>
      </c>
      <c r="AF23" s="250" t="n">
        <f aca="false">AE23+AF22</f>
        <v>256292.97</v>
      </c>
      <c r="AG23" s="250" t="n">
        <f aca="false">AF23+AG22</f>
        <v>256292.97</v>
      </c>
      <c r="AH23" s="250" t="n">
        <f aca="false">AG23+AH22</f>
        <v>256292.97</v>
      </c>
      <c r="AI23" s="250" t="n">
        <f aca="false">AH23+AI22</f>
        <v>256292.97</v>
      </c>
      <c r="AJ23" s="250" t="n">
        <f aca="false">AI23+AJ22</f>
        <v>256292.97</v>
      </c>
      <c r="AK23" s="250" t="n">
        <f aca="false">AJ23+AK22</f>
        <v>256292.97</v>
      </c>
      <c r="AL23" s="250" t="n">
        <f aca="false">AK23+AL22</f>
        <v>256292.97</v>
      </c>
      <c r="AM23" s="250" t="n">
        <f aca="false">AL23+AM22</f>
        <v>256292.97</v>
      </c>
      <c r="AN23" s="250" t="n">
        <f aca="false">AM23+AN22</f>
        <v>256292.97</v>
      </c>
      <c r="AO23" s="250" t="n">
        <f aca="false">AN23+AO22</f>
        <v>256292.97</v>
      </c>
      <c r="AP23" s="250" t="n">
        <f aca="false">AO23+AP22</f>
        <v>256292.97</v>
      </c>
      <c r="AQ23" s="250" t="n">
        <f aca="false">AP23+AQ22</f>
        <v>256292.97</v>
      </c>
      <c r="AR23" s="250" t="n">
        <f aca="false">AQ23+AR22</f>
        <v>256292.97</v>
      </c>
      <c r="AS23" s="250" t="n">
        <f aca="false">AR23+AS22</f>
        <v>256292.97</v>
      </c>
      <c r="AT23" s="250" t="n">
        <f aca="false">AS23+AT22</f>
        <v>256292.97</v>
      </c>
      <c r="AU23" s="250" t="n">
        <f aca="false">AT23+AU22</f>
        <v>256292.97</v>
      </c>
      <c r="AV23" s="250" t="n">
        <f aca="false">AU23+AV22</f>
        <v>256292.97</v>
      </c>
      <c r="AW23" s="250" t="n">
        <f aca="false">AV23+AW22</f>
        <v>256292.97</v>
      </c>
      <c r="AX23" s="250" t="n">
        <f aca="false">AW23+AX22</f>
        <v>256292.97</v>
      </c>
      <c r="AY23" s="250" t="n">
        <f aca="false">AX23+AY22</f>
        <v>256292.97</v>
      </c>
      <c r="AZ23" s="250" t="n">
        <f aca="false">AY23+AZ22</f>
        <v>256292.97</v>
      </c>
      <c r="BA23" s="250" t="n">
        <f aca="false">AZ23+BA22</f>
        <v>256292.97</v>
      </c>
      <c r="BB23" s="250" t="n">
        <f aca="false">BA23+BB22</f>
        <v>256292.97</v>
      </c>
      <c r="BC23" s="250" t="n">
        <f aca="false">BB23+BC22</f>
        <v>256292.97</v>
      </c>
      <c r="BD23" s="250" t="n">
        <f aca="false">BC23+BD22</f>
        <v>256292.97</v>
      </c>
      <c r="BE23" s="250" t="n">
        <f aca="false">BD23+BE22</f>
        <v>256292.97</v>
      </c>
      <c r="BF23" s="250" t="n">
        <f aca="false">BE23+BF22</f>
        <v>256292.97</v>
      </c>
      <c r="BG23" s="250" t="n">
        <f aca="false">BF23+BG22</f>
        <v>256292.97</v>
      </c>
      <c r="BH23" s="250" t="n">
        <f aca="false">BG23+BH22</f>
        <v>256292.97</v>
      </c>
      <c r="BI23" s="250" t="n">
        <f aca="false">BH23+BI22</f>
        <v>256292.97</v>
      </c>
      <c r="BJ23" s="250" t="n">
        <f aca="false">BI23+BJ22</f>
        <v>256292.97</v>
      </c>
      <c r="BK23" s="250" t="n">
        <f aca="false">BJ23+BK22</f>
        <v>256292.97</v>
      </c>
      <c r="BL23" s="250" t="n">
        <f aca="false">BK23+BL22</f>
        <v>256292.97</v>
      </c>
      <c r="BM23" s="250" t="n">
        <f aca="false">BL23+BM22</f>
        <v>256292.97</v>
      </c>
      <c r="BN23" s="250" t="n">
        <f aca="false">BM23+BN22</f>
        <v>256292.97</v>
      </c>
      <c r="BO23" s="250" t="n">
        <f aca="false">BN23+BO22</f>
        <v>256292.97</v>
      </c>
      <c r="BP23" s="250" t="n">
        <f aca="false">BO23+BP22</f>
        <v>256292.97</v>
      </c>
      <c r="BQ23" s="250" t="n">
        <f aca="false">BP23+BQ22</f>
        <v>256292.97</v>
      </c>
      <c r="BR23" s="250" t="n">
        <f aca="false">BQ23+BR22</f>
        <v>256292.97</v>
      </c>
      <c r="BS23" s="250" t="n">
        <f aca="false">BR23+BS22</f>
        <v>256292.97</v>
      </c>
      <c r="BT23" s="250" t="n">
        <f aca="false">BS23+BT22</f>
        <v>256292.97</v>
      </c>
      <c r="BU23" s="250" t="n">
        <f aca="false">BT23+BU22</f>
        <v>256292.97</v>
      </c>
      <c r="BV23" s="250" t="n">
        <f aca="false">BU23+BV22</f>
        <v>256292.97</v>
      </c>
      <c r="BW23" s="250" t="n">
        <f aca="false">BV23+BW22</f>
        <v>256292.97</v>
      </c>
      <c r="BX23" s="250" t="n">
        <f aca="false">BW23+BX22</f>
        <v>256292.97</v>
      </c>
      <c r="BY23" s="250" t="n">
        <f aca="false">BX23+BY22</f>
        <v>256292.97</v>
      </c>
      <c r="BZ23" s="250" t="n">
        <f aca="false">BY23+BZ22</f>
        <v>256292.97</v>
      </c>
      <c r="CA23" s="250" t="n">
        <f aca="false">BZ23+CA22</f>
        <v>256292.97</v>
      </c>
      <c r="CB23" s="250" t="n">
        <f aca="false">CA23+CB22</f>
        <v>256292.97</v>
      </c>
      <c r="CC23" s="250" t="n">
        <f aca="false">CB23+CC22</f>
        <v>256292.97</v>
      </c>
      <c r="CD23" s="250" t="n">
        <f aca="false">CC23+CD22</f>
        <v>256292.97</v>
      </c>
      <c r="CE23" s="250" t="n">
        <f aca="false">CD23+CE22</f>
        <v>256292.97</v>
      </c>
      <c r="CF23" s="250" t="n">
        <f aca="false">CE23+CF22</f>
        <v>256292.97</v>
      </c>
      <c r="CG23" s="250" t="n">
        <f aca="false">CF23+CG22</f>
        <v>256292.97</v>
      </c>
      <c r="CH23" s="250"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840</v>
      </c>
      <c r="B26" s="3"/>
      <c r="C26" s="247" t="n">
        <f aca="false">Model!E254</f>
        <v>0</v>
      </c>
      <c r="D26" s="247" t="n">
        <f aca="false">Model!F254</f>
        <v>0</v>
      </c>
      <c r="E26" s="247" t="n">
        <f aca="false">Model!G254</f>
        <v>0</v>
      </c>
      <c r="F26" s="247" t="n">
        <f aca="false">Model!H254</f>
        <v>0</v>
      </c>
      <c r="G26" s="247" t="n">
        <f aca="false">Model!I254</f>
        <v>127514</v>
      </c>
      <c r="H26" s="247" t="n">
        <f aca="false">Model!J254</f>
        <v>0</v>
      </c>
      <c r="I26" s="247" t="n">
        <f aca="false">Model!K254</f>
        <v>0</v>
      </c>
      <c r="J26" s="247" t="n">
        <f aca="false">Model!L254</f>
        <v>0</v>
      </c>
      <c r="K26" s="247" t="n">
        <f aca="false">Model!M254</f>
        <v>0</v>
      </c>
      <c r="L26" s="247" t="n">
        <f aca="false">Model!N254</f>
        <v>0</v>
      </c>
      <c r="M26" s="247" t="n">
        <f aca="false">Model!O254</f>
        <v>0</v>
      </c>
      <c r="N26" s="247" t="n">
        <f aca="false">Model!P254</f>
        <v>0</v>
      </c>
      <c r="O26" s="247" t="n">
        <f aca="false">Model!Q254</f>
        <v>0</v>
      </c>
      <c r="P26" s="247" t="n">
        <f aca="false">Model!R254</f>
        <v>0</v>
      </c>
      <c r="Q26" s="247" t="n">
        <f aca="false">Model!S254</f>
        <v>0</v>
      </c>
      <c r="R26" s="247" t="n">
        <f aca="false">Model!T254</f>
        <v>0</v>
      </c>
      <c r="S26" s="247" t="n">
        <f aca="false">Model!U254</f>
        <v>0</v>
      </c>
      <c r="T26" s="247" t="n">
        <f aca="false">Model!V254</f>
        <v>0</v>
      </c>
      <c r="U26" s="247" t="n">
        <f aca="false">Model!W254</f>
        <v>0</v>
      </c>
      <c r="V26" s="247" t="n">
        <f aca="false">Model!X254</f>
        <v>0</v>
      </c>
      <c r="W26" s="247" t="n">
        <f aca="false">Model!Y254</f>
        <v>0</v>
      </c>
      <c r="X26" s="247" t="n">
        <f aca="false">Model!Z254</f>
        <v>0</v>
      </c>
      <c r="Y26" s="247" t="n">
        <f aca="false">Model!AA254</f>
        <v>0</v>
      </c>
      <c r="Z26" s="247" t="n">
        <f aca="false">Model!AB254</f>
        <v>0</v>
      </c>
      <c r="AA26" s="247" t="n">
        <f aca="false">Model!AC254</f>
        <v>0</v>
      </c>
      <c r="AB26" s="247" t="n">
        <f aca="false">Model!AD254</f>
        <v>0</v>
      </c>
      <c r="AC26" s="247" t="n">
        <f aca="false">Model!AE254</f>
        <v>0</v>
      </c>
      <c r="AD26" s="247" t="n">
        <f aca="false">Model!AF254</f>
        <v>0</v>
      </c>
      <c r="AE26" s="247" t="n">
        <f aca="false">Model!AG254</f>
        <v>0</v>
      </c>
      <c r="AF26" s="247" t="n">
        <f aca="false">Model!AH254</f>
        <v>0</v>
      </c>
      <c r="AG26" s="247" t="n">
        <f aca="false">Model!AI254</f>
        <v>0</v>
      </c>
      <c r="AH26" s="247" t="n">
        <f aca="false">Model!AJ254</f>
        <v>0</v>
      </c>
      <c r="AI26" s="247" t="n">
        <f aca="false">Model!AK254</f>
        <v>0</v>
      </c>
      <c r="AJ26" s="247" t="n">
        <f aca="false">Model!AL254</f>
        <v>0</v>
      </c>
      <c r="AK26" s="247" t="n">
        <f aca="false">Model!AM254</f>
        <v>0</v>
      </c>
      <c r="AL26" s="247" t="n">
        <f aca="false">Model!AN254</f>
        <v>0</v>
      </c>
      <c r="AM26" s="247" t="n">
        <f aca="false">Model!AO254</f>
        <v>0</v>
      </c>
      <c r="AN26" s="247" t="n">
        <f aca="false">Model!AP254</f>
        <v>0</v>
      </c>
      <c r="AO26" s="247" t="n">
        <f aca="false">Model!AQ254</f>
        <v>0</v>
      </c>
      <c r="AP26" s="247" t="n">
        <f aca="false">Model!AR254</f>
        <v>0</v>
      </c>
      <c r="AQ26" s="247" t="n">
        <f aca="false">Model!AS254</f>
        <v>0</v>
      </c>
      <c r="AR26" s="247" t="n">
        <f aca="false">Model!AT254</f>
        <v>81683</v>
      </c>
      <c r="AS26" s="247" t="n">
        <f aca="false">Model!AU254</f>
        <v>0</v>
      </c>
      <c r="AT26" s="247" t="n">
        <f aca="false">Model!AV254</f>
        <v>0</v>
      </c>
      <c r="AU26" s="247" t="n">
        <f aca="false">Model!AW254</f>
        <v>81682</v>
      </c>
      <c r="AV26" s="247" t="n">
        <f aca="false">Model!AX254</f>
        <v>0</v>
      </c>
      <c r="AW26" s="247" t="n">
        <f aca="false">Model!AY254</f>
        <v>0</v>
      </c>
      <c r="AX26" s="247" t="n">
        <f aca="false">Model!AZ254</f>
        <v>81682</v>
      </c>
      <c r="AY26" s="247" t="n">
        <f aca="false">Model!BA254</f>
        <v>0</v>
      </c>
      <c r="AZ26" s="247" t="n">
        <f aca="false">Model!BB254</f>
        <v>0</v>
      </c>
      <c r="BA26" s="247" t="n">
        <f aca="false">Model!BC254</f>
        <v>81682</v>
      </c>
      <c r="BB26" s="247" t="n">
        <f aca="false">Model!BD254</f>
        <v>0</v>
      </c>
      <c r="BC26" s="247" t="n">
        <f aca="false">Model!BE254</f>
        <v>0</v>
      </c>
      <c r="BD26" s="247" t="n">
        <f aca="false">Model!BF254</f>
        <v>59178</v>
      </c>
      <c r="BE26" s="247" t="n">
        <f aca="false">Model!BG254</f>
        <v>0</v>
      </c>
      <c r="BF26" s="247" t="n">
        <f aca="false">Model!BH254</f>
        <v>0</v>
      </c>
      <c r="BG26" s="247" t="n">
        <f aca="false">Model!BI254</f>
        <v>59176</v>
      </c>
      <c r="BH26" s="247" t="n">
        <f aca="false">Model!BJ254</f>
        <v>0</v>
      </c>
      <c r="BI26" s="247" t="n">
        <f aca="false">Model!BK254</f>
        <v>0</v>
      </c>
      <c r="BJ26" s="247" t="n">
        <f aca="false">Model!BL254</f>
        <v>59176</v>
      </c>
      <c r="BK26" s="247" t="n">
        <f aca="false">Model!BM254</f>
        <v>0</v>
      </c>
      <c r="BL26" s="247" t="n">
        <f aca="false">Model!BN254</f>
        <v>0</v>
      </c>
      <c r="BM26" s="247" t="n">
        <f aca="false">Model!BO254</f>
        <v>59176</v>
      </c>
      <c r="BN26" s="247" t="n">
        <f aca="false">Model!BP254</f>
        <v>0</v>
      </c>
      <c r="BO26" s="247" t="n">
        <f aca="false">Model!BQ254</f>
        <v>0</v>
      </c>
      <c r="BP26" s="247" t="n">
        <f aca="false">Model!BR254</f>
        <v>67763</v>
      </c>
      <c r="BQ26" s="247" t="n">
        <f aca="false">Model!BS254</f>
        <v>0</v>
      </c>
      <c r="BR26" s="247" t="n">
        <f aca="false">Model!BT254</f>
        <v>0</v>
      </c>
      <c r="BS26" s="247" t="n">
        <f aca="false">Model!BU254</f>
        <v>67762</v>
      </c>
      <c r="BT26" s="247" t="n">
        <f aca="false">Model!BV254</f>
        <v>0</v>
      </c>
      <c r="BU26" s="247" t="n">
        <f aca="false">Model!BW254</f>
        <v>0</v>
      </c>
      <c r="BV26" s="247" t="n">
        <f aca="false">Model!BX254</f>
        <v>67762</v>
      </c>
      <c r="BW26" s="247" t="n">
        <f aca="false">Model!BY254</f>
        <v>0</v>
      </c>
      <c r="BX26" s="247" t="n">
        <f aca="false">Model!BZ254</f>
        <v>0</v>
      </c>
      <c r="BY26" s="247" t="n">
        <f aca="false">Model!CA254</f>
        <v>67762</v>
      </c>
      <c r="BZ26" s="247" t="n">
        <f aca="false">Model!CB254</f>
        <v>0</v>
      </c>
      <c r="CA26" s="247" t="n">
        <f aca="false">Model!CC254</f>
        <v>0</v>
      </c>
      <c r="CB26" s="247" t="n">
        <f aca="false">Model!CD254</f>
        <v>76499</v>
      </c>
      <c r="CC26" s="247" t="n">
        <f aca="false">Model!CE254</f>
        <v>0</v>
      </c>
      <c r="CD26" s="247" t="n">
        <f aca="false">Model!CF254</f>
        <v>0</v>
      </c>
      <c r="CE26" s="247" t="n">
        <f aca="false">Model!CG254</f>
        <v>76499</v>
      </c>
      <c r="CF26" s="247" t="n">
        <f aca="false">Model!CH254</f>
        <v>0</v>
      </c>
      <c r="CG26" s="247" t="n">
        <f aca="false">Model!CI254</f>
        <v>0</v>
      </c>
      <c r="CH26" s="247" t="n">
        <f aca="false">Model!CJ254</f>
        <v>76499</v>
      </c>
    </row>
    <row r="27" customFormat="false" ht="15" hidden="false" customHeight="true" outlineLevel="0" collapsed="false">
      <c r="A27" s="251" t="s">
        <v>843</v>
      </c>
      <c r="B27" s="3"/>
      <c r="C27" s="252" t="n">
        <f aca="false">Model!E289</f>
        <v>-0</v>
      </c>
      <c r="D27" s="252" t="n">
        <f aca="false">Model!F289</f>
        <v>-0</v>
      </c>
      <c r="E27" s="252" t="n">
        <f aca="false">Model!G289</f>
        <v>-0</v>
      </c>
      <c r="F27" s="252" t="n">
        <f aca="false">Model!H289</f>
        <v>-0</v>
      </c>
      <c r="G27" s="252" t="n">
        <f aca="false">Model!I289</f>
        <v>0</v>
      </c>
      <c r="H27" s="252" t="n">
        <f aca="false">Model!J289</f>
        <v>-0</v>
      </c>
      <c r="I27" s="252" t="n">
        <f aca="false">Model!K289</f>
        <v>-0</v>
      </c>
      <c r="J27" s="252" t="n">
        <f aca="false">Model!L289</f>
        <v>-0</v>
      </c>
      <c r="K27" s="252" t="n">
        <f aca="false">Model!M289</f>
        <v>-0</v>
      </c>
      <c r="L27" s="252" t="n">
        <f aca="false">Model!N289</f>
        <v>-0</v>
      </c>
      <c r="M27" s="252" t="n">
        <f aca="false">Model!O289</f>
        <v>-0</v>
      </c>
      <c r="N27" s="252" t="n">
        <f aca="false">Model!P289</f>
        <v>-0</v>
      </c>
      <c r="O27" s="252" t="n">
        <f aca="false">Model!Q289</f>
        <v>-0</v>
      </c>
      <c r="P27" s="252" t="n">
        <f aca="false">Model!R289</f>
        <v>-0</v>
      </c>
      <c r="Q27" s="252" t="n">
        <f aca="false">Model!S289</f>
        <v>-0</v>
      </c>
      <c r="R27" s="252" t="n">
        <f aca="false">Model!T289</f>
        <v>-0</v>
      </c>
      <c r="S27" s="252" t="n">
        <f aca="false">Model!U289</f>
        <v>-0</v>
      </c>
      <c r="T27" s="252" t="n">
        <f aca="false">Model!V289</f>
        <v>-0</v>
      </c>
      <c r="U27" s="252" t="n">
        <f aca="false">Model!W289</f>
        <v>-0</v>
      </c>
      <c r="V27" s="252" t="n">
        <f aca="false">Model!X289</f>
        <v>-0</v>
      </c>
      <c r="W27" s="252" t="n">
        <f aca="false">Model!Y289</f>
        <v>-0</v>
      </c>
      <c r="X27" s="252" t="n">
        <f aca="false">Model!Z289</f>
        <v>-0</v>
      </c>
      <c r="Y27" s="252" t="n">
        <f aca="false">Model!AA289</f>
        <v>-0</v>
      </c>
      <c r="Z27" s="252" t="n">
        <f aca="false">Model!AB289</f>
        <v>-0</v>
      </c>
      <c r="AA27" s="252" t="n">
        <f aca="false">Model!AC289</f>
        <v>-0</v>
      </c>
      <c r="AB27" s="252" t="n">
        <f aca="false">Model!AD289</f>
        <v>-0</v>
      </c>
      <c r="AC27" s="252" t="n">
        <f aca="false">Model!AE289</f>
        <v>-0</v>
      </c>
      <c r="AD27" s="252" t="n">
        <f aca="false">Model!AF289</f>
        <v>-0</v>
      </c>
      <c r="AE27" s="252" t="n">
        <f aca="false">Model!AG289</f>
        <v>-0</v>
      </c>
      <c r="AF27" s="252" t="n">
        <f aca="false">Model!AH289</f>
        <v>-0</v>
      </c>
      <c r="AG27" s="252" t="n">
        <f aca="false">Model!AI289</f>
        <v>-0</v>
      </c>
      <c r="AH27" s="252" t="n">
        <f aca="false">Model!AJ289</f>
        <v>-0</v>
      </c>
      <c r="AI27" s="252" t="n">
        <f aca="false">Model!AK289</f>
        <v>-0</v>
      </c>
      <c r="AJ27" s="252" t="n">
        <f aca="false">Model!AL289</f>
        <v>-0</v>
      </c>
      <c r="AK27" s="252" t="n">
        <f aca="false">Model!AM289</f>
        <v>-0</v>
      </c>
      <c r="AL27" s="252" t="n">
        <f aca="false">Model!AN289</f>
        <v>-0</v>
      </c>
      <c r="AM27" s="252" t="n">
        <f aca="false">Model!AO289</f>
        <v>-0</v>
      </c>
      <c r="AN27" s="252" t="n">
        <f aca="false">Model!AP289</f>
        <v>-0</v>
      </c>
      <c r="AO27" s="252" t="n">
        <f aca="false">Model!AQ289</f>
        <v>-0</v>
      </c>
      <c r="AP27" s="252" t="n">
        <f aca="false">Model!AR289</f>
        <v>-0</v>
      </c>
      <c r="AQ27" s="252" t="n">
        <f aca="false">Model!AS289</f>
        <v>-0</v>
      </c>
      <c r="AR27" s="252" t="n">
        <f aca="false">Model!AT289</f>
        <v>-81683</v>
      </c>
      <c r="AS27" s="252" t="n">
        <f aca="false">Model!AU289</f>
        <v>-0</v>
      </c>
      <c r="AT27" s="252" t="n">
        <f aca="false">Model!AV289</f>
        <v>-0</v>
      </c>
      <c r="AU27" s="252" t="n">
        <f aca="false">Model!AW289</f>
        <v>-81682</v>
      </c>
      <c r="AV27" s="252" t="n">
        <f aca="false">Model!AX289</f>
        <v>-0</v>
      </c>
      <c r="AW27" s="252" t="n">
        <f aca="false">Model!AY289</f>
        <v>-0</v>
      </c>
      <c r="AX27" s="252" t="n">
        <f aca="false">Model!AZ289</f>
        <v>-81682</v>
      </c>
      <c r="AY27" s="252" t="n">
        <f aca="false">Model!BA289</f>
        <v>-0</v>
      </c>
      <c r="AZ27" s="252" t="n">
        <f aca="false">Model!BB289</f>
        <v>-0</v>
      </c>
      <c r="BA27" s="252" t="n">
        <f aca="false">Model!BC289</f>
        <v>-81682</v>
      </c>
      <c r="BB27" s="252" t="n">
        <f aca="false">Model!BD289</f>
        <v>-0</v>
      </c>
      <c r="BC27" s="252" t="n">
        <f aca="false">Model!BE289</f>
        <v>-0</v>
      </c>
      <c r="BD27" s="252" t="n">
        <f aca="false">Model!BF289</f>
        <v>-59178</v>
      </c>
      <c r="BE27" s="252" t="n">
        <f aca="false">Model!BG289</f>
        <v>-0</v>
      </c>
      <c r="BF27" s="252" t="n">
        <f aca="false">Model!BH289</f>
        <v>-0</v>
      </c>
      <c r="BG27" s="252" t="n">
        <f aca="false">Model!BI289</f>
        <v>-59176</v>
      </c>
      <c r="BH27" s="252" t="n">
        <f aca="false">Model!BJ289</f>
        <v>-0</v>
      </c>
      <c r="BI27" s="252" t="n">
        <f aca="false">Model!BK289</f>
        <v>-0</v>
      </c>
      <c r="BJ27" s="252" t="n">
        <f aca="false">Model!BL289</f>
        <v>-59176</v>
      </c>
      <c r="BK27" s="252" t="n">
        <f aca="false">Model!BM289</f>
        <v>-0</v>
      </c>
      <c r="BL27" s="252" t="n">
        <f aca="false">Model!BN289</f>
        <v>-0</v>
      </c>
      <c r="BM27" s="252" t="n">
        <f aca="false">Model!BO289</f>
        <v>-59176</v>
      </c>
      <c r="BN27" s="252" t="n">
        <f aca="false">Model!BP289</f>
        <v>-0</v>
      </c>
      <c r="BO27" s="252" t="n">
        <f aca="false">Model!BQ289</f>
        <v>-0</v>
      </c>
      <c r="BP27" s="252" t="n">
        <f aca="false">Model!BR289</f>
        <v>-14512.65</v>
      </c>
      <c r="BQ27" s="252" t="n">
        <f aca="false">Model!BS289</f>
        <v>-0</v>
      </c>
      <c r="BR27" s="252" t="n">
        <f aca="false">Model!BT289</f>
        <v>-0</v>
      </c>
      <c r="BS27" s="252" t="n">
        <f aca="false">Model!BU289</f>
        <v>-0</v>
      </c>
      <c r="BT27" s="252" t="n">
        <f aca="false">Model!BV289</f>
        <v>-0</v>
      </c>
      <c r="BU27" s="252" t="n">
        <f aca="false">Model!BW289</f>
        <v>-0</v>
      </c>
      <c r="BV27" s="252" t="n">
        <f aca="false">Model!BX289</f>
        <v>-0</v>
      </c>
      <c r="BW27" s="252" t="n">
        <f aca="false">Model!BY289</f>
        <v>-0</v>
      </c>
      <c r="BX27" s="252" t="n">
        <f aca="false">Model!BZ289</f>
        <v>-0</v>
      </c>
      <c r="BY27" s="252" t="n">
        <f aca="false">Model!CA289</f>
        <v>-0</v>
      </c>
      <c r="BZ27" s="252" t="n">
        <f aca="false">Model!CB289</f>
        <v>-0</v>
      </c>
      <c r="CA27" s="252" t="n">
        <f aca="false">Model!CC289</f>
        <v>-0</v>
      </c>
      <c r="CB27" s="252" t="n">
        <f aca="false">Model!CD289</f>
        <v>-0</v>
      </c>
      <c r="CC27" s="252" t="n">
        <f aca="false">Model!CE289</f>
        <v>-0</v>
      </c>
      <c r="CD27" s="252" t="n">
        <f aca="false">Model!CF289</f>
        <v>-0</v>
      </c>
      <c r="CE27" s="252" t="n">
        <f aca="false">Model!CG289</f>
        <v>-0</v>
      </c>
      <c r="CF27" s="252" t="n">
        <f aca="false">Model!CH289</f>
        <v>-0</v>
      </c>
      <c r="CG27" s="252" t="n">
        <f aca="false">Model!CI289</f>
        <v>-0</v>
      </c>
      <c r="CH27" s="252" t="n">
        <f aca="false">Model!CJ289</f>
        <v>-0</v>
      </c>
    </row>
    <row r="28" customFormat="false" ht="15" hidden="false" customHeight="true" outlineLevel="0" collapsed="false">
      <c r="A28" s="248" t="s">
        <v>841</v>
      </c>
      <c r="B28" s="248"/>
      <c r="C28" s="249" t="n">
        <f aca="false">C26+C27</f>
        <v>0</v>
      </c>
      <c r="D28" s="249" t="n">
        <f aca="false">D26+D27</f>
        <v>0</v>
      </c>
      <c r="E28" s="249" t="n">
        <f aca="false">E26+E27</f>
        <v>0</v>
      </c>
      <c r="F28" s="249" t="n">
        <f aca="false">F26+F27</f>
        <v>0</v>
      </c>
      <c r="G28" s="249" t="n">
        <f aca="false">G26+G27</f>
        <v>127514</v>
      </c>
      <c r="H28" s="249" t="n">
        <f aca="false">H26+H27</f>
        <v>0</v>
      </c>
      <c r="I28" s="249" t="n">
        <f aca="false">I26+I27</f>
        <v>0</v>
      </c>
      <c r="J28" s="249" t="n">
        <f aca="false">J26+J27</f>
        <v>0</v>
      </c>
      <c r="K28" s="249" t="n">
        <f aca="false">K26+K27</f>
        <v>0</v>
      </c>
      <c r="L28" s="249" t="n">
        <f aca="false">L26+L27</f>
        <v>0</v>
      </c>
      <c r="M28" s="249" t="n">
        <f aca="false">M26+M27</f>
        <v>0</v>
      </c>
      <c r="N28" s="249" t="n">
        <f aca="false">N26+N27</f>
        <v>0</v>
      </c>
      <c r="O28" s="249" t="n">
        <f aca="false">O26+O27</f>
        <v>0</v>
      </c>
      <c r="P28" s="249" t="n">
        <f aca="false">P26+P27</f>
        <v>0</v>
      </c>
      <c r="Q28" s="249" t="n">
        <f aca="false">Q26+Q27</f>
        <v>0</v>
      </c>
      <c r="R28" s="249" t="n">
        <f aca="false">R26+R27</f>
        <v>0</v>
      </c>
      <c r="S28" s="249" t="n">
        <f aca="false">S26+S27</f>
        <v>0</v>
      </c>
      <c r="T28" s="249" t="n">
        <f aca="false">T26+T27</f>
        <v>0</v>
      </c>
      <c r="U28" s="249" t="n">
        <f aca="false">U26+U27</f>
        <v>0</v>
      </c>
      <c r="V28" s="249" t="n">
        <f aca="false">V26+V27</f>
        <v>0</v>
      </c>
      <c r="W28" s="249" t="n">
        <f aca="false">W26+W27</f>
        <v>0</v>
      </c>
      <c r="X28" s="249" t="n">
        <f aca="false">X26+X27</f>
        <v>0</v>
      </c>
      <c r="Y28" s="249" t="n">
        <f aca="false">Y26+Y27</f>
        <v>0</v>
      </c>
      <c r="Z28" s="249" t="n">
        <f aca="false">Z26+Z27</f>
        <v>0</v>
      </c>
      <c r="AA28" s="249" t="n">
        <f aca="false">AA26+AA27</f>
        <v>0</v>
      </c>
      <c r="AB28" s="249" t="n">
        <f aca="false">AB26+AB27</f>
        <v>0</v>
      </c>
      <c r="AC28" s="249" t="n">
        <f aca="false">AC26+AC27</f>
        <v>0</v>
      </c>
      <c r="AD28" s="249" t="n">
        <f aca="false">AD26+AD27</f>
        <v>0</v>
      </c>
      <c r="AE28" s="249" t="n">
        <f aca="false">AE26+AE27</f>
        <v>0</v>
      </c>
      <c r="AF28" s="249" t="n">
        <f aca="false">AF26+AF27</f>
        <v>0</v>
      </c>
      <c r="AG28" s="249" t="n">
        <f aca="false">AG26+AG27</f>
        <v>0</v>
      </c>
      <c r="AH28" s="249" t="n">
        <f aca="false">AH26+AH27</f>
        <v>0</v>
      </c>
      <c r="AI28" s="249" t="n">
        <f aca="false">AI26+AI27</f>
        <v>0</v>
      </c>
      <c r="AJ28" s="249" t="n">
        <f aca="false">AJ26+AJ27</f>
        <v>0</v>
      </c>
      <c r="AK28" s="249" t="n">
        <f aca="false">AK26+AK27</f>
        <v>0</v>
      </c>
      <c r="AL28" s="249" t="n">
        <f aca="false">AL26+AL27</f>
        <v>0</v>
      </c>
      <c r="AM28" s="249" t="n">
        <f aca="false">AM26+AM27</f>
        <v>0</v>
      </c>
      <c r="AN28" s="249" t="n">
        <f aca="false">AN26+AN27</f>
        <v>0</v>
      </c>
      <c r="AO28" s="249" t="n">
        <f aca="false">AO26+AO27</f>
        <v>0</v>
      </c>
      <c r="AP28" s="249" t="n">
        <f aca="false">AP26+AP27</f>
        <v>0</v>
      </c>
      <c r="AQ28" s="249" t="n">
        <f aca="false">AQ26+AQ27</f>
        <v>0</v>
      </c>
      <c r="AR28" s="249" t="n">
        <f aca="false">AR26+AR27</f>
        <v>0</v>
      </c>
      <c r="AS28" s="249" t="n">
        <f aca="false">AS26+AS27</f>
        <v>0</v>
      </c>
      <c r="AT28" s="249" t="n">
        <f aca="false">AT26+AT27</f>
        <v>0</v>
      </c>
      <c r="AU28" s="249" t="n">
        <f aca="false">AU26+AU27</f>
        <v>0</v>
      </c>
      <c r="AV28" s="249" t="n">
        <f aca="false">AV26+AV27</f>
        <v>0</v>
      </c>
      <c r="AW28" s="249" t="n">
        <f aca="false">AW26+AW27</f>
        <v>0</v>
      </c>
      <c r="AX28" s="249" t="n">
        <f aca="false">AX26+AX27</f>
        <v>0</v>
      </c>
      <c r="AY28" s="249" t="n">
        <f aca="false">AY26+AY27</f>
        <v>0</v>
      </c>
      <c r="AZ28" s="249" t="n">
        <f aca="false">AZ26+AZ27</f>
        <v>0</v>
      </c>
      <c r="BA28" s="249" t="n">
        <f aca="false">BA26+BA27</f>
        <v>0</v>
      </c>
      <c r="BB28" s="249" t="n">
        <f aca="false">BB26+BB27</f>
        <v>0</v>
      </c>
      <c r="BC28" s="249" t="n">
        <f aca="false">BC26+BC27</f>
        <v>0</v>
      </c>
      <c r="BD28" s="249" t="n">
        <f aca="false">BD26+BD27</f>
        <v>0</v>
      </c>
      <c r="BE28" s="249" t="n">
        <f aca="false">BE26+BE27</f>
        <v>0</v>
      </c>
      <c r="BF28" s="249" t="n">
        <f aca="false">BF26+BF27</f>
        <v>0</v>
      </c>
      <c r="BG28" s="249" t="n">
        <f aca="false">BG26+BG27</f>
        <v>0</v>
      </c>
      <c r="BH28" s="249" t="n">
        <f aca="false">BH26+BH27</f>
        <v>0</v>
      </c>
      <c r="BI28" s="249" t="n">
        <f aca="false">BI26+BI27</f>
        <v>0</v>
      </c>
      <c r="BJ28" s="249" t="n">
        <f aca="false">BJ26+BJ27</f>
        <v>0</v>
      </c>
      <c r="BK28" s="249" t="n">
        <f aca="false">BK26+BK27</f>
        <v>0</v>
      </c>
      <c r="BL28" s="249" t="n">
        <f aca="false">BL26+BL27</f>
        <v>0</v>
      </c>
      <c r="BM28" s="249" t="n">
        <f aca="false">BM26+BM27</f>
        <v>0</v>
      </c>
      <c r="BN28" s="249" t="n">
        <f aca="false">BN26+BN27</f>
        <v>0</v>
      </c>
      <c r="BO28" s="249" t="n">
        <f aca="false">BO26+BO27</f>
        <v>0</v>
      </c>
      <c r="BP28" s="249" t="n">
        <f aca="false">BP26+BP27</f>
        <v>53250.35</v>
      </c>
      <c r="BQ28" s="249" t="n">
        <f aca="false">BQ26+BQ27</f>
        <v>0</v>
      </c>
      <c r="BR28" s="249" t="n">
        <f aca="false">BR26+BR27</f>
        <v>0</v>
      </c>
      <c r="BS28" s="249" t="n">
        <f aca="false">BS26+BS27</f>
        <v>67762</v>
      </c>
      <c r="BT28" s="249" t="n">
        <f aca="false">BT26+BT27</f>
        <v>0</v>
      </c>
      <c r="BU28" s="249" t="n">
        <f aca="false">BU26+BU27</f>
        <v>0</v>
      </c>
      <c r="BV28" s="249" t="n">
        <f aca="false">BV26+BV27</f>
        <v>67762</v>
      </c>
      <c r="BW28" s="249" t="n">
        <f aca="false">BW26+BW27</f>
        <v>0</v>
      </c>
      <c r="BX28" s="249" t="n">
        <f aca="false">BX26+BX27</f>
        <v>0</v>
      </c>
      <c r="BY28" s="249" t="n">
        <f aca="false">BY26+BY27</f>
        <v>67762</v>
      </c>
      <c r="BZ28" s="249" t="n">
        <f aca="false">BZ26+BZ27</f>
        <v>0</v>
      </c>
      <c r="CA28" s="249" t="n">
        <f aca="false">CA26+CA27</f>
        <v>0</v>
      </c>
      <c r="CB28" s="249" t="n">
        <f aca="false">CB26+CB27</f>
        <v>76499</v>
      </c>
      <c r="CC28" s="249" t="n">
        <f aca="false">CC26+CC27</f>
        <v>0</v>
      </c>
      <c r="CD28" s="249" t="n">
        <f aca="false">CD26+CD27</f>
        <v>0</v>
      </c>
      <c r="CE28" s="249" t="n">
        <f aca="false">CE26+CE27</f>
        <v>76499</v>
      </c>
      <c r="CF28" s="249" t="n">
        <f aca="false">CF26+CF27</f>
        <v>0</v>
      </c>
      <c r="CG28" s="249" t="n">
        <f aca="false">CG26+CG27</f>
        <v>0</v>
      </c>
      <c r="CH28" s="249" t="n">
        <f aca="false">CH26+CH27</f>
        <v>76499</v>
      </c>
    </row>
    <row r="29" customFormat="false" ht="15" hidden="false" customHeight="true" outlineLevel="0" collapsed="false">
      <c r="A29" s="2" t="s">
        <v>842</v>
      </c>
      <c r="B29" s="3"/>
      <c r="C29" s="250" t="n">
        <f aca="false">C28</f>
        <v>0</v>
      </c>
      <c r="D29" s="250" t="n">
        <f aca="false">C29+D28</f>
        <v>0</v>
      </c>
      <c r="E29" s="250" t="n">
        <f aca="false">D29+E28</f>
        <v>0</v>
      </c>
      <c r="F29" s="250" t="n">
        <f aca="false">E29+F28</f>
        <v>0</v>
      </c>
      <c r="G29" s="250" t="n">
        <f aca="false">F29+G28</f>
        <v>127514</v>
      </c>
      <c r="H29" s="250" t="n">
        <f aca="false">G29+H28</f>
        <v>127514</v>
      </c>
      <c r="I29" s="250" t="n">
        <f aca="false">H29+I28</f>
        <v>127514</v>
      </c>
      <c r="J29" s="250" t="n">
        <f aca="false">I29+J28</f>
        <v>127514</v>
      </c>
      <c r="K29" s="250" t="n">
        <f aca="false">J29+K28</f>
        <v>127514</v>
      </c>
      <c r="L29" s="250" t="n">
        <f aca="false">K29+L28</f>
        <v>127514</v>
      </c>
      <c r="M29" s="250" t="n">
        <f aca="false">L29+M28</f>
        <v>127514</v>
      </c>
      <c r="N29" s="250" t="n">
        <f aca="false">M29+N28</f>
        <v>127514</v>
      </c>
      <c r="O29" s="250" t="n">
        <f aca="false">N29+O28</f>
        <v>127514</v>
      </c>
      <c r="P29" s="250" t="n">
        <f aca="false">O29+P28</f>
        <v>127514</v>
      </c>
      <c r="Q29" s="250" t="n">
        <f aca="false">P29+Q28</f>
        <v>127514</v>
      </c>
      <c r="R29" s="250" t="n">
        <f aca="false">Q29+R28</f>
        <v>127514</v>
      </c>
      <c r="S29" s="250" t="n">
        <f aca="false">R29+S28</f>
        <v>127514</v>
      </c>
      <c r="T29" s="250" t="n">
        <f aca="false">S29+T28</f>
        <v>127514</v>
      </c>
      <c r="U29" s="250" t="n">
        <f aca="false">T29+U28</f>
        <v>127514</v>
      </c>
      <c r="V29" s="250" t="n">
        <f aca="false">U29+V28</f>
        <v>127514</v>
      </c>
      <c r="W29" s="250" t="n">
        <f aca="false">V29+W28</f>
        <v>127514</v>
      </c>
      <c r="X29" s="250" t="n">
        <f aca="false">W29+X28</f>
        <v>127514</v>
      </c>
      <c r="Y29" s="250" t="n">
        <f aca="false">X29+Y28</f>
        <v>127514</v>
      </c>
      <c r="Z29" s="250" t="n">
        <f aca="false">Y29+Z28</f>
        <v>127514</v>
      </c>
      <c r="AA29" s="250" t="n">
        <f aca="false">Z29+AA28</f>
        <v>127514</v>
      </c>
      <c r="AB29" s="250" t="n">
        <f aca="false">AA29+AB28</f>
        <v>127514</v>
      </c>
      <c r="AC29" s="250" t="n">
        <f aca="false">AB29+AC28</f>
        <v>127514</v>
      </c>
      <c r="AD29" s="250" t="n">
        <f aca="false">AC29+AD28</f>
        <v>127514</v>
      </c>
      <c r="AE29" s="250" t="n">
        <f aca="false">AD29+AE28</f>
        <v>127514</v>
      </c>
      <c r="AF29" s="250" t="n">
        <f aca="false">AE29+AF28</f>
        <v>127514</v>
      </c>
      <c r="AG29" s="250" t="n">
        <f aca="false">AF29+AG28</f>
        <v>127514</v>
      </c>
      <c r="AH29" s="250" t="n">
        <f aca="false">AG29+AH28</f>
        <v>127514</v>
      </c>
      <c r="AI29" s="250" t="n">
        <f aca="false">AH29+AI28</f>
        <v>127514</v>
      </c>
      <c r="AJ29" s="250" t="n">
        <f aca="false">AI29+AJ28</f>
        <v>127514</v>
      </c>
      <c r="AK29" s="250" t="n">
        <f aca="false">AJ29+AK28</f>
        <v>127514</v>
      </c>
      <c r="AL29" s="250" t="n">
        <f aca="false">AK29+AL28</f>
        <v>127514</v>
      </c>
      <c r="AM29" s="250" t="n">
        <f aca="false">AL29+AM28</f>
        <v>127514</v>
      </c>
      <c r="AN29" s="250" t="n">
        <f aca="false">AM29+AN28</f>
        <v>127514</v>
      </c>
      <c r="AO29" s="250" t="n">
        <f aca="false">AN29+AO28</f>
        <v>127514</v>
      </c>
      <c r="AP29" s="250" t="n">
        <f aca="false">AO29+AP28</f>
        <v>127514</v>
      </c>
      <c r="AQ29" s="250" t="n">
        <f aca="false">AP29+AQ28</f>
        <v>127514</v>
      </c>
      <c r="AR29" s="250" t="n">
        <f aca="false">AQ29+AR28</f>
        <v>127514</v>
      </c>
      <c r="AS29" s="250" t="n">
        <f aca="false">AR29+AS28</f>
        <v>127514</v>
      </c>
      <c r="AT29" s="250" t="n">
        <f aca="false">AS29+AT28</f>
        <v>127514</v>
      </c>
      <c r="AU29" s="250" t="n">
        <f aca="false">AT29+AU28</f>
        <v>127514</v>
      </c>
      <c r="AV29" s="250" t="n">
        <f aca="false">AU29+AV28</f>
        <v>127514</v>
      </c>
      <c r="AW29" s="250" t="n">
        <f aca="false">AV29+AW28</f>
        <v>127514</v>
      </c>
      <c r="AX29" s="250" t="n">
        <f aca="false">AW29+AX28</f>
        <v>127514</v>
      </c>
      <c r="AY29" s="250" t="n">
        <f aca="false">AX29+AY28</f>
        <v>127514</v>
      </c>
      <c r="AZ29" s="250" t="n">
        <f aca="false">AY29+AZ28</f>
        <v>127514</v>
      </c>
      <c r="BA29" s="250" t="n">
        <f aca="false">AZ29+BA28</f>
        <v>127514</v>
      </c>
      <c r="BB29" s="250" t="n">
        <f aca="false">BA29+BB28</f>
        <v>127514</v>
      </c>
      <c r="BC29" s="250" t="n">
        <f aca="false">BB29+BC28</f>
        <v>127514</v>
      </c>
      <c r="BD29" s="250" t="n">
        <f aca="false">BC29+BD28</f>
        <v>127514</v>
      </c>
      <c r="BE29" s="250" t="n">
        <f aca="false">BD29+BE28</f>
        <v>127514</v>
      </c>
      <c r="BF29" s="250" t="n">
        <f aca="false">BE29+BF28</f>
        <v>127514</v>
      </c>
      <c r="BG29" s="250" t="n">
        <f aca="false">BF29+BG28</f>
        <v>127514</v>
      </c>
      <c r="BH29" s="250" t="n">
        <f aca="false">BG29+BH28</f>
        <v>127514</v>
      </c>
      <c r="BI29" s="250" t="n">
        <f aca="false">BH29+BI28</f>
        <v>127514</v>
      </c>
      <c r="BJ29" s="250" t="n">
        <f aca="false">BI29+BJ28</f>
        <v>127514</v>
      </c>
      <c r="BK29" s="250" t="n">
        <f aca="false">BJ29+BK28</f>
        <v>127514</v>
      </c>
      <c r="BL29" s="250" t="n">
        <f aca="false">BK29+BL28</f>
        <v>127514</v>
      </c>
      <c r="BM29" s="250" t="n">
        <f aca="false">BL29+BM28</f>
        <v>127514</v>
      </c>
      <c r="BN29" s="250" t="n">
        <f aca="false">BM29+BN28</f>
        <v>127514</v>
      </c>
      <c r="BO29" s="250" t="n">
        <f aca="false">BN29+BO28</f>
        <v>127514</v>
      </c>
      <c r="BP29" s="250" t="n">
        <f aca="false">BO29+BP28</f>
        <v>180764.35</v>
      </c>
      <c r="BQ29" s="250" t="n">
        <f aca="false">BP29+BQ28</f>
        <v>180764.35</v>
      </c>
      <c r="BR29" s="250" t="n">
        <f aca="false">BQ29+BR28</f>
        <v>180764.35</v>
      </c>
      <c r="BS29" s="250" t="n">
        <f aca="false">BR29+BS28</f>
        <v>248526.35</v>
      </c>
      <c r="BT29" s="250" t="n">
        <f aca="false">BS29+BT28</f>
        <v>248526.35</v>
      </c>
      <c r="BU29" s="250" t="n">
        <f aca="false">BT29+BU28</f>
        <v>248526.35</v>
      </c>
      <c r="BV29" s="250" t="n">
        <f aca="false">BU29+BV28</f>
        <v>316288.35</v>
      </c>
      <c r="BW29" s="250" t="n">
        <f aca="false">BV29+BW28</f>
        <v>316288.35</v>
      </c>
      <c r="BX29" s="250" t="n">
        <f aca="false">BW29+BX28</f>
        <v>316288.35</v>
      </c>
      <c r="BY29" s="250" t="n">
        <f aca="false">BX29+BY28</f>
        <v>384050.35</v>
      </c>
      <c r="BZ29" s="250" t="n">
        <f aca="false">BY29+BZ28</f>
        <v>384050.35</v>
      </c>
      <c r="CA29" s="250" t="n">
        <f aca="false">BZ29+CA28</f>
        <v>384050.35</v>
      </c>
      <c r="CB29" s="250" t="n">
        <f aca="false">CA29+CB28</f>
        <v>460549.35</v>
      </c>
      <c r="CC29" s="250" t="n">
        <f aca="false">CB29+CC28</f>
        <v>460549.35</v>
      </c>
      <c r="CD29" s="250" t="n">
        <f aca="false">CC29+CD28</f>
        <v>460549.35</v>
      </c>
      <c r="CE29" s="250" t="n">
        <f aca="false">CD29+CE28</f>
        <v>537048.35</v>
      </c>
      <c r="CF29" s="250" t="n">
        <f aca="false">CE29+CF28</f>
        <v>537048.35</v>
      </c>
      <c r="CG29" s="250" t="n">
        <f aca="false">CF29+CG28</f>
        <v>537048.35</v>
      </c>
      <c r="CH29" s="25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840</v>
      </c>
      <c r="B32" s="3"/>
      <c r="C32" s="247" t="n">
        <f aca="false">Model!E255</f>
        <v>0</v>
      </c>
      <c r="D32" s="247" t="n">
        <f aca="false">Model!F255</f>
        <v>0</v>
      </c>
      <c r="E32" s="247" t="n">
        <f aca="false">Model!G255</f>
        <v>0</v>
      </c>
      <c r="F32" s="247" t="n">
        <f aca="false">Model!H255</f>
        <v>0</v>
      </c>
      <c r="G32" s="247" t="n">
        <f aca="false">Model!I255</f>
        <v>0</v>
      </c>
      <c r="H32" s="247" t="n">
        <f aca="false">Model!J255</f>
        <v>0</v>
      </c>
      <c r="I32" s="247" t="n">
        <f aca="false">Model!K255</f>
        <v>0</v>
      </c>
      <c r="J32" s="247" t="n">
        <f aca="false">Model!L255</f>
        <v>0</v>
      </c>
      <c r="K32" s="247" t="n">
        <f aca="false">Model!M255</f>
        <v>0</v>
      </c>
      <c r="L32" s="247" t="n">
        <f aca="false">Model!N255</f>
        <v>0</v>
      </c>
      <c r="M32" s="247" t="n">
        <f aca="false">Model!O255</f>
        <v>0</v>
      </c>
      <c r="N32" s="247" t="n">
        <f aca="false">Model!P255</f>
        <v>0</v>
      </c>
      <c r="O32" s="247" t="n">
        <f aca="false">Model!Q255</f>
        <v>0</v>
      </c>
      <c r="P32" s="247" t="n">
        <f aca="false">Model!R255</f>
        <v>0</v>
      </c>
      <c r="Q32" s="247" t="n">
        <f aca="false">Model!S255</f>
        <v>0</v>
      </c>
      <c r="R32" s="247" t="n">
        <f aca="false">Model!T255</f>
        <v>0</v>
      </c>
      <c r="S32" s="247" t="n">
        <f aca="false">Model!U255</f>
        <v>0</v>
      </c>
      <c r="T32" s="247" t="n">
        <f aca="false">Model!V255</f>
        <v>0</v>
      </c>
      <c r="U32" s="247" t="n">
        <f aca="false">Model!W255</f>
        <v>0</v>
      </c>
      <c r="V32" s="247" t="n">
        <f aca="false">Model!X255</f>
        <v>0</v>
      </c>
      <c r="W32" s="247" t="n">
        <f aca="false">Model!Y255</f>
        <v>0</v>
      </c>
      <c r="X32" s="247" t="n">
        <f aca="false">Model!Z255</f>
        <v>0</v>
      </c>
      <c r="Y32" s="247" t="n">
        <f aca="false">Model!AA255</f>
        <v>0</v>
      </c>
      <c r="Z32" s="247" t="n">
        <f aca="false">Model!AB255</f>
        <v>0</v>
      </c>
      <c r="AA32" s="247" t="n">
        <f aca="false">Model!AC255</f>
        <v>0</v>
      </c>
      <c r="AB32" s="247" t="n">
        <f aca="false">Model!AD255</f>
        <v>0</v>
      </c>
      <c r="AC32" s="247" t="n">
        <f aca="false">Model!AE255</f>
        <v>0</v>
      </c>
      <c r="AD32" s="247" t="n">
        <f aca="false">Model!AF255</f>
        <v>0</v>
      </c>
      <c r="AE32" s="247" t="n">
        <f aca="false">Model!AG255</f>
        <v>0</v>
      </c>
      <c r="AF32" s="247" t="n">
        <f aca="false">Model!AH255</f>
        <v>0</v>
      </c>
      <c r="AG32" s="247" t="n">
        <f aca="false">Model!AI255</f>
        <v>0</v>
      </c>
      <c r="AH32" s="247" t="n">
        <f aca="false">Model!AJ255</f>
        <v>0</v>
      </c>
      <c r="AI32" s="247" t="n">
        <f aca="false">Model!AK255</f>
        <v>0</v>
      </c>
      <c r="AJ32" s="247" t="n">
        <f aca="false">Model!AL255</f>
        <v>0</v>
      </c>
      <c r="AK32" s="247" t="n">
        <f aca="false">Model!AM255</f>
        <v>0</v>
      </c>
      <c r="AL32" s="247" t="n">
        <f aca="false">Model!AN255</f>
        <v>0</v>
      </c>
      <c r="AM32" s="247" t="n">
        <f aca="false">Model!AO255</f>
        <v>0</v>
      </c>
      <c r="AN32" s="247" t="n">
        <f aca="false">Model!AP255</f>
        <v>0</v>
      </c>
      <c r="AO32" s="247" t="n">
        <f aca="false">Model!AQ255</f>
        <v>0</v>
      </c>
      <c r="AP32" s="247" t="n">
        <f aca="false">Model!AR255</f>
        <v>0</v>
      </c>
      <c r="AQ32" s="247" t="n">
        <f aca="false">Model!AS255</f>
        <v>0</v>
      </c>
      <c r="AR32" s="247" t="n">
        <f aca="false">Model!AT255</f>
        <v>0</v>
      </c>
      <c r="AS32" s="247" t="n">
        <f aca="false">Model!AU255</f>
        <v>0</v>
      </c>
      <c r="AT32" s="247" t="n">
        <f aca="false">Model!AV255</f>
        <v>0</v>
      </c>
      <c r="AU32" s="247" t="n">
        <f aca="false">Model!AW255</f>
        <v>0</v>
      </c>
      <c r="AV32" s="247" t="n">
        <f aca="false">Model!AX255</f>
        <v>0</v>
      </c>
      <c r="AW32" s="247" t="n">
        <f aca="false">Model!AY255</f>
        <v>0</v>
      </c>
      <c r="AX32" s="247" t="n">
        <f aca="false">Model!AZ255</f>
        <v>0</v>
      </c>
      <c r="AY32" s="247" t="n">
        <f aca="false">Model!BA255</f>
        <v>0</v>
      </c>
      <c r="AZ32" s="247" t="n">
        <f aca="false">Model!BB255</f>
        <v>0</v>
      </c>
      <c r="BA32" s="247" t="n">
        <f aca="false">Model!BC255</f>
        <v>851839</v>
      </c>
      <c r="BB32" s="247" t="n">
        <f aca="false">Model!BD255</f>
        <v>0</v>
      </c>
      <c r="BC32" s="247" t="n">
        <f aca="false">Model!BE255</f>
        <v>0</v>
      </c>
      <c r="BD32" s="247" t="n">
        <f aca="false">Model!BF255</f>
        <v>71700</v>
      </c>
      <c r="BE32" s="247" t="n">
        <f aca="false">Model!BG255</f>
        <v>0</v>
      </c>
      <c r="BF32" s="247" t="n">
        <f aca="false">Model!BH255</f>
        <v>0</v>
      </c>
      <c r="BG32" s="247" t="n">
        <f aca="false">Model!BI255</f>
        <v>71700</v>
      </c>
      <c r="BH32" s="247" t="n">
        <f aca="false">Model!BJ255</f>
        <v>0</v>
      </c>
      <c r="BI32" s="247" t="n">
        <f aca="false">Model!BK255</f>
        <v>0</v>
      </c>
      <c r="BJ32" s="247" t="n">
        <f aca="false">Model!BL255</f>
        <v>71700</v>
      </c>
      <c r="BK32" s="247" t="n">
        <f aca="false">Model!BM255</f>
        <v>0</v>
      </c>
      <c r="BL32" s="247" t="n">
        <f aca="false">Model!BN255</f>
        <v>0</v>
      </c>
      <c r="BM32" s="247" t="n">
        <f aca="false">Model!BO255</f>
        <v>71700</v>
      </c>
      <c r="BN32" s="247" t="n">
        <f aca="false">Model!BP255</f>
        <v>0</v>
      </c>
      <c r="BO32" s="247" t="n">
        <f aca="false">Model!BQ255</f>
        <v>0</v>
      </c>
      <c r="BP32" s="247" t="n">
        <f aca="false">Model!BR255</f>
        <v>74643</v>
      </c>
      <c r="BQ32" s="247" t="n">
        <f aca="false">Model!BS255</f>
        <v>0</v>
      </c>
      <c r="BR32" s="247" t="n">
        <f aca="false">Model!BT255</f>
        <v>0</v>
      </c>
      <c r="BS32" s="247" t="n">
        <f aca="false">Model!BU255</f>
        <v>74640</v>
      </c>
      <c r="BT32" s="247" t="n">
        <f aca="false">Model!BV255</f>
        <v>0</v>
      </c>
      <c r="BU32" s="247" t="n">
        <f aca="false">Model!BW255</f>
        <v>0</v>
      </c>
      <c r="BV32" s="247" t="n">
        <f aca="false">Model!BX255</f>
        <v>74640</v>
      </c>
      <c r="BW32" s="247" t="n">
        <f aca="false">Model!BY255</f>
        <v>0</v>
      </c>
      <c r="BX32" s="247" t="n">
        <f aca="false">Model!BZ255</f>
        <v>0</v>
      </c>
      <c r="BY32" s="247" t="n">
        <f aca="false">Model!CA255</f>
        <v>74640</v>
      </c>
      <c r="BZ32" s="247" t="n">
        <f aca="false">Model!CB255</f>
        <v>0</v>
      </c>
      <c r="CA32" s="247" t="n">
        <f aca="false">Model!CC255</f>
        <v>0</v>
      </c>
      <c r="CB32" s="247" t="n">
        <f aca="false">Model!CD255</f>
        <v>81363</v>
      </c>
      <c r="CC32" s="247" t="n">
        <f aca="false">Model!CE255</f>
        <v>0</v>
      </c>
      <c r="CD32" s="247" t="n">
        <f aca="false">Model!CF255</f>
        <v>0</v>
      </c>
      <c r="CE32" s="247" t="n">
        <f aca="false">Model!CG255</f>
        <v>81362</v>
      </c>
      <c r="CF32" s="247" t="n">
        <f aca="false">Model!CH255</f>
        <v>0</v>
      </c>
      <c r="CG32" s="247" t="n">
        <f aca="false">Model!CI255</f>
        <v>0</v>
      </c>
      <c r="CH32" s="247" t="n">
        <f aca="false">Model!CJ255</f>
        <v>81362</v>
      </c>
    </row>
    <row r="33" customFormat="false" ht="15" hidden="false" customHeight="true" outlineLevel="0" collapsed="false">
      <c r="A33" s="251" t="s">
        <v>843</v>
      </c>
      <c r="B33" s="3"/>
      <c r="C33" s="252" t="n">
        <f aca="false">Model!E290</f>
        <v>-0</v>
      </c>
      <c r="D33" s="252" t="n">
        <f aca="false">Model!F290</f>
        <v>-0</v>
      </c>
      <c r="E33" s="252" t="n">
        <f aca="false">Model!G290</f>
        <v>-0</v>
      </c>
      <c r="F33" s="252" t="n">
        <f aca="false">Model!H290</f>
        <v>-0</v>
      </c>
      <c r="G33" s="252" t="n">
        <f aca="false">Model!I290</f>
        <v>-0</v>
      </c>
      <c r="H33" s="252" t="n">
        <f aca="false">Model!J290</f>
        <v>-0</v>
      </c>
      <c r="I33" s="252" t="n">
        <f aca="false">Model!K290</f>
        <v>-0</v>
      </c>
      <c r="J33" s="252" t="n">
        <f aca="false">Model!L290</f>
        <v>-0</v>
      </c>
      <c r="K33" s="252" t="n">
        <f aca="false">Model!M290</f>
        <v>-0</v>
      </c>
      <c r="L33" s="252" t="n">
        <f aca="false">Model!N290</f>
        <v>-0</v>
      </c>
      <c r="M33" s="252" t="n">
        <f aca="false">Model!O290</f>
        <v>-0</v>
      </c>
      <c r="N33" s="252" t="n">
        <f aca="false">Model!P290</f>
        <v>-0</v>
      </c>
      <c r="O33" s="252" t="n">
        <f aca="false">Model!Q290</f>
        <v>-0</v>
      </c>
      <c r="P33" s="252" t="n">
        <f aca="false">Model!R290</f>
        <v>-0</v>
      </c>
      <c r="Q33" s="252" t="n">
        <f aca="false">Model!S290</f>
        <v>-0</v>
      </c>
      <c r="R33" s="252" t="n">
        <f aca="false">Model!T290</f>
        <v>-0</v>
      </c>
      <c r="S33" s="252" t="n">
        <f aca="false">Model!U290</f>
        <v>-0</v>
      </c>
      <c r="T33" s="252" t="n">
        <f aca="false">Model!V290</f>
        <v>-0</v>
      </c>
      <c r="U33" s="252" t="n">
        <f aca="false">Model!W290</f>
        <v>-0</v>
      </c>
      <c r="V33" s="252" t="n">
        <f aca="false">Model!X290</f>
        <v>-0</v>
      </c>
      <c r="W33" s="252" t="n">
        <f aca="false">Model!Y290</f>
        <v>-0</v>
      </c>
      <c r="X33" s="252" t="n">
        <f aca="false">Model!Z290</f>
        <v>-0</v>
      </c>
      <c r="Y33" s="252" t="n">
        <f aca="false">Model!AA290</f>
        <v>-0</v>
      </c>
      <c r="Z33" s="252" t="n">
        <f aca="false">Model!AB290</f>
        <v>-0</v>
      </c>
      <c r="AA33" s="252" t="n">
        <f aca="false">Model!AC290</f>
        <v>-0</v>
      </c>
      <c r="AB33" s="252" t="n">
        <f aca="false">Model!AD290</f>
        <v>-0</v>
      </c>
      <c r="AC33" s="252" t="n">
        <f aca="false">Model!AE290</f>
        <v>-0</v>
      </c>
      <c r="AD33" s="252" t="n">
        <f aca="false">Model!AF290</f>
        <v>-0</v>
      </c>
      <c r="AE33" s="252" t="n">
        <f aca="false">Model!AG290</f>
        <v>-0</v>
      </c>
      <c r="AF33" s="252" t="n">
        <f aca="false">Model!AH290</f>
        <v>-0</v>
      </c>
      <c r="AG33" s="252" t="n">
        <f aca="false">Model!AI290</f>
        <v>-0</v>
      </c>
      <c r="AH33" s="252" t="n">
        <f aca="false">Model!AJ290</f>
        <v>-0</v>
      </c>
      <c r="AI33" s="252" t="n">
        <f aca="false">Model!AK290</f>
        <v>-0</v>
      </c>
      <c r="AJ33" s="252" t="n">
        <f aca="false">Model!AL290</f>
        <v>-0</v>
      </c>
      <c r="AK33" s="252" t="n">
        <f aca="false">Model!AM290</f>
        <v>-0</v>
      </c>
      <c r="AL33" s="252" t="n">
        <f aca="false">Model!AN290</f>
        <v>-0</v>
      </c>
      <c r="AM33" s="252" t="n">
        <f aca="false">Model!AO290</f>
        <v>-0</v>
      </c>
      <c r="AN33" s="252" t="n">
        <f aca="false">Model!AP290</f>
        <v>-0</v>
      </c>
      <c r="AO33" s="252" t="n">
        <f aca="false">Model!AQ290</f>
        <v>-0</v>
      </c>
      <c r="AP33" s="252" t="n">
        <f aca="false">Model!AR290</f>
        <v>-0</v>
      </c>
      <c r="AQ33" s="252" t="n">
        <f aca="false">Model!AS290</f>
        <v>-0</v>
      </c>
      <c r="AR33" s="252" t="n">
        <f aca="false">Model!AT290</f>
        <v>-0</v>
      </c>
      <c r="AS33" s="252" t="n">
        <f aca="false">Model!AU290</f>
        <v>-0</v>
      </c>
      <c r="AT33" s="252" t="n">
        <f aca="false">Model!AV290</f>
        <v>-0</v>
      </c>
      <c r="AU33" s="252" t="n">
        <f aca="false">Model!AW290</f>
        <v>-0</v>
      </c>
      <c r="AV33" s="252" t="n">
        <f aca="false">Model!AX290</f>
        <v>-0</v>
      </c>
      <c r="AW33" s="252" t="n">
        <f aca="false">Model!AY290</f>
        <v>-0</v>
      </c>
      <c r="AX33" s="252" t="n">
        <f aca="false">Model!AZ290</f>
        <v>-0</v>
      </c>
      <c r="AY33" s="252" t="n">
        <f aca="false">Model!BA290</f>
        <v>-0</v>
      </c>
      <c r="AZ33" s="252" t="n">
        <f aca="false">Model!BB290</f>
        <v>-0</v>
      </c>
      <c r="BA33" s="252" t="n">
        <f aca="false">Model!BC290</f>
        <v>-851839</v>
      </c>
      <c r="BB33" s="252" t="n">
        <f aca="false">Model!BD290</f>
        <v>-0</v>
      </c>
      <c r="BC33" s="252" t="n">
        <f aca="false">Model!BE290</f>
        <v>-0</v>
      </c>
      <c r="BD33" s="252" t="n">
        <f aca="false">Model!BF290</f>
        <v>-71700</v>
      </c>
      <c r="BE33" s="252" t="n">
        <f aca="false">Model!BG290</f>
        <v>-0</v>
      </c>
      <c r="BF33" s="252" t="n">
        <f aca="false">Model!BH290</f>
        <v>-0</v>
      </c>
      <c r="BG33" s="252" t="n">
        <f aca="false">Model!BI290</f>
        <v>-71700</v>
      </c>
      <c r="BH33" s="252" t="n">
        <f aca="false">Model!BJ290</f>
        <v>-0</v>
      </c>
      <c r="BI33" s="252" t="n">
        <f aca="false">Model!BK290</f>
        <v>-0</v>
      </c>
      <c r="BJ33" s="252" t="n">
        <f aca="false">Model!BL290</f>
        <v>-71700</v>
      </c>
      <c r="BK33" s="252" t="n">
        <f aca="false">Model!BM290</f>
        <v>-0</v>
      </c>
      <c r="BL33" s="252" t="n">
        <f aca="false">Model!BN290</f>
        <v>-0</v>
      </c>
      <c r="BM33" s="252" t="n">
        <f aca="false">Model!BO290</f>
        <v>-71700</v>
      </c>
      <c r="BN33" s="252" t="n">
        <f aca="false">Model!BP290</f>
        <v>-0</v>
      </c>
      <c r="BO33" s="252" t="n">
        <f aca="false">Model!BQ290</f>
        <v>-0</v>
      </c>
      <c r="BP33" s="252" t="n">
        <f aca="false">Model!BR290</f>
        <v>-74643</v>
      </c>
      <c r="BQ33" s="252" t="n">
        <f aca="false">Model!BS290</f>
        <v>-0</v>
      </c>
      <c r="BR33" s="252" t="n">
        <f aca="false">Model!BT290</f>
        <v>-0</v>
      </c>
      <c r="BS33" s="252" t="n">
        <f aca="false">Model!BU290</f>
        <v>-74640</v>
      </c>
      <c r="BT33" s="252" t="n">
        <f aca="false">Model!BV290</f>
        <v>-0</v>
      </c>
      <c r="BU33" s="252" t="n">
        <f aca="false">Model!BW290</f>
        <v>-0</v>
      </c>
      <c r="BV33" s="252" t="n">
        <f aca="false">Model!BX290</f>
        <v>-74640</v>
      </c>
      <c r="BW33" s="252" t="n">
        <f aca="false">Model!BY290</f>
        <v>-0</v>
      </c>
      <c r="BX33" s="252" t="n">
        <f aca="false">Model!BZ290</f>
        <v>-0</v>
      </c>
      <c r="BY33" s="252" t="n">
        <f aca="false">Model!CA290</f>
        <v>-74640</v>
      </c>
      <c r="BZ33" s="252" t="n">
        <f aca="false">Model!CB290</f>
        <v>-0</v>
      </c>
      <c r="CA33" s="252" t="n">
        <f aca="false">Model!CC290</f>
        <v>-0</v>
      </c>
      <c r="CB33" s="252" t="n">
        <f aca="false">Model!CD290</f>
        <v>-81363</v>
      </c>
      <c r="CC33" s="252" t="n">
        <f aca="false">Model!CE290</f>
        <v>-0</v>
      </c>
      <c r="CD33" s="252" t="n">
        <f aca="false">Model!CF290</f>
        <v>-0</v>
      </c>
      <c r="CE33" s="252" t="n">
        <f aca="false">Model!CG290</f>
        <v>-81362</v>
      </c>
      <c r="CF33" s="252" t="n">
        <f aca="false">Model!CH290</f>
        <v>-0</v>
      </c>
      <c r="CG33" s="252" t="n">
        <f aca="false">Model!CI290</f>
        <v>-0</v>
      </c>
      <c r="CH33" s="252" t="n">
        <f aca="false">Model!CJ290</f>
        <v>-74753.9733935208</v>
      </c>
    </row>
    <row r="34" customFormat="false" ht="15" hidden="false" customHeight="true" outlineLevel="0" collapsed="false">
      <c r="A34" s="251" t="s">
        <v>300</v>
      </c>
      <c r="B34" s="3"/>
      <c r="C34" s="252" t="n">
        <f aca="false">Model!E372</f>
        <v>0</v>
      </c>
      <c r="D34" s="252" t="n">
        <f aca="false">Model!F372</f>
        <v>0</v>
      </c>
      <c r="E34" s="252" t="n">
        <f aca="false">Model!G372</f>
        <v>0</v>
      </c>
      <c r="F34" s="252" t="n">
        <f aca="false">Model!H372</f>
        <v>0</v>
      </c>
      <c r="G34" s="252" t="n">
        <f aca="false">Model!I372</f>
        <v>0</v>
      </c>
      <c r="H34" s="252" t="n">
        <f aca="false">Model!J372</f>
        <v>0</v>
      </c>
      <c r="I34" s="252" t="n">
        <f aca="false">Model!K372</f>
        <v>0</v>
      </c>
      <c r="J34" s="252" t="n">
        <f aca="false">Model!L372</f>
        <v>0</v>
      </c>
      <c r="K34" s="252" t="n">
        <f aca="false">Model!M372</f>
        <v>0</v>
      </c>
      <c r="L34" s="252" t="n">
        <f aca="false">Model!N372</f>
        <v>0</v>
      </c>
      <c r="M34" s="252" t="n">
        <f aca="false">Model!O372</f>
        <v>0</v>
      </c>
      <c r="N34" s="252" t="n">
        <f aca="false">Model!P372</f>
        <v>0</v>
      </c>
      <c r="O34" s="252" t="n">
        <f aca="false">Model!Q372</f>
        <v>0</v>
      </c>
      <c r="P34" s="252" t="n">
        <f aca="false">Model!R372</f>
        <v>0</v>
      </c>
      <c r="Q34" s="252" t="n">
        <f aca="false">Model!S372</f>
        <v>0</v>
      </c>
      <c r="R34" s="252" t="n">
        <f aca="false">Model!T372</f>
        <v>0</v>
      </c>
      <c r="S34" s="252" t="n">
        <f aca="false">Model!U372</f>
        <v>0</v>
      </c>
      <c r="T34" s="252" t="n">
        <f aca="false">Model!V372</f>
        <v>0</v>
      </c>
      <c r="U34" s="252" t="n">
        <f aca="false">Model!W372</f>
        <v>0</v>
      </c>
      <c r="V34" s="252" t="n">
        <f aca="false">Model!X372</f>
        <v>0</v>
      </c>
      <c r="W34" s="252" t="n">
        <f aca="false">Model!Y372</f>
        <v>0</v>
      </c>
      <c r="X34" s="252" t="n">
        <f aca="false">Model!Z372</f>
        <v>0</v>
      </c>
      <c r="Y34" s="252" t="n">
        <f aca="false">Model!AA372</f>
        <v>0</v>
      </c>
      <c r="Z34" s="252" t="n">
        <f aca="false">Model!AB372</f>
        <v>0</v>
      </c>
      <c r="AA34" s="252" t="n">
        <f aca="false">Model!AC372</f>
        <v>0</v>
      </c>
      <c r="AB34" s="252" t="n">
        <f aca="false">Model!AD372</f>
        <v>0</v>
      </c>
      <c r="AC34" s="252" t="n">
        <f aca="false">Model!AE372</f>
        <v>0</v>
      </c>
      <c r="AD34" s="252" t="n">
        <f aca="false">Model!AF372</f>
        <v>0</v>
      </c>
      <c r="AE34" s="252" t="n">
        <f aca="false">Model!AG372</f>
        <v>0</v>
      </c>
      <c r="AF34" s="252" t="n">
        <f aca="false">Model!AH372</f>
        <v>0</v>
      </c>
      <c r="AG34" s="252" t="n">
        <f aca="false">Model!AI372</f>
        <v>0</v>
      </c>
      <c r="AH34" s="252" t="n">
        <f aca="false">Model!AJ372</f>
        <v>0</v>
      </c>
      <c r="AI34" s="252" t="n">
        <f aca="false">Model!AK372</f>
        <v>0</v>
      </c>
      <c r="AJ34" s="252" t="n">
        <f aca="false">Model!AL372</f>
        <v>0</v>
      </c>
      <c r="AK34" s="252" t="n">
        <f aca="false">Model!AM372</f>
        <v>0</v>
      </c>
      <c r="AL34" s="252" t="n">
        <f aca="false">Model!AN372</f>
        <v>0</v>
      </c>
      <c r="AM34" s="252" t="n">
        <f aca="false">Model!AO372</f>
        <v>0</v>
      </c>
      <c r="AN34" s="252" t="n">
        <f aca="false">Model!AP372</f>
        <v>0</v>
      </c>
      <c r="AO34" s="252" t="n">
        <f aca="false">Model!AQ372</f>
        <v>0</v>
      </c>
      <c r="AP34" s="252" t="n">
        <f aca="false">Model!AR372</f>
        <v>0</v>
      </c>
      <c r="AQ34" s="252" t="n">
        <f aca="false">Model!AS372</f>
        <v>0</v>
      </c>
      <c r="AR34" s="252" t="n">
        <f aca="false">Model!AT372</f>
        <v>0</v>
      </c>
      <c r="AS34" s="252" t="n">
        <f aca="false">Model!AU372</f>
        <v>0</v>
      </c>
      <c r="AT34" s="252" t="n">
        <f aca="false">Model!AV372</f>
        <v>0</v>
      </c>
      <c r="AU34" s="252" t="n">
        <f aca="false">Model!AW372</f>
        <v>0</v>
      </c>
      <c r="AV34" s="252" t="n">
        <f aca="false">Model!AX372</f>
        <v>0</v>
      </c>
      <c r="AW34" s="252" t="n">
        <f aca="false">Model!AY372</f>
        <v>0</v>
      </c>
      <c r="AX34" s="252" t="n">
        <f aca="false">Model!AZ372</f>
        <v>0</v>
      </c>
      <c r="AY34" s="252" t="n">
        <f aca="false">Model!BA372</f>
        <v>0</v>
      </c>
      <c r="AZ34" s="252" t="n">
        <f aca="false">Model!BB372</f>
        <v>0</v>
      </c>
      <c r="BA34" s="252" t="n">
        <f aca="false">Model!BC372</f>
        <v>0</v>
      </c>
      <c r="BB34" s="252" t="n">
        <f aca="false">Model!BD372</f>
        <v>0</v>
      </c>
      <c r="BC34" s="252" t="n">
        <f aca="false">Model!BE372</f>
        <v>0</v>
      </c>
      <c r="BD34" s="252" t="n">
        <f aca="false">Model!BF372</f>
        <v>0</v>
      </c>
      <c r="BE34" s="252" t="n">
        <f aca="false">Model!BG372</f>
        <v>0</v>
      </c>
      <c r="BF34" s="252" t="n">
        <f aca="false">Model!BH372</f>
        <v>0</v>
      </c>
      <c r="BG34" s="252" t="n">
        <f aca="false">Model!BI372</f>
        <v>0</v>
      </c>
      <c r="BH34" s="252" t="n">
        <f aca="false">Model!BJ372</f>
        <v>0</v>
      </c>
      <c r="BI34" s="252" t="n">
        <f aca="false">Model!BK372</f>
        <v>0</v>
      </c>
      <c r="BJ34" s="252" t="n">
        <f aca="false">Model!BL372</f>
        <v>0</v>
      </c>
      <c r="BK34" s="252" t="n">
        <f aca="false">Model!BM372</f>
        <v>0</v>
      </c>
      <c r="BL34" s="252" t="n">
        <f aca="false">Model!BN372</f>
        <v>0</v>
      </c>
      <c r="BM34" s="252" t="n">
        <f aca="false">Model!BO372</f>
        <v>0</v>
      </c>
      <c r="BN34" s="252" t="n">
        <f aca="false">Model!BP372</f>
        <v>0</v>
      </c>
      <c r="BO34" s="252" t="n">
        <f aca="false">Model!BQ372</f>
        <v>0</v>
      </c>
      <c r="BP34" s="252" t="n">
        <f aca="false">Model!BR372</f>
        <v>0</v>
      </c>
      <c r="BQ34" s="252" t="n">
        <f aca="false">Model!BS372</f>
        <v>0</v>
      </c>
      <c r="BR34" s="252" t="n">
        <f aca="false">Model!BT372</f>
        <v>0</v>
      </c>
      <c r="BS34" s="252" t="n">
        <f aca="false">Model!BU372</f>
        <v>0</v>
      </c>
      <c r="BT34" s="252" t="n">
        <f aca="false">Model!BV372</f>
        <v>0</v>
      </c>
      <c r="BU34" s="252" t="n">
        <f aca="false">Model!BW372</f>
        <v>0</v>
      </c>
      <c r="BV34" s="252" t="n">
        <f aca="false">Model!BX372</f>
        <v>0</v>
      </c>
      <c r="BW34" s="252" t="n">
        <f aca="false">Model!BY372</f>
        <v>0</v>
      </c>
      <c r="BX34" s="252" t="n">
        <f aca="false">Model!BZ372</f>
        <v>0</v>
      </c>
      <c r="BY34" s="252" t="n">
        <f aca="false">Model!CA372</f>
        <v>0</v>
      </c>
      <c r="BZ34" s="252" t="n">
        <f aca="false">Model!CB372</f>
        <v>0</v>
      </c>
      <c r="CA34" s="252" t="n">
        <f aca="false">Model!CC372</f>
        <v>0</v>
      </c>
      <c r="CB34" s="252" t="n">
        <f aca="false">Model!CD372</f>
        <v>0</v>
      </c>
      <c r="CC34" s="252" t="n">
        <f aca="false">Model!CE372</f>
        <v>0</v>
      </c>
      <c r="CD34" s="252" t="n">
        <f aca="false">Model!CF372</f>
        <v>0</v>
      </c>
      <c r="CE34" s="252" t="n">
        <f aca="false">Model!CG372</f>
        <v>0</v>
      </c>
      <c r="CF34" s="252" t="n">
        <f aca="false">Model!CH372</f>
        <v>0</v>
      </c>
      <c r="CG34" s="252" t="n">
        <f aca="false">Model!CI372</f>
        <v>0</v>
      </c>
      <c r="CH34" s="252" t="n">
        <f aca="false">Model!CJ372</f>
        <v>0</v>
      </c>
    </row>
    <row r="35" customFormat="false" ht="15" hidden="false" customHeight="true" outlineLevel="0" collapsed="false">
      <c r="A35" s="248" t="s">
        <v>841</v>
      </c>
      <c r="B35" s="248"/>
      <c r="C35" s="249" t="n">
        <f aca="false">C32+C33+C34</f>
        <v>0</v>
      </c>
      <c r="D35" s="249" t="n">
        <f aca="false">D32+D33+D34</f>
        <v>0</v>
      </c>
      <c r="E35" s="249" t="n">
        <f aca="false">E32+E33+E34</f>
        <v>0</v>
      </c>
      <c r="F35" s="249" t="n">
        <f aca="false">F32+F33+F34</f>
        <v>0</v>
      </c>
      <c r="G35" s="249" t="n">
        <f aca="false">G32+G33+G34</f>
        <v>0</v>
      </c>
      <c r="H35" s="249" t="n">
        <f aca="false">H32+H33+H34</f>
        <v>0</v>
      </c>
      <c r="I35" s="249" t="n">
        <f aca="false">I32+I33+I34</f>
        <v>0</v>
      </c>
      <c r="J35" s="249" t="n">
        <f aca="false">J32+J33+J34</f>
        <v>0</v>
      </c>
      <c r="K35" s="249" t="n">
        <f aca="false">K32+K33+K34</f>
        <v>0</v>
      </c>
      <c r="L35" s="249" t="n">
        <f aca="false">L32+L33+L34</f>
        <v>0</v>
      </c>
      <c r="M35" s="249" t="n">
        <f aca="false">M32+M33+M34</f>
        <v>0</v>
      </c>
      <c r="N35" s="249" t="n">
        <f aca="false">N32+N33+N34</f>
        <v>0</v>
      </c>
      <c r="O35" s="249" t="n">
        <f aca="false">O32+O33+O34</f>
        <v>0</v>
      </c>
      <c r="P35" s="249" t="n">
        <f aca="false">P32+P33+P34</f>
        <v>0</v>
      </c>
      <c r="Q35" s="249" t="n">
        <f aca="false">Q32+Q33+Q34</f>
        <v>0</v>
      </c>
      <c r="R35" s="249" t="n">
        <f aca="false">R32+R33+R34</f>
        <v>0</v>
      </c>
      <c r="S35" s="249" t="n">
        <f aca="false">S32+S33+S34</f>
        <v>0</v>
      </c>
      <c r="T35" s="249" t="n">
        <f aca="false">T32+T33+T34</f>
        <v>0</v>
      </c>
      <c r="U35" s="249" t="n">
        <f aca="false">U32+U33+U34</f>
        <v>0</v>
      </c>
      <c r="V35" s="249" t="n">
        <f aca="false">V32+V33+V34</f>
        <v>0</v>
      </c>
      <c r="W35" s="249" t="n">
        <f aca="false">W32+W33+W34</f>
        <v>0</v>
      </c>
      <c r="X35" s="249" t="n">
        <f aca="false">X32+X33+X34</f>
        <v>0</v>
      </c>
      <c r="Y35" s="249" t="n">
        <f aca="false">Y32+Y33+Y34</f>
        <v>0</v>
      </c>
      <c r="Z35" s="249" t="n">
        <f aca="false">Z32+Z33+Z34</f>
        <v>0</v>
      </c>
      <c r="AA35" s="249" t="n">
        <f aca="false">AA32+AA33+AA34</f>
        <v>0</v>
      </c>
      <c r="AB35" s="249" t="n">
        <f aca="false">AB32+AB33+AB34</f>
        <v>0</v>
      </c>
      <c r="AC35" s="249" t="n">
        <f aca="false">AC32+AC33+AC34</f>
        <v>0</v>
      </c>
      <c r="AD35" s="249" t="n">
        <f aca="false">AD32+AD33+AD34</f>
        <v>0</v>
      </c>
      <c r="AE35" s="249" t="n">
        <f aca="false">AE32+AE33+AE34</f>
        <v>0</v>
      </c>
      <c r="AF35" s="249" t="n">
        <f aca="false">AF32+AF33+AF34</f>
        <v>0</v>
      </c>
      <c r="AG35" s="249" t="n">
        <f aca="false">AG32+AG33+AG34</f>
        <v>0</v>
      </c>
      <c r="AH35" s="249" t="n">
        <f aca="false">AH32+AH33+AH34</f>
        <v>0</v>
      </c>
      <c r="AI35" s="249" t="n">
        <f aca="false">AI32+AI33+AI34</f>
        <v>0</v>
      </c>
      <c r="AJ35" s="249" t="n">
        <f aca="false">AJ32+AJ33+AJ34</f>
        <v>0</v>
      </c>
      <c r="AK35" s="249" t="n">
        <f aca="false">AK32+AK33+AK34</f>
        <v>0</v>
      </c>
      <c r="AL35" s="249" t="n">
        <f aca="false">AL32+AL33+AL34</f>
        <v>0</v>
      </c>
      <c r="AM35" s="249" t="n">
        <f aca="false">AM32+AM33+AM34</f>
        <v>0</v>
      </c>
      <c r="AN35" s="249" t="n">
        <f aca="false">AN32+AN33+AN34</f>
        <v>0</v>
      </c>
      <c r="AO35" s="249" t="n">
        <f aca="false">AO32+AO33+AO34</f>
        <v>0</v>
      </c>
      <c r="AP35" s="249" t="n">
        <f aca="false">AP32+AP33+AP34</f>
        <v>0</v>
      </c>
      <c r="AQ35" s="249" t="n">
        <f aca="false">AQ32+AQ33+AQ34</f>
        <v>0</v>
      </c>
      <c r="AR35" s="249" t="n">
        <f aca="false">AR32+AR33+AR34</f>
        <v>0</v>
      </c>
      <c r="AS35" s="249" t="n">
        <f aca="false">AS32+AS33+AS34</f>
        <v>0</v>
      </c>
      <c r="AT35" s="249" t="n">
        <f aca="false">AT32+AT33+AT34</f>
        <v>0</v>
      </c>
      <c r="AU35" s="249" t="n">
        <f aca="false">AU32+AU33+AU34</f>
        <v>0</v>
      </c>
      <c r="AV35" s="249" t="n">
        <f aca="false">AV32+AV33+AV34</f>
        <v>0</v>
      </c>
      <c r="AW35" s="249" t="n">
        <f aca="false">AW32+AW33+AW34</f>
        <v>0</v>
      </c>
      <c r="AX35" s="249" t="n">
        <f aca="false">AX32+AX33+AX34</f>
        <v>0</v>
      </c>
      <c r="AY35" s="249" t="n">
        <f aca="false">AY32+AY33+AY34</f>
        <v>0</v>
      </c>
      <c r="AZ35" s="249" t="n">
        <f aca="false">AZ32+AZ33+AZ34</f>
        <v>0</v>
      </c>
      <c r="BA35" s="249" t="n">
        <f aca="false">BA32+BA33+BA34</f>
        <v>0</v>
      </c>
      <c r="BB35" s="249" t="n">
        <f aca="false">BB32+BB33+BB34</f>
        <v>0</v>
      </c>
      <c r="BC35" s="249" t="n">
        <f aca="false">BC32+BC33+BC34</f>
        <v>0</v>
      </c>
      <c r="BD35" s="249" t="n">
        <f aca="false">BD32+BD33+BD34</f>
        <v>0</v>
      </c>
      <c r="BE35" s="249" t="n">
        <f aca="false">BE32+BE33+BE34</f>
        <v>0</v>
      </c>
      <c r="BF35" s="249" t="n">
        <f aca="false">BF32+BF33+BF34</f>
        <v>0</v>
      </c>
      <c r="BG35" s="249" t="n">
        <f aca="false">BG32+BG33+BG34</f>
        <v>0</v>
      </c>
      <c r="BH35" s="249" t="n">
        <f aca="false">BH32+BH33+BH34</f>
        <v>0</v>
      </c>
      <c r="BI35" s="249" t="n">
        <f aca="false">BI32+BI33+BI34</f>
        <v>0</v>
      </c>
      <c r="BJ35" s="249" t="n">
        <f aca="false">BJ32+BJ33+BJ34</f>
        <v>0</v>
      </c>
      <c r="BK35" s="249" t="n">
        <f aca="false">BK32+BK33+BK34</f>
        <v>0</v>
      </c>
      <c r="BL35" s="249" t="n">
        <f aca="false">BL32+BL33+BL34</f>
        <v>0</v>
      </c>
      <c r="BM35" s="249" t="n">
        <f aca="false">BM32+BM33+BM34</f>
        <v>0</v>
      </c>
      <c r="BN35" s="249" t="n">
        <f aca="false">BN32+BN33+BN34</f>
        <v>0</v>
      </c>
      <c r="BO35" s="249" t="n">
        <f aca="false">BO32+BO33+BO34</f>
        <v>0</v>
      </c>
      <c r="BP35" s="249" t="n">
        <f aca="false">BP32+BP33+BP34</f>
        <v>0</v>
      </c>
      <c r="BQ35" s="249" t="n">
        <f aca="false">BQ32+BQ33+BQ34</f>
        <v>0</v>
      </c>
      <c r="BR35" s="249" t="n">
        <f aca="false">BR32+BR33+BR34</f>
        <v>0</v>
      </c>
      <c r="BS35" s="249" t="n">
        <f aca="false">BS32+BS33+BS34</f>
        <v>0</v>
      </c>
      <c r="BT35" s="249" t="n">
        <f aca="false">BT32+BT33+BT34</f>
        <v>0</v>
      </c>
      <c r="BU35" s="249" t="n">
        <f aca="false">BU32+BU33+BU34</f>
        <v>0</v>
      </c>
      <c r="BV35" s="249" t="n">
        <f aca="false">BV32+BV33+BV34</f>
        <v>0</v>
      </c>
      <c r="BW35" s="249" t="n">
        <f aca="false">BW32+BW33+BW34</f>
        <v>0</v>
      </c>
      <c r="BX35" s="249" t="n">
        <f aca="false">BX32+BX33+BX34</f>
        <v>0</v>
      </c>
      <c r="BY35" s="249" t="n">
        <f aca="false">BY32+BY33+BY34</f>
        <v>0</v>
      </c>
      <c r="BZ35" s="249" t="n">
        <f aca="false">BZ32+BZ33+BZ34</f>
        <v>0</v>
      </c>
      <c r="CA35" s="249" t="n">
        <f aca="false">CA32+CA33+CA34</f>
        <v>0</v>
      </c>
      <c r="CB35" s="249" t="n">
        <f aca="false">CB32+CB33+CB34</f>
        <v>0</v>
      </c>
      <c r="CC35" s="249" t="n">
        <f aca="false">CC32+CC33+CC34</f>
        <v>0</v>
      </c>
      <c r="CD35" s="249" t="n">
        <f aca="false">CD32+CD33+CD34</f>
        <v>0</v>
      </c>
      <c r="CE35" s="249" t="n">
        <f aca="false">CE32+CE33+CE34</f>
        <v>0</v>
      </c>
      <c r="CF35" s="249" t="n">
        <f aca="false">CF32+CF33+CF34</f>
        <v>0</v>
      </c>
      <c r="CG35" s="249" t="n">
        <f aca="false">CG32+CG33+CG34</f>
        <v>0</v>
      </c>
      <c r="CH35" s="249" t="n">
        <f aca="false">CH32+CH33+CH34</f>
        <v>6608.02660647922</v>
      </c>
    </row>
    <row r="36" customFormat="false" ht="15" hidden="false" customHeight="true" outlineLevel="0" collapsed="false">
      <c r="A36" s="2" t="s">
        <v>842</v>
      </c>
      <c r="B36" s="3"/>
      <c r="C36" s="250" t="n">
        <f aca="false">C35</f>
        <v>0</v>
      </c>
      <c r="D36" s="250" t="n">
        <f aca="false">C36+D35</f>
        <v>0</v>
      </c>
      <c r="E36" s="250" t="n">
        <f aca="false">D36+E35</f>
        <v>0</v>
      </c>
      <c r="F36" s="250" t="n">
        <f aca="false">E36+F35</f>
        <v>0</v>
      </c>
      <c r="G36" s="250" t="n">
        <f aca="false">F36+G35</f>
        <v>0</v>
      </c>
      <c r="H36" s="250" t="n">
        <f aca="false">G36+H35</f>
        <v>0</v>
      </c>
      <c r="I36" s="250" t="n">
        <f aca="false">H36+I35</f>
        <v>0</v>
      </c>
      <c r="J36" s="250" t="n">
        <f aca="false">I36+J35</f>
        <v>0</v>
      </c>
      <c r="K36" s="250" t="n">
        <f aca="false">J36+K35</f>
        <v>0</v>
      </c>
      <c r="L36" s="250" t="n">
        <f aca="false">K36+L35</f>
        <v>0</v>
      </c>
      <c r="M36" s="250" t="n">
        <f aca="false">L36+M35</f>
        <v>0</v>
      </c>
      <c r="N36" s="250" t="n">
        <f aca="false">M36+N35</f>
        <v>0</v>
      </c>
      <c r="O36" s="250" t="n">
        <f aca="false">N36+O35</f>
        <v>0</v>
      </c>
      <c r="P36" s="250" t="n">
        <f aca="false">O36+P35</f>
        <v>0</v>
      </c>
      <c r="Q36" s="250" t="n">
        <f aca="false">P36+Q35</f>
        <v>0</v>
      </c>
      <c r="R36" s="250" t="n">
        <f aca="false">Q36+R35</f>
        <v>0</v>
      </c>
      <c r="S36" s="250" t="n">
        <f aca="false">R36+S35</f>
        <v>0</v>
      </c>
      <c r="T36" s="250" t="n">
        <f aca="false">S36+T35</f>
        <v>0</v>
      </c>
      <c r="U36" s="250" t="n">
        <f aca="false">T36+U35</f>
        <v>0</v>
      </c>
      <c r="V36" s="250" t="n">
        <f aca="false">U36+V35</f>
        <v>0</v>
      </c>
      <c r="W36" s="250" t="n">
        <f aca="false">V36+W35</f>
        <v>0</v>
      </c>
      <c r="X36" s="250" t="n">
        <f aca="false">W36+X35</f>
        <v>0</v>
      </c>
      <c r="Y36" s="250" t="n">
        <f aca="false">X36+Y35</f>
        <v>0</v>
      </c>
      <c r="Z36" s="250" t="n">
        <f aca="false">Y36+Z35</f>
        <v>0</v>
      </c>
      <c r="AA36" s="250" t="n">
        <f aca="false">Z36+AA35</f>
        <v>0</v>
      </c>
      <c r="AB36" s="250" t="n">
        <f aca="false">AA36+AB35</f>
        <v>0</v>
      </c>
      <c r="AC36" s="250" t="n">
        <f aca="false">AB36+AC35</f>
        <v>0</v>
      </c>
      <c r="AD36" s="250" t="n">
        <f aca="false">AC36+AD35</f>
        <v>0</v>
      </c>
      <c r="AE36" s="250" t="n">
        <f aca="false">AD36+AE35</f>
        <v>0</v>
      </c>
      <c r="AF36" s="250" t="n">
        <f aca="false">AE36+AF35</f>
        <v>0</v>
      </c>
      <c r="AG36" s="250" t="n">
        <f aca="false">AF36+AG35</f>
        <v>0</v>
      </c>
      <c r="AH36" s="250" t="n">
        <f aca="false">AG36+AH35</f>
        <v>0</v>
      </c>
      <c r="AI36" s="250" t="n">
        <f aca="false">AH36+AI35</f>
        <v>0</v>
      </c>
      <c r="AJ36" s="250" t="n">
        <f aca="false">AI36+AJ35</f>
        <v>0</v>
      </c>
      <c r="AK36" s="250" t="n">
        <f aca="false">AJ36+AK35</f>
        <v>0</v>
      </c>
      <c r="AL36" s="250" t="n">
        <f aca="false">AK36+AL35</f>
        <v>0</v>
      </c>
      <c r="AM36" s="250" t="n">
        <f aca="false">AL36+AM35</f>
        <v>0</v>
      </c>
      <c r="AN36" s="250" t="n">
        <f aca="false">AM36+AN35</f>
        <v>0</v>
      </c>
      <c r="AO36" s="250" t="n">
        <f aca="false">AN36+AO35</f>
        <v>0</v>
      </c>
      <c r="AP36" s="250" t="n">
        <f aca="false">AO36+AP35</f>
        <v>0</v>
      </c>
      <c r="AQ36" s="250" t="n">
        <f aca="false">AP36+AQ35</f>
        <v>0</v>
      </c>
      <c r="AR36" s="250" t="n">
        <f aca="false">AQ36+AR35</f>
        <v>0</v>
      </c>
      <c r="AS36" s="250" t="n">
        <f aca="false">AR36+AS35</f>
        <v>0</v>
      </c>
      <c r="AT36" s="250" t="n">
        <f aca="false">AS36+AT35</f>
        <v>0</v>
      </c>
      <c r="AU36" s="250" t="n">
        <f aca="false">AT36+AU35</f>
        <v>0</v>
      </c>
      <c r="AV36" s="250" t="n">
        <f aca="false">AU36+AV35</f>
        <v>0</v>
      </c>
      <c r="AW36" s="250" t="n">
        <f aca="false">AV36+AW35</f>
        <v>0</v>
      </c>
      <c r="AX36" s="250" t="n">
        <f aca="false">AW36+AX35</f>
        <v>0</v>
      </c>
      <c r="AY36" s="250" t="n">
        <f aca="false">AX36+AY35</f>
        <v>0</v>
      </c>
      <c r="AZ36" s="250" t="n">
        <f aca="false">AY36+AZ35</f>
        <v>0</v>
      </c>
      <c r="BA36" s="250" t="n">
        <f aca="false">AZ36+BA35</f>
        <v>0</v>
      </c>
      <c r="BB36" s="250" t="n">
        <f aca="false">BA36+BB35</f>
        <v>0</v>
      </c>
      <c r="BC36" s="250" t="n">
        <f aca="false">BB36+BC35</f>
        <v>0</v>
      </c>
      <c r="BD36" s="250" t="n">
        <f aca="false">BC36+BD35</f>
        <v>0</v>
      </c>
      <c r="BE36" s="250" t="n">
        <f aca="false">BD36+BE35</f>
        <v>0</v>
      </c>
      <c r="BF36" s="250" t="n">
        <f aca="false">BE36+BF35</f>
        <v>0</v>
      </c>
      <c r="BG36" s="250" t="n">
        <f aca="false">BF36+BG35</f>
        <v>0</v>
      </c>
      <c r="BH36" s="250" t="n">
        <f aca="false">BG36+BH35</f>
        <v>0</v>
      </c>
      <c r="BI36" s="250" t="n">
        <f aca="false">BH36+BI35</f>
        <v>0</v>
      </c>
      <c r="BJ36" s="250" t="n">
        <f aca="false">BI36+BJ35</f>
        <v>0</v>
      </c>
      <c r="BK36" s="250" t="n">
        <f aca="false">BJ36+BK35</f>
        <v>0</v>
      </c>
      <c r="BL36" s="250" t="n">
        <f aca="false">BK36+BL35</f>
        <v>0</v>
      </c>
      <c r="BM36" s="250" t="n">
        <f aca="false">BL36+BM35</f>
        <v>0</v>
      </c>
      <c r="BN36" s="250" t="n">
        <f aca="false">BM36+BN35</f>
        <v>0</v>
      </c>
      <c r="BO36" s="250" t="n">
        <f aca="false">BN36+BO35</f>
        <v>0</v>
      </c>
      <c r="BP36" s="250" t="n">
        <f aca="false">BO36+BP35</f>
        <v>0</v>
      </c>
      <c r="BQ36" s="250" t="n">
        <f aca="false">BP36+BQ35</f>
        <v>0</v>
      </c>
      <c r="BR36" s="250" t="n">
        <f aca="false">BQ36+BR35</f>
        <v>0</v>
      </c>
      <c r="BS36" s="250" t="n">
        <f aca="false">BR36+BS35</f>
        <v>0</v>
      </c>
      <c r="BT36" s="250" t="n">
        <f aca="false">BS36+BT35</f>
        <v>0</v>
      </c>
      <c r="BU36" s="250" t="n">
        <f aca="false">BT36+BU35</f>
        <v>0</v>
      </c>
      <c r="BV36" s="250" t="n">
        <f aca="false">BU36+BV35</f>
        <v>0</v>
      </c>
      <c r="BW36" s="250" t="n">
        <f aca="false">BV36+BW35</f>
        <v>0</v>
      </c>
      <c r="BX36" s="250" t="n">
        <f aca="false">BW36+BX35</f>
        <v>0</v>
      </c>
      <c r="BY36" s="250" t="n">
        <f aca="false">BX36+BY35</f>
        <v>0</v>
      </c>
      <c r="BZ36" s="250" t="n">
        <f aca="false">BY36+BZ35</f>
        <v>0</v>
      </c>
      <c r="CA36" s="250" t="n">
        <f aca="false">BZ36+CA35</f>
        <v>0</v>
      </c>
      <c r="CB36" s="250" t="n">
        <f aca="false">CA36+CB35</f>
        <v>0</v>
      </c>
      <c r="CC36" s="250" t="n">
        <f aca="false">CB36+CC35</f>
        <v>0</v>
      </c>
      <c r="CD36" s="250" t="n">
        <f aca="false">CC36+CD35</f>
        <v>0</v>
      </c>
      <c r="CE36" s="250" t="n">
        <f aca="false">CD36+CE35</f>
        <v>0</v>
      </c>
      <c r="CF36" s="250" t="n">
        <f aca="false">CE36+CF35</f>
        <v>0</v>
      </c>
      <c r="CG36" s="250" t="n">
        <f aca="false">CF36+CG35</f>
        <v>0</v>
      </c>
      <c r="CH36" s="25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840</v>
      </c>
      <c r="B39" s="3"/>
      <c r="C39" s="247" t="n">
        <v>0</v>
      </c>
      <c r="D39" s="247" t="n">
        <v>0</v>
      </c>
      <c r="E39" s="247" t="n">
        <v>0</v>
      </c>
      <c r="F39" s="247" t="n">
        <v>0</v>
      </c>
      <c r="G39" s="247" t="n">
        <v>0</v>
      </c>
      <c r="H39" s="247" t="n">
        <v>0</v>
      </c>
      <c r="I39" s="247" t="n">
        <v>0</v>
      </c>
      <c r="J39" s="247" t="n">
        <v>0</v>
      </c>
      <c r="K39" s="247" t="n">
        <v>0</v>
      </c>
      <c r="L39" s="247" t="n">
        <v>0</v>
      </c>
      <c r="M39" s="247" t="n">
        <v>0</v>
      </c>
      <c r="N39" s="247" t="n">
        <v>0</v>
      </c>
      <c r="O39" s="247" t="n">
        <v>0</v>
      </c>
      <c r="P39" s="247" t="n">
        <v>0</v>
      </c>
      <c r="Q39" s="247" t="n">
        <v>0</v>
      </c>
      <c r="R39" s="247" t="n">
        <v>0</v>
      </c>
      <c r="S39" s="247" t="n">
        <v>0</v>
      </c>
      <c r="T39" s="247" t="n">
        <v>0</v>
      </c>
      <c r="U39" s="247" t="n">
        <v>0</v>
      </c>
      <c r="V39" s="247" t="n">
        <v>0</v>
      </c>
      <c r="W39" s="247" t="n">
        <v>0</v>
      </c>
      <c r="X39" s="247" t="n">
        <v>0</v>
      </c>
      <c r="Y39" s="247" t="n">
        <v>0</v>
      </c>
      <c r="Z39" s="247" t="n">
        <v>0</v>
      </c>
      <c r="AA39" s="247" t="n">
        <v>0</v>
      </c>
      <c r="AB39" s="247" t="n">
        <v>0</v>
      </c>
      <c r="AC39" s="247" t="n">
        <v>0</v>
      </c>
      <c r="AD39" s="247" t="n">
        <v>0</v>
      </c>
      <c r="AE39" s="247" t="n">
        <v>0</v>
      </c>
      <c r="AF39" s="247" t="n">
        <v>0</v>
      </c>
      <c r="AG39" s="247" t="n">
        <v>0</v>
      </c>
      <c r="AH39" s="247" t="n">
        <v>0</v>
      </c>
      <c r="AI39" s="247" t="n">
        <v>0</v>
      </c>
      <c r="AJ39" s="247" t="n">
        <v>0</v>
      </c>
      <c r="AK39" s="247" t="n">
        <v>0</v>
      </c>
      <c r="AL39" s="247" t="n">
        <v>0</v>
      </c>
      <c r="AM39" s="247" t="n">
        <v>0</v>
      </c>
      <c r="AN39" s="247" t="n">
        <v>0</v>
      </c>
      <c r="AO39" s="247" t="n">
        <v>0</v>
      </c>
      <c r="AP39" s="247" t="n">
        <v>0</v>
      </c>
      <c r="AQ39" s="247" t="n">
        <v>0</v>
      </c>
      <c r="AR39" s="247" t="n">
        <v>0</v>
      </c>
      <c r="AS39" s="247" t="n">
        <v>0</v>
      </c>
      <c r="AT39" s="247" t="n">
        <v>0</v>
      </c>
      <c r="AU39" s="247" t="n">
        <v>0</v>
      </c>
      <c r="AV39" s="247" t="n">
        <v>0</v>
      </c>
      <c r="AW39" s="247" t="n">
        <v>0</v>
      </c>
      <c r="AX39" s="247" t="n">
        <v>0</v>
      </c>
      <c r="AY39" s="247" t="n">
        <v>0</v>
      </c>
      <c r="AZ39" s="247" t="n">
        <v>0</v>
      </c>
      <c r="BA39" s="247" t="n">
        <v>0</v>
      </c>
      <c r="BB39" s="247" t="n">
        <v>0</v>
      </c>
      <c r="BC39" s="247" t="n">
        <v>0</v>
      </c>
      <c r="BD39" s="247" t="n">
        <v>0</v>
      </c>
      <c r="BE39" s="247" t="n">
        <v>0</v>
      </c>
      <c r="BF39" s="247" t="n">
        <v>0</v>
      </c>
      <c r="BG39" s="247" t="n">
        <v>0</v>
      </c>
      <c r="BH39" s="247" t="n">
        <v>0</v>
      </c>
      <c r="BI39" s="247" t="n">
        <v>0</v>
      </c>
      <c r="BJ39" s="247" t="n">
        <v>0</v>
      </c>
      <c r="BK39" s="247" t="n">
        <v>0</v>
      </c>
      <c r="BL39" s="247" t="n">
        <v>0</v>
      </c>
      <c r="BM39" s="247" t="n">
        <v>0</v>
      </c>
      <c r="BN39" s="247" t="n">
        <v>0</v>
      </c>
      <c r="BO39" s="247" t="n">
        <v>0</v>
      </c>
      <c r="BP39" s="247" t="n">
        <v>0</v>
      </c>
      <c r="BQ39" s="247" t="n">
        <v>0</v>
      </c>
      <c r="BR39" s="247" t="n">
        <v>0</v>
      </c>
      <c r="BS39" s="247" t="n">
        <v>0</v>
      </c>
      <c r="BT39" s="247" t="n">
        <v>0</v>
      </c>
      <c r="BU39" s="247" t="n">
        <v>0</v>
      </c>
      <c r="BV39" s="247" t="n">
        <v>0</v>
      </c>
      <c r="BW39" s="247" t="n">
        <v>0</v>
      </c>
      <c r="BX39" s="247" t="n">
        <v>0</v>
      </c>
      <c r="BY39" s="247" t="n">
        <v>0</v>
      </c>
      <c r="BZ39" s="247" t="n">
        <v>0</v>
      </c>
      <c r="CA39" s="247" t="n">
        <v>0</v>
      </c>
      <c r="CB39" s="247" t="n">
        <v>0</v>
      </c>
      <c r="CC39" s="247" t="n">
        <v>0</v>
      </c>
      <c r="CD39" s="247" t="n">
        <v>0</v>
      </c>
      <c r="CE39" s="247" t="n">
        <v>0</v>
      </c>
      <c r="CF39" s="247" t="n">
        <v>0</v>
      </c>
      <c r="CG39" s="247" t="n">
        <v>0</v>
      </c>
      <c r="CH39" s="247" t="n">
        <v>0</v>
      </c>
    </row>
    <row r="40" customFormat="false" ht="15" hidden="false" customHeight="true" outlineLevel="0" collapsed="false">
      <c r="A40" s="251" t="s">
        <v>843</v>
      </c>
      <c r="B40" s="3"/>
      <c r="C40" s="252" t="n">
        <f aca="false">Model!E291</f>
        <v>-0</v>
      </c>
      <c r="D40" s="252" t="n">
        <f aca="false">Model!F291</f>
        <v>-0</v>
      </c>
      <c r="E40" s="252" t="n">
        <f aca="false">Model!G291</f>
        <v>-0</v>
      </c>
      <c r="F40" s="252" t="n">
        <f aca="false">Model!H291</f>
        <v>-0</v>
      </c>
      <c r="G40" s="252" t="n">
        <f aca="false">Model!I291</f>
        <v>-0</v>
      </c>
      <c r="H40" s="252" t="n">
        <f aca="false">Model!J291</f>
        <v>-0</v>
      </c>
      <c r="I40" s="252" t="n">
        <f aca="false">Model!K291</f>
        <v>-0</v>
      </c>
      <c r="J40" s="252" t="n">
        <f aca="false">Model!L291</f>
        <v>-0</v>
      </c>
      <c r="K40" s="252" t="n">
        <f aca="false">Model!M291</f>
        <v>-0</v>
      </c>
      <c r="L40" s="252" t="n">
        <f aca="false">Model!N291</f>
        <v>-0</v>
      </c>
      <c r="M40" s="252" t="n">
        <f aca="false">Model!O291</f>
        <v>-0</v>
      </c>
      <c r="N40" s="252" t="n">
        <f aca="false">Model!P291</f>
        <v>-0</v>
      </c>
      <c r="O40" s="252" t="n">
        <f aca="false">Model!Q291</f>
        <v>-0</v>
      </c>
      <c r="P40" s="252" t="n">
        <f aca="false">Model!R291</f>
        <v>-0</v>
      </c>
      <c r="Q40" s="252" t="n">
        <f aca="false">Model!S291</f>
        <v>-0</v>
      </c>
      <c r="R40" s="252" t="n">
        <f aca="false">Model!T291</f>
        <v>-0</v>
      </c>
      <c r="S40" s="252" t="n">
        <f aca="false">Model!U291</f>
        <v>-0</v>
      </c>
      <c r="T40" s="252" t="n">
        <f aca="false">Model!V291</f>
        <v>-0</v>
      </c>
      <c r="U40" s="252" t="n">
        <f aca="false">Model!W291</f>
        <v>-0</v>
      </c>
      <c r="V40" s="252" t="n">
        <f aca="false">Model!X291</f>
        <v>-0</v>
      </c>
      <c r="W40" s="252" t="n">
        <f aca="false">Model!Y291</f>
        <v>-0</v>
      </c>
      <c r="X40" s="252" t="n">
        <f aca="false">Model!Z291</f>
        <v>-0</v>
      </c>
      <c r="Y40" s="252" t="n">
        <f aca="false">Model!AA291</f>
        <v>-0</v>
      </c>
      <c r="Z40" s="252" t="n">
        <f aca="false">Model!AB291</f>
        <v>-0</v>
      </c>
      <c r="AA40" s="252" t="n">
        <f aca="false">Model!AC291</f>
        <v>-0</v>
      </c>
      <c r="AB40" s="252" t="n">
        <f aca="false">Model!AD291</f>
        <v>-0</v>
      </c>
      <c r="AC40" s="252" t="n">
        <f aca="false">Model!AE291</f>
        <v>-0</v>
      </c>
      <c r="AD40" s="252" t="n">
        <f aca="false">Model!AF291</f>
        <v>-0</v>
      </c>
      <c r="AE40" s="252" t="n">
        <f aca="false">Model!AG291</f>
        <v>-0</v>
      </c>
      <c r="AF40" s="252" t="n">
        <f aca="false">Model!AH291</f>
        <v>-0</v>
      </c>
      <c r="AG40" s="252" t="n">
        <f aca="false">Model!AI291</f>
        <v>-0</v>
      </c>
      <c r="AH40" s="252" t="n">
        <f aca="false">Model!AJ291</f>
        <v>-0</v>
      </c>
      <c r="AI40" s="252" t="n">
        <f aca="false">Model!AK291</f>
        <v>-0</v>
      </c>
      <c r="AJ40" s="252" t="n">
        <f aca="false">Model!AL291</f>
        <v>-0</v>
      </c>
      <c r="AK40" s="252" t="n">
        <f aca="false">Model!AM291</f>
        <v>-0</v>
      </c>
      <c r="AL40" s="252" t="n">
        <f aca="false">Model!AN291</f>
        <v>-0</v>
      </c>
      <c r="AM40" s="252" t="n">
        <f aca="false">Model!AO291</f>
        <v>-0</v>
      </c>
      <c r="AN40" s="252" t="n">
        <f aca="false">Model!AP291</f>
        <v>-0</v>
      </c>
      <c r="AO40" s="252" t="n">
        <f aca="false">Model!AQ291</f>
        <v>-0</v>
      </c>
      <c r="AP40" s="252" t="n">
        <f aca="false">Model!AR291</f>
        <v>-0</v>
      </c>
      <c r="AQ40" s="252" t="n">
        <f aca="false">Model!AS291</f>
        <v>-0</v>
      </c>
      <c r="AR40" s="252" t="n">
        <f aca="false">Model!AT291</f>
        <v>-0</v>
      </c>
      <c r="AS40" s="252" t="n">
        <f aca="false">Model!AU291</f>
        <v>-0</v>
      </c>
      <c r="AT40" s="252" t="n">
        <f aca="false">Model!AV291</f>
        <v>-0</v>
      </c>
      <c r="AU40" s="252" t="n">
        <f aca="false">Model!AW291</f>
        <v>-0</v>
      </c>
      <c r="AV40" s="252" t="n">
        <f aca="false">Model!AX291</f>
        <v>-0</v>
      </c>
      <c r="AW40" s="252" t="n">
        <f aca="false">Model!AY291</f>
        <v>-0</v>
      </c>
      <c r="AX40" s="252" t="n">
        <f aca="false">Model!AZ291</f>
        <v>-0</v>
      </c>
      <c r="AY40" s="252" t="n">
        <f aca="false">Model!BA291</f>
        <v>-0</v>
      </c>
      <c r="AZ40" s="252" t="n">
        <f aca="false">Model!BB291</f>
        <v>-0</v>
      </c>
      <c r="BA40" s="252" t="n">
        <f aca="false">Model!BC291</f>
        <v>-0</v>
      </c>
      <c r="BB40" s="252" t="n">
        <f aca="false">Model!BD291</f>
        <v>-0</v>
      </c>
      <c r="BC40" s="252" t="n">
        <f aca="false">Model!BE291</f>
        <v>-0</v>
      </c>
      <c r="BD40" s="252" t="n">
        <f aca="false">Model!BF291</f>
        <v>-0</v>
      </c>
      <c r="BE40" s="252" t="n">
        <f aca="false">Model!BG291</f>
        <v>-0</v>
      </c>
      <c r="BF40" s="252" t="n">
        <f aca="false">Model!BH291</f>
        <v>-0</v>
      </c>
      <c r="BG40" s="252" t="n">
        <f aca="false">Model!BI291</f>
        <v>-0</v>
      </c>
      <c r="BH40" s="252" t="n">
        <f aca="false">Model!BJ291</f>
        <v>-0</v>
      </c>
      <c r="BI40" s="252" t="n">
        <f aca="false">Model!BK291</f>
        <v>-0</v>
      </c>
      <c r="BJ40" s="252" t="n">
        <f aca="false">Model!BL291</f>
        <v>-0</v>
      </c>
      <c r="BK40" s="252" t="n">
        <f aca="false">Model!BM291</f>
        <v>-0</v>
      </c>
      <c r="BL40" s="252" t="n">
        <f aca="false">Model!BN291</f>
        <v>-0</v>
      </c>
      <c r="BM40" s="252" t="n">
        <f aca="false">Model!BO291</f>
        <v>-0</v>
      </c>
      <c r="BN40" s="252" t="n">
        <f aca="false">Model!BP291</f>
        <v>-0</v>
      </c>
      <c r="BO40" s="252" t="n">
        <f aca="false">Model!BQ291</f>
        <v>-0</v>
      </c>
      <c r="BP40" s="252" t="n">
        <f aca="false">Model!BR291</f>
        <v>-0</v>
      </c>
      <c r="BQ40" s="252" t="n">
        <f aca="false">Model!BS291</f>
        <v>-0</v>
      </c>
      <c r="BR40" s="252" t="n">
        <f aca="false">Model!BT291</f>
        <v>-0</v>
      </c>
      <c r="BS40" s="252" t="n">
        <f aca="false">Model!BU291</f>
        <v>-0</v>
      </c>
      <c r="BT40" s="252" t="n">
        <f aca="false">Model!BV291</f>
        <v>-0</v>
      </c>
      <c r="BU40" s="252" t="n">
        <f aca="false">Model!BW291</f>
        <v>-0</v>
      </c>
      <c r="BV40" s="252" t="n">
        <f aca="false">Model!BX291</f>
        <v>-0</v>
      </c>
      <c r="BW40" s="252" t="n">
        <f aca="false">Model!BY291</f>
        <v>-0</v>
      </c>
      <c r="BX40" s="252" t="n">
        <f aca="false">Model!BZ291</f>
        <v>-0</v>
      </c>
      <c r="BY40" s="252" t="n">
        <f aca="false">Model!CA291</f>
        <v>-73156</v>
      </c>
      <c r="BZ40" s="252" t="n">
        <f aca="false">Model!CB291</f>
        <v>-0</v>
      </c>
      <c r="CA40" s="252" t="n">
        <f aca="false">Model!CC291</f>
        <v>-0</v>
      </c>
      <c r="CB40" s="252" t="n">
        <f aca="false">Model!CD291</f>
        <v>-73155</v>
      </c>
      <c r="CC40" s="252" t="n">
        <f aca="false">Model!CE291</f>
        <v>-0</v>
      </c>
      <c r="CD40" s="252" t="n">
        <f aca="false">Model!CF291</f>
        <v>-0</v>
      </c>
      <c r="CE40" s="252" t="n">
        <f aca="false">Model!CG291</f>
        <v>-73155</v>
      </c>
      <c r="CF40" s="252" t="n">
        <f aca="false">Model!CH291</f>
        <v>-0</v>
      </c>
      <c r="CG40" s="252" t="n">
        <f aca="false">Model!CI291</f>
        <v>-0</v>
      </c>
      <c r="CH40" s="252" t="n">
        <f aca="false">Model!CJ291</f>
        <v>-73155</v>
      </c>
    </row>
    <row r="41" customFormat="false" ht="15" hidden="false" customHeight="true" outlineLevel="0" collapsed="false">
      <c r="A41" s="248" t="s">
        <v>841</v>
      </c>
      <c r="B41" s="248"/>
      <c r="C41" s="249" t="n">
        <f aca="false">C39+C40</f>
        <v>0</v>
      </c>
      <c r="D41" s="249" t="n">
        <f aca="false">D39+D40</f>
        <v>0</v>
      </c>
      <c r="E41" s="249" t="n">
        <f aca="false">E39+E40</f>
        <v>0</v>
      </c>
      <c r="F41" s="249" t="n">
        <f aca="false">F39+F40</f>
        <v>0</v>
      </c>
      <c r="G41" s="249" t="n">
        <f aca="false">G39+G40</f>
        <v>0</v>
      </c>
      <c r="H41" s="249" t="n">
        <f aca="false">H39+H40</f>
        <v>0</v>
      </c>
      <c r="I41" s="249" t="n">
        <f aca="false">I39+I40</f>
        <v>0</v>
      </c>
      <c r="J41" s="249" t="n">
        <f aca="false">J39+J40</f>
        <v>0</v>
      </c>
      <c r="K41" s="249" t="n">
        <f aca="false">K39+K40</f>
        <v>0</v>
      </c>
      <c r="L41" s="249" t="n">
        <f aca="false">L39+L40</f>
        <v>0</v>
      </c>
      <c r="M41" s="249" t="n">
        <f aca="false">M39+M40</f>
        <v>0</v>
      </c>
      <c r="N41" s="249" t="n">
        <f aca="false">N39+N40</f>
        <v>0</v>
      </c>
      <c r="O41" s="249" t="n">
        <f aca="false">O39+O40</f>
        <v>0</v>
      </c>
      <c r="P41" s="249" t="n">
        <f aca="false">P39+P40</f>
        <v>0</v>
      </c>
      <c r="Q41" s="249" t="n">
        <f aca="false">Q39+Q40</f>
        <v>0</v>
      </c>
      <c r="R41" s="249" t="n">
        <f aca="false">R39+R40</f>
        <v>0</v>
      </c>
      <c r="S41" s="249" t="n">
        <f aca="false">S39+S40</f>
        <v>0</v>
      </c>
      <c r="T41" s="249" t="n">
        <f aca="false">T39+T40</f>
        <v>0</v>
      </c>
      <c r="U41" s="249" t="n">
        <f aca="false">U39+U40</f>
        <v>0</v>
      </c>
      <c r="V41" s="249" t="n">
        <f aca="false">V39+V40</f>
        <v>0</v>
      </c>
      <c r="W41" s="249" t="n">
        <f aca="false">W39+W40</f>
        <v>0</v>
      </c>
      <c r="X41" s="249" t="n">
        <f aca="false">X39+X40</f>
        <v>0</v>
      </c>
      <c r="Y41" s="249" t="n">
        <f aca="false">Y39+Y40</f>
        <v>0</v>
      </c>
      <c r="Z41" s="249" t="n">
        <f aca="false">Z39+Z40</f>
        <v>0</v>
      </c>
      <c r="AA41" s="249" t="n">
        <f aca="false">AA39+AA40</f>
        <v>0</v>
      </c>
      <c r="AB41" s="249" t="n">
        <f aca="false">AB39+AB40</f>
        <v>0</v>
      </c>
      <c r="AC41" s="249" t="n">
        <f aca="false">AC39+AC40</f>
        <v>0</v>
      </c>
      <c r="AD41" s="249" t="n">
        <f aca="false">AD39+AD40</f>
        <v>0</v>
      </c>
      <c r="AE41" s="249" t="n">
        <f aca="false">AE39+AE40</f>
        <v>0</v>
      </c>
      <c r="AF41" s="249" t="n">
        <f aca="false">AF39+AF40</f>
        <v>0</v>
      </c>
      <c r="AG41" s="249" t="n">
        <f aca="false">AG39+AG40</f>
        <v>0</v>
      </c>
      <c r="AH41" s="249" t="n">
        <f aca="false">AH39+AH40</f>
        <v>0</v>
      </c>
      <c r="AI41" s="249" t="n">
        <f aca="false">AI39+AI40</f>
        <v>0</v>
      </c>
      <c r="AJ41" s="249" t="n">
        <f aca="false">AJ39+AJ40</f>
        <v>0</v>
      </c>
      <c r="AK41" s="249" t="n">
        <f aca="false">AK39+AK40</f>
        <v>0</v>
      </c>
      <c r="AL41" s="249" t="n">
        <f aca="false">AL39+AL40</f>
        <v>0</v>
      </c>
      <c r="AM41" s="249" t="n">
        <f aca="false">AM39+AM40</f>
        <v>0</v>
      </c>
      <c r="AN41" s="249" t="n">
        <f aca="false">AN39+AN40</f>
        <v>0</v>
      </c>
      <c r="AO41" s="249" t="n">
        <f aca="false">AO39+AO40</f>
        <v>0</v>
      </c>
      <c r="AP41" s="249" t="n">
        <f aca="false">AP39+AP40</f>
        <v>0</v>
      </c>
      <c r="AQ41" s="249" t="n">
        <f aca="false">AQ39+AQ40</f>
        <v>0</v>
      </c>
      <c r="AR41" s="249" t="n">
        <f aca="false">AR39+AR40</f>
        <v>0</v>
      </c>
      <c r="AS41" s="249" t="n">
        <f aca="false">AS39+AS40</f>
        <v>0</v>
      </c>
      <c r="AT41" s="249" t="n">
        <f aca="false">AT39+AT40</f>
        <v>0</v>
      </c>
      <c r="AU41" s="249" t="n">
        <f aca="false">AU39+AU40</f>
        <v>0</v>
      </c>
      <c r="AV41" s="249" t="n">
        <f aca="false">AV39+AV40</f>
        <v>0</v>
      </c>
      <c r="AW41" s="249" t="n">
        <f aca="false">AW39+AW40</f>
        <v>0</v>
      </c>
      <c r="AX41" s="249" t="n">
        <f aca="false">AX39+AX40</f>
        <v>0</v>
      </c>
      <c r="AY41" s="249" t="n">
        <f aca="false">AY39+AY40</f>
        <v>0</v>
      </c>
      <c r="AZ41" s="249" t="n">
        <f aca="false">AZ39+AZ40</f>
        <v>0</v>
      </c>
      <c r="BA41" s="249" t="n">
        <f aca="false">BA39+BA40</f>
        <v>0</v>
      </c>
      <c r="BB41" s="249" t="n">
        <f aca="false">BB39+BB40</f>
        <v>0</v>
      </c>
      <c r="BC41" s="249" t="n">
        <f aca="false">BC39+BC40</f>
        <v>0</v>
      </c>
      <c r="BD41" s="249" t="n">
        <f aca="false">BD39+BD40</f>
        <v>0</v>
      </c>
      <c r="BE41" s="249" t="n">
        <f aca="false">BE39+BE40</f>
        <v>0</v>
      </c>
      <c r="BF41" s="249" t="n">
        <f aca="false">BF39+BF40</f>
        <v>0</v>
      </c>
      <c r="BG41" s="249" t="n">
        <f aca="false">BG39+BG40</f>
        <v>0</v>
      </c>
      <c r="BH41" s="249" t="n">
        <f aca="false">BH39+BH40</f>
        <v>0</v>
      </c>
      <c r="BI41" s="249" t="n">
        <f aca="false">BI39+BI40</f>
        <v>0</v>
      </c>
      <c r="BJ41" s="249" t="n">
        <f aca="false">BJ39+BJ40</f>
        <v>0</v>
      </c>
      <c r="BK41" s="249" t="n">
        <f aca="false">BK39+BK40</f>
        <v>0</v>
      </c>
      <c r="BL41" s="249" t="n">
        <f aca="false">BL39+BL40</f>
        <v>0</v>
      </c>
      <c r="BM41" s="249" t="n">
        <f aca="false">BM39+BM40</f>
        <v>0</v>
      </c>
      <c r="BN41" s="249" t="n">
        <f aca="false">BN39+BN40</f>
        <v>0</v>
      </c>
      <c r="BO41" s="249" t="n">
        <f aca="false">BO39+BO40</f>
        <v>0</v>
      </c>
      <c r="BP41" s="249" t="n">
        <f aca="false">BP39+BP40</f>
        <v>0</v>
      </c>
      <c r="BQ41" s="249" t="n">
        <f aca="false">BQ39+BQ40</f>
        <v>0</v>
      </c>
      <c r="BR41" s="249" t="n">
        <f aca="false">BR39+BR40</f>
        <v>0</v>
      </c>
      <c r="BS41" s="249" t="n">
        <f aca="false">BS39+BS40</f>
        <v>0</v>
      </c>
      <c r="BT41" s="249" t="n">
        <f aca="false">BT39+BT40</f>
        <v>0</v>
      </c>
      <c r="BU41" s="249" t="n">
        <f aca="false">BU39+BU40</f>
        <v>0</v>
      </c>
      <c r="BV41" s="249" t="n">
        <f aca="false">BV39+BV40</f>
        <v>0</v>
      </c>
      <c r="BW41" s="249" t="n">
        <f aca="false">BW39+BW40</f>
        <v>0</v>
      </c>
      <c r="BX41" s="249" t="n">
        <f aca="false">BX39+BX40</f>
        <v>0</v>
      </c>
      <c r="BY41" s="249" t="n">
        <f aca="false">BY39+BY40</f>
        <v>-73156</v>
      </c>
      <c r="BZ41" s="249" t="n">
        <f aca="false">BZ39+BZ40</f>
        <v>0</v>
      </c>
      <c r="CA41" s="249" t="n">
        <f aca="false">CA39+CA40</f>
        <v>0</v>
      </c>
      <c r="CB41" s="249" t="n">
        <f aca="false">CB39+CB40</f>
        <v>-73155</v>
      </c>
      <c r="CC41" s="249" t="n">
        <f aca="false">CC39+CC40</f>
        <v>0</v>
      </c>
      <c r="CD41" s="249" t="n">
        <f aca="false">CD39+CD40</f>
        <v>0</v>
      </c>
      <c r="CE41" s="249" t="n">
        <f aca="false">CE39+CE40</f>
        <v>-73155</v>
      </c>
      <c r="CF41" s="249" t="n">
        <f aca="false">CF39+CF40</f>
        <v>0</v>
      </c>
      <c r="CG41" s="249" t="n">
        <f aca="false">CG39+CG40</f>
        <v>0</v>
      </c>
      <c r="CH41" s="249" t="n">
        <f aca="false">CH39+CH40</f>
        <v>-73155</v>
      </c>
    </row>
    <row r="42" customFormat="false" ht="15" hidden="false" customHeight="true" outlineLevel="0" collapsed="false">
      <c r="A42" s="2" t="s">
        <v>842</v>
      </c>
      <c r="B42" s="3"/>
      <c r="C42" s="250" t="n">
        <f aca="false">C41</f>
        <v>0</v>
      </c>
      <c r="D42" s="250" t="n">
        <f aca="false">C42+D41</f>
        <v>0</v>
      </c>
      <c r="E42" s="250" t="n">
        <f aca="false">D42+E41</f>
        <v>0</v>
      </c>
      <c r="F42" s="250" t="n">
        <f aca="false">E42+F41</f>
        <v>0</v>
      </c>
      <c r="G42" s="250" t="n">
        <f aca="false">F42+G41</f>
        <v>0</v>
      </c>
      <c r="H42" s="250" t="n">
        <f aca="false">G42+H41</f>
        <v>0</v>
      </c>
      <c r="I42" s="250" t="n">
        <f aca="false">H42+I41</f>
        <v>0</v>
      </c>
      <c r="J42" s="250" t="n">
        <f aca="false">I42+J41</f>
        <v>0</v>
      </c>
      <c r="K42" s="250" t="n">
        <f aca="false">J42+K41</f>
        <v>0</v>
      </c>
      <c r="L42" s="250" t="n">
        <f aca="false">K42+L41</f>
        <v>0</v>
      </c>
      <c r="M42" s="250" t="n">
        <f aca="false">L42+M41</f>
        <v>0</v>
      </c>
      <c r="N42" s="250" t="n">
        <f aca="false">M42+N41</f>
        <v>0</v>
      </c>
      <c r="O42" s="250" t="n">
        <f aca="false">N42+O41</f>
        <v>0</v>
      </c>
      <c r="P42" s="250" t="n">
        <f aca="false">O42+P41</f>
        <v>0</v>
      </c>
      <c r="Q42" s="250" t="n">
        <f aca="false">P42+Q41</f>
        <v>0</v>
      </c>
      <c r="R42" s="250" t="n">
        <f aca="false">Q42+R41</f>
        <v>0</v>
      </c>
      <c r="S42" s="250" t="n">
        <f aca="false">R42+S41</f>
        <v>0</v>
      </c>
      <c r="T42" s="250" t="n">
        <f aca="false">S42+T41</f>
        <v>0</v>
      </c>
      <c r="U42" s="250" t="n">
        <f aca="false">T42+U41</f>
        <v>0</v>
      </c>
      <c r="V42" s="250" t="n">
        <f aca="false">U42+V41</f>
        <v>0</v>
      </c>
      <c r="W42" s="250" t="n">
        <f aca="false">V42+W41</f>
        <v>0</v>
      </c>
      <c r="X42" s="250" t="n">
        <f aca="false">W42+X41</f>
        <v>0</v>
      </c>
      <c r="Y42" s="250" t="n">
        <f aca="false">X42+Y41</f>
        <v>0</v>
      </c>
      <c r="Z42" s="250" t="n">
        <f aca="false">Y42+Z41</f>
        <v>0</v>
      </c>
      <c r="AA42" s="250" t="n">
        <f aca="false">Z42+AA41</f>
        <v>0</v>
      </c>
      <c r="AB42" s="250" t="n">
        <f aca="false">AA42+AB41</f>
        <v>0</v>
      </c>
      <c r="AC42" s="250" t="n">
        <f aca="false">AB42+AC41</f>
        <v>0</v>
      </c>
      <c r="AD42" s="250" t="n">
        <f aca="false">AC42+AD41</f>
        <v>0</v>
      </c>
      <c r="AE42" s="250" t="n">
        <f aca="false">AD42+AE41</f>
        <v>0</v>
      </c>
      <c r="AF42" s="250" t="n">
        <f aca="false">AE42+AF41</f>
        <v>0</v>
      </c>
      <c r="AG42" s="250" t="n">
        <f aca="false">AF42+AG41</f>
        <v>0</v>
      </c>
      <c r="AH42" s="250" t="n">
        <f aca="false">AG42+AH41</f>
        <v>0</v>
      </c>
      <c r="AI42" s="250" t="n">
        <f aca="false">AH42+AI41</f>
        <v>0</v>
      </c>
      <c r="AJ42" s="250" t="n">
        <f aca="false">AI42+AJ41</f>
        <v>0</v>
      </c>
      <c r="AK42" s="250" t="n">
        <f aca="false">AJ42+AK41</f>
        <v>0</v>
      </c>
      <c r="AL42" s="250" t="n">
        <f aca="false">AK42+AL41</f>
        <v>0</v>
      </c>
      <c r="AM42" s="250" t="n">
        <f aca="false">AL42+AM41</f>
        <v>0</v>
      </c>
      <c r="AN42" s="250" t="n">
        <f aca="false">AM42+AN41</f>
        <v>0</v>
      </c>
      <c r="AO42" s="250" t="n">
        <f aca="false">AN42+AO41</f>
        <v>0</v>
      </c>
      <c r="AP42" s="250" t="n">
        <f aca="false">AO42+AP41</f>
        <v>0</v>
      </c>
      <c r="AQ42" s="250" t="n">
        <f aca="false">AP42+AQ41</f>
        <v>0</v>
      </c>
      <c r="AR42" s="250" t="n">
        <f aca="false">AQ42+AR41</f>
        <v>0</v>
      </c>
      <c r="AS42" s="250" t="n">
        <f aca="false">AR42+AS41</f>
        <v>0</v>
      </c>
      <c r="AT42" s="250" t="n">
        <f aca="false">AS42+AT41</f>
        <v>0</v>
      </c>
      <c r="AU42" s="250" t="n">
        <f aca="false">AT42+AU41</f>
        <v>0</v>
      </c>
      <c r="AV42" s="250" t="n">
        <f aca="false">AU42+AV41</f>
        <v>0</v>
      </c>
      <c r="AW42" s="250" t="n">
        <f aca="false">AV42+AW41</f>
        <v>0</v>
      </c>
      <c r="AX42" s="250" t="n">
        <f aca="false">AW42+AX41</f>
        <v>0</v>
      </c>
      <c r="AY42" s="250" t="n">
        <f aca="false">AX42+AY41</f>
        <v>0</v>
      </c>
      <c r="AZ42" s="250" t="n">
        <f aca="false">AY42+AZ41</f>
        <v>0</v>
      </c>
      <c r="BA42" s="250" t="n">
        <f aca="false">AZ42+BA41</f>
        <v>0</v>
      </c>
      <c r="BB42" s="250" t="n">
        <f aca="false">BA42+BB41</f>
        <v>0</v>
      </c>
      <c r="BC42" s="250" t="n">
        <f aca="false">BB42+BC41</f>
        <v>0</v>
      </c>
      <c r="BD42" s="250" t="n">
        <f aca="false">BC42+BD41</f>
        <v>0</v>
      </c>
      <c r="BE42" s="250" t="n">
        <f aca="false">BD42+BE41</f>
        <v>0</v>
      </c>
      <c r="BF42" s="250" t="n">
        <f aca="false">BE42+BF41</f>
        <v>0</v>
      </c>
      <c r="BG42" s="250" t="n">
        <f aca="false">BF42+BG41</f>
        <v>0</v>
      </c>
      <c r="BH42" s="250" t="n">
        <f aca="false">BG42+BH41</f>
        <v>0</v>
      </c>
      <c r="BI42" s="250" t="n">
        <f aca="false">BH42+BI41</f>
        <v>0</v>
      </c>
      <c r="BJ42" s="250" t="n">
        <f aca="false">BI42+BJ41</f>
        <v>0</v>
      </c>
      <c r="BK42" s="250" t="n">
        <f aca="false">BJ42+BK41</f>
        <v>0</v>
      </c>
      <c r="BL42" s="250" t="n">
        <f aca="false">BK42+BL41</f>
        <v>0</v>
      </c>
      <c r="BM42" s="250" t="n">
        <f aca="false">BL42+BM41</f>
        <v>0</v>
      </c>
      <c r="BN42" s="250" t="n">
        <f aca="false">BM42+BN41</f>
        <v>0</v>
      </c>
      <c r="BO42" s="250" t="n">
        <f aca="false">BN42+BO41</f>
        <v>0</v>
      </c>
      <c r="BP42" s="250" t="n">
        <f aca="false">BO42+BP41</f>
        <v>0</v>
      </c>
      <c r="BQ42" s="250" t="n">
        <f aca="false">BP42+BQ41</f>
        <v>0</v>
      </c>
      <c r="BR42" s="250" t="n">
        <f aca="false">BQ42+BR41</f>
        <v>0</v>
      </c>
      <c r="BS42" s="250" t="n">
        <f aca="false">BR42+BS41</f>
        <v>0</v>
      </c>
      <c r="BT42" s="250" t="n">
        <f aca="false">BS42+BT41</f>
        <v>0</v>
      </c>
      <c r="BU42" s="250" t="n">
        <f aca="false">BT42+BU41</f>
        <v>0</v>
      </c>
      <c r="BV42" s="250" t="n">
        <f aca="false">BU42+BV41</f>
        <v>0</v>
      </c>
      <c r="BW42" s="250" t="n">
        <f aca="false">BV42+BW41</f>
        <v>0</v>
      </c>
      <c r="BX42" s="250" t="n">
        <f aca="false">BW42+BX41</f>
        <v>0</v>
      </c>
      <c r="BY42" s="250" t="n">
        <f aca="false">BX42+BY41</f>
        <v>-73156</v>
      </c>
      <c r="BZ42" s="250" t="n">
        <f aca="false">BY42+BZ41</f>
        <v>-73156</v>
      </c>
      <c r="CA42" s="250" t="n">
        <f aca="false">BZ42+CA41</f>
        <v>-73156</v>
      </c>
      <c r="CB42" s="250" t="n">
        <f aca="false">CA42+CB41</f>
        <v>-146311</v>
      </c>
      <c r="CC42" s="250" t="n">
        <f aca="false">CB42+CC41</f>
        <v>-146311</v>
      </c>
      <c r="CD42" s="250" t="n">
        <f aca="false">CC42+CD41</f>
        <v>-146311</v>
      </c>
      <c r="CE42" s="250" t="n">
        <f aca="false">CD42+CE41</f>
        <v>-219466</v>
      </c>
      <c r="CF42" s="250" t="n">
        <f aca="false">CE42+CF41</f>
        <v>-219466</v>
      </c>
      <c r="CG42" s="250" t="n">
        <f aca="false">CF42+CG41</f>
        <v>-219466</v>
      </c>
      <c r="CH42" s="25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844</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48" t="s">
        <v>845</v>
      </c>
      <c r="B45" s="248"/>
      <c r="C45" s="249" t="n">
        <f aca="false">C5+C10+C16+C22+C28+C35+C41</f>
        <v>33281.25</v>
      </c>
      <c r="D45" s="249" t="n">
        <f aca="false">D5+D10+D16+D22+D28+D35+D41</f>
        <v>33281.25</v>
      </c>
      <c r="E45" s="249" t="n">
        <f aca="false">E5+E10+E16+E22+E28+E35+E41</f>
        <v>33281.25</v>
      </c>
      <c r="F45" s="249" t="n">
        <f aca="false">F5+F10+F16+F22+F28+F35+F41</f>
        <v>33281.25</v>
      </c>
      <c r="G45" s="249" t="n">
        <f aca="false">G5+G10+G16+G22+G28+G35+G41</f>
        <v>127514</v>
      </c>
      <c r="H45" s="249" t="n">
        <f aca="false">H5+H10+H16+H22+H28+H35+H41</f>
        <v>33281.25</v>
      </c>
      <c r="I45" s="249" t="n">
        <f aca="false">I5+I10+I16+I22+I28+I35+I41</f>
        <v>33281.25</v>
      </c>
      <c r="J45" s="249" t="n">
        <f aca="false">J5+J10+J16+J22+J28+J35+J41</f>
        <v>23906.25</v>
      </c>
      <c r="K45" s="249" t="n">
        <f aca="false">K5+K10+K16+K22+K28+K35+K41</f>
        <v>23906.25</v>
      </c>
      <c r="L45" s="249" t="n">
        <f aca="false">L5+L10+L16+L22+L28+L35+L41</f>
        <v>81251.88</v>
      </c>
      <c r="M45" s="249" t="n">
        <f aca="false">M5+M10+M16+M22+M28+M35+M41</f>
        <v>145799.46</v>
      </c>
      <c r="N45" s="249" t="n">
        <f aca="false">N5+N10+N16+N22+N28+N35+N41</f>
        <v>47590.46</v>
      </c>
      <c r="O45" s="249" t="n">
        <f aca="false">O5+O10+O16+O22+O28+O35+O41</f>
        <v>47590.46</v>
      </c>
      <c r="P45" s="249" t="n">
        <f aca="false">P5+P10+P16+P22+P28+P35+P41</f>
        <v>47590.46</v>
      </c>
      <c r="Q45" s="249" t="n">
        <f aca="false">Q5+Q10+Q16+Q22+Q28+Q35+Q41</f>
        <v>47590.46</v>
      </c>
      <c r="R45" s="249" t="n">
        <f aca="false">R5+R10+R16+R22+R28+R35+R41</f>
        <v>23684.21</v>
      </c>
      <c r="S45" s="249" t="n">
        <f aca="false">S5+S10+S16+S22+S28+S35+S41</f>
        <v>23684.21</v>
      </c>
      <c r="T45" s="249" t="n">
        <f aca="false">T5+T10+T16+T22+T28+T35+T41</f>
        <v>23684.21</v>
      </c>
      <c r="U45" s="249" t="n">
        <f aca="false">U5+U10+U16+U22+U28+U35+U41</f>
        <v>23684.21</v>
      </c>
      <c r="V45" s="249" t="n">
        <f aca="false">V5+V10+V16+V22+V28+V35+V41</f>
        <v>23684.21</v>
      </c>
      <c r="W45" s="249" t="n">
        <f aca="false">W5+W10+W16+W22+W28+W35+W41</f>
        <v>81059.21</v>
      </c>
      <c r="X45" s="249" t="n">
        <f aca="false">X5+X10+X16+X22+X28+X35+X41</f>
        <v>23684.21</v>
      </c>
      <c r="Y45" s="249" t="n">
        <f aca="false">Y5+Y10+Y16+Y22+Y28+Y35+Y41</f>
        <v>23684.21</v>
      </c>
      <c r="Z45" s="249" t="n">
        <f aca="false">Z5+Z10+Z16+Z22+Z28+Z35+Z41</f>
        <v>81059.21</v>
      </c>
      <c r="AA45" s="249" t="n">
        <f aca="false">AA5+AA10+AA16+AA22+AA28+AA35+AA41</f>
        <v>23684.21</v>
      </c>
      <c r="AB45" s="249" t="n">
        <f aca="false">AB5+AB10+AB16+AB22+AB28+AB35+AB41</f>
        <v>23684.21</v>
      </c>
      <c r="AC45" s="249" t="n">
        <f aca="false">AC5+AC10+AC16+AC22+AC28+AC35+AC41</f>
        <v>81059.21</v>
      </c>
      <c r="AD45" s="249" t="n">
        <f aca="false">AD5+AD10+AD16+AD22+AD28+AD35+AD41</f>
        <v>23684.21</v>
      </c>
      <c r="AE45" s="249" t="n">
        <f aca="false">AE5+AE10+AE16+AE22+AE28+AE35+AE41</f>
        <v>12631.58</v>
      </c>
      <c r="AF45" s="249" t="n">
        <f aca="false">AF5+AF10+AF16+AF22+AF28+AF35+AF41</f>
        <v>0</v>
      </c>
      <c r="AG45" s="249" t="n">
        <f aca="false">AG5+AG10+AG16+AG22+AG28+AG35+AG41</f>
        <v>0</v>
      </c>
      <c r="AH45" s="249" t="n">
        <f aca="false">AH5+AH10+AH16+AH22+AH28+AH35+AH41</f>
        <v>0</v>
      </c>
      <c r="AI45" s="249" t="n">
        <f aca="false">AI5+AI10+AI16+AI22+AI28+AI35+AI41</f>
        <v>0</v>
      </c>
      <c r="AJ45" s="249" t="n">
        <f aca="false">AJ5+AJ10+AJ16+AJ22+AJ28+AJ35+AJ41</f>
        <v>0</v>
      </c>
      <c r="AK45" s="249" t="n">
        <f aca="false">AK5+AK10+AK16+AK22+AK28+AK35+AK41</f>
        <v>0</v>
      </c>
      <c r="AL45" s="249" t="n">
        <f aca="false">AL5+AL10+AL16+AL22+AL28+AL35+AL41</f>
        <v>0</v>
      </c>
      <c r="AM45" s="249" t="n">
        <f aca="false">AM5+AM10+AM16+AM22+AM28+AM35+AM41</f>
        <v>0</v>
      </c>
      <c r="AN45" s="249" t="n">
        <f aca="false">AN5+AN10+AN16+AN22+AN28+AN35+AN41</f>
        <v>0</v>
      </c>
      <c r="AO45" s="249" t="n">
        <f aca="false">AO5+AO10+AO16+AO22+AO28+AO35+AO41</f>
        <v>0</v>
      </c>
      <c r="AP45" s="249" t="n">
        <f aca="false">AP5+AP10+AP16+AP22+AP28+AP35+AP41</f>
        <v>0</v>
      </c>
      <c r="AQ45" s="249" t="n">
        <f aca="false">AQ5+AQ10+AQ16+AQ22+AQ28+AQ35+AQ41</f>
        <v>0</v>
      </c>
      <c r="AR45" s="249" t="n">
        <f aca="false">AR5+AR10+AR16+AR22+AR28+AR35+AR41</f>
        <v>0</v>
      </c>
      <c r="AS45" s="249" t="n">
        <f aca="false">AS5+AS10+AS16+AS22+AS28+AS35+AS41</f>
        <v>0</v>
      </c>
      <c r="AT45" s="249" t="n">
        <f aca="false">AT5+AT10+AT16+AT22+AT28+AT35+AT41</f>
        <v>0</v>
      </c>
      <c r="AU45" s="249" t="n">
        <f aca="false">AU5+AU10+AU16+AU22+AU28+AU35+AU41</f>
        <v>0</v>
      </c>
      <c r="AV45" s="249" t="n">
        <f aca="false">AV5+AV10+AV16+AV22+AV28+AV35+AV41</f>
        <v>0</v>
      </c>
      <c r="AW45" s="249" t="n">
        <f aca="false">AW5+AW10+AW16+AW22+AW28+AW35+AW41</f>
        <v>0</v>
      </c>
      <c r="AX45" s="249" t="n">
        <f aca="false">AX5+AX10+AX16+AX22+AX28+AX35+AX41</f>
        <v>0</v>
      </c>
      <c r="AY45" s="249" t="n">
        <f aca="false">AY5+AY10+AY16+AY22+AY28+AY35+AY41</f>
        <v>0</v>
      </c>
      <c r="AZ45" s="249" t="n">
        <f aca="false">AZ5+AZ10+AZ16+AZ22+AZ28+AZ35+AZ41</f>
        <v>0</v>
      </c>
      <c r="BA45" s="249" t="n">
        <f aca="false">BA5+BA10+BA16+BA22+BA28+BA35+BA41</f>
        <v>0</v>
      </c>
      <c r="BB45" s="249" t="n">
        <f aca="false">BB5+BB10+BB16+BB22+BB28+BB35+BB41</f>
        <v>0</v>
      </c>
      <c r="BC45" s="249" t="n">
        <f aca="false">BC5+BC10+BC16+BC22+BC28+BC35+BC41</f>
        <v>0</v>
      </c>
      <c r="BD45" s="249" t="n">
        <f aca="false">BD5+BD10+BD16+BD22+BD28+BD35+BD41</f>
        <v>0</v>
      </c>
      <c r="BE45" s="249" t="n">
        <f aca="false">BE5+BE10+BE16+BE22+BE28+BE35+BE41</f>
        <v>0</v>
      </c>
      <c r="BF45" s="249" t="n">
        <f aca="false">BF5+BF10+BF16+BF22+BF28+BF35+BF41</f>
        <v>0</v>
      </c>
      <c r="BG45" s="249" t="n">
        <f aca="false">BG5+BG10+BG16+BG22+BG28+BG35+BG41</f>
        <v>0</v>
      </c>
      <c r="BH45" s="249" t="n">
        <f aca="false">BH5+BH10+BH16+BH22+BH28+BH35+BH41</f>
        <v>0</v>
      </c>
      <c r="BI45" s="249" t="n">
        <f aca="false">BI5+BI10+BI16+BI22+BI28+BI35+BI41</f>
        <v>0</v>
      </c>
      <c r="BJ45" s="249" t="n">
        <f aca="false">BJ5+BJ10+BJ16+BJ22+BJ28+BJ35+BJ41</f>
        <v>0</v>
      </c>
      <c r="BK45" s="249" t="n">
        <f aca="false">BK5+BK10+BK16+BK22+BK28+BK35+BK41</f>
        <v>0</v>
      </c>
      <c r="BL45" s="249" t="n">
        <f aca="false">BL5+BL10+BL16+BL22+BL28+BL35+BL41</f>
        <v>0</v>
      </c>
      <c r="BM45" s="249" t="n">
        <f aca="false">BM5+BM10+BM16+BM22+BM28+BM35+BM41</f>
        <v>0</v>
      </c>
      <c r="BN45" s="249" t="n">
        <f aca="false">BN5+BN10+BN16+BN22+BN28+BN35+BN41</f>
        <v>0</v>
      </c>
      <c r="BO45" s="249" t="n">
        <f aca="false">BO5+BO10+BO16+BO22+BO28+BO35+BO41</f>
        <v>0</v>
      </c>
      <c r="BP45" s="249" t="n">
        <f aca="false">BP5+BP10+BP16+BP22+BP28+BP35+BP41</f>
        <v>53250.35</v>
      </c>
      <c r="BQ45" s="249" t="n">
        <f aca="false">BQ5+BQ10+BQ16+BQ22+BQ28+BQ35+BQ41</f>
        <v>0</v>
      </c>
      <c r="BR45" s="249" t="n">
        <f aca="false">BR5+BR10+BR16+BR22+BR28+BR35+BR41</f>
        <v>0</v>
      </c>
      <c r="BS45" s="249" t="n">
        <f aca="false">BS5+BS10+BS16+BS22+BS28+BS35+BS41</f>
        <v>67762</v>
      </c>
      <c r="BT45" s="249" t="n">
        <f aca="false">BT5+BT10+BT16+BT22+BT28+BT35+BT41</f>
        <v>0</v>
      </c>
      <c r="BU45" s="249" t="n">
        <f aca="false">BU5+BU10+BU16+BU22+BU28+BU35+BU41</f>
        <v>0</v>
      </c>
      <c r="BV45" s="249" t="n">
        <f aca="false">BV5+BV10+BV16+BV22+BV28+BV35+BV41</f>
        <v>67762</v>
      </c>
      <c r="BW45" s="249" t="n">
        <f aca="false">BW5+BW10+BW16+BW22+BW28+BW35+BW41</f>
        <v>0</v>
      </c>
      <c r="BX45" s="249" t="n">
        <f aca="false">BX5+BX10+BX16+BX22+BX28+BX35+BX41</f>
        <v>0</v>
      </c>
      <c r="BY45" s="249" t="n">
        <f aca="false">BY5+BY10+BY16+BY22+BY28+BY35+BY41</f>
        <v>-5394</v>
      </c>
      <c r="BZ45" s="249" t="n">
        <f aca="false">BZ5+BZ10+BZ16+BZ22+BZ28+BZ35+BZ41</f>
        <v>0</v>
      </c>
      <c r="CA45" s="249" t="n">
        <f aca="false">CA5+CA10+CA16+CA22+CA28+CA35+CA41</f>
        <v>0</v>
      </c>
      <c r="CB45" s="249" t="n">
        <f aca="false">CB5+CB10+CB16+CB22+CB28+CB35+CB41</f>
        <v>3344</v>
      </c>
      <c r="CC45" s="249" t="n">
        <f aca="false">CC5+CC10+CC16+CC22+CC28+CC35+CC41</f>
        <v>0</v>
      </c>
      <c r="CD45" s="249" t="n">
        <f aca="false">CD5+CD10+CD16+CD22+CD28+CD35+CD41</f>
        <v>0</v>
      </c>
      <c r="CE45" s="249" t="n">
        <f aca="false">CE5+CE10+CE16+CE22+CE28+CE35+CE41</f>
        <v>3344</v>
      </c>
      <c r="CF45" s="249" t="n">
        <f aca="false">CF5+CF10+CF16+CF22+CF28+CF35+CF41</f>
        <v>0</v>
      </c>
      <c r="CG45" s="249" t="n">
        <f aca="false">CG5+CG10+CG16+CG22+CG28+CG35+CG41</f>
        <v>0</v>
      </c>
      <c r="CH45" s="249" t="n">
        <f aca="false">CH5+CH10+CH16+CH22+CH28+CH35+CH41</f>
        <v>9952.02660647922</v>
      </c>
    </row>
    <row r="46" customFormat="false" ht="15" hidden="false" customHeight="true" outlineLevel="0" collapsed="false">
      <c r="A46" s="2" t="s">
        <v>846</v>
      </c>
      <c r="B46" s="3"/>
      <c r="C46" s="250" t="n">
        <f aca="false">C45</f>
        <v>33281.25</v>
      </c>
      <c r="D46" s="250" t="n">
        <f aca="false">C46+D45</f>
        <v>66562.5</v>
      </c>
      <c r="E46" s="250" t="n">
        <f aca="false">D46+E45</f>
        <v>99843.75</v>
      </c>
      <c r="F46" s="250" t="n">
        <f aca="false">E46+F45</f>
        <v>133125</v>
      </c>
      <c r="G46" s="250" t="n">
        <f aca="false">F46+G45</f>
        <v>260639</v>
      </c>
      <c r="H46" s="250" t="n">
        <f aca="false">G46+H45</f>
        <v>293920.25</v>
      </c>
      <c r="I46" s="250" t="n">
        <f aca="false">H46+I45</f>
        <v>327201.5</v>
      </c>
      <c r="J46" s="250" t="n">
        <f aca="false">I46+J45</f>
        <v>351107.75</v>
      </c>
      <c r="K46" s="250" t="n">
        <f aca="false">J46+K45</f>
        <v>375014</v>
      </c>
      <c r="L46" s="250" t="n">
        <f aca="false">K46+L45</f>
        <v>456265.88</v>
      </c>
      <c r="M46" s="250" t="n">
        <f aca="false">L46+M45</f>
        <v>602065.34</v>
      </c>
      <c r="N46" s="250" t="n">
        <f aca="false">M46+N45</f>
        <v>649655.8</v>
      </c>
      <c r="O46" s="250" t="n">
        <f aca="false">N46+O45</f>
        <v>697246.26</v>
      </c>
      <c r="P46" s="250" t="n">
        <f aca="false">O46+P45</f>
        <v>744836.72</v>
      </c>
      <c r="Q46" s="250" t="n">
        <f aca="false">P46+Q45</f>
        <v>792427.18</v>
      </c>
      <c r="R46" s="250" t="n">
        <f aca="false">Q46+R45</f>
        <v>816111.39</v>
      </c>
      <c r="S46" s="250" t="n">
        <f aca="false">R46+S45</f>
        <v>839795.6</v>
      </c>
      <c r="T46" s="250" t="n">
        <f aca="false">S46+T45</f>
        <v>863479.81</v>
      </c>
      <c r="U46" s="250" t="n">
        <f aca="false">T46+U45</f>
        <v>887164.02</v>
      </c>
      <c r="V46" s="250" t="n">
        <f aca="false">U46+V45</f>
        <v>910848.23</v>
      </c>
      <c r="W46" s="250" t="n">
        <f aca="false">V46+W45</f>
        <v>991907.44</v>
      </c>
      <c r="X46" s="250" t="n">
        <f aca="false">W46+X45</f>
        <v>1015591.65</v>
      </c>
      <c r="Y46" s="250" t="n">
        <f aca="false">X46+Y45</f>
        <v>1039275.86</v>
      </c>
      <c r="Z46" s="250" t="n">
        <f aca="false">Y46+Z45</f>
        <v>1120335.07</v>
      </c>
      <c r="AA46" s="250" t="n">
        <f aca="false">Z46+AA45</f>
        <v>1144019.28</v>
      </c>
      <c r="AB46" s="250" t="n">
        <f aca="false">AA46+AB45</f>
        <v>1167703.49</v>
      </c>
      <c r="AC46" s="250" t="n">
        <f aca="false">AB46+AC45</f>
        <v>1248762.7</v>
      </c>
      <c r="AD46" s="250" t="n">
        <f aca="false">AC46+AD45</f>
        <v>1272446.91</v>
      </c>
      <c r="AE46" s="250" t="n">
        <f aca="false">AD46+AE45</f>
        <v>1285078.49</v>
      </c>
      <c r="AF46" s="250" t="n">
        <f aca="false">AE46+AF45</f>
        <v>1285078.49</v>
      </c>
      <c r="AG46" s="250" t="n">
        <f aca="false">AF46+AG45</f>
        <v>1285078.49</v>
      </c>
      <c r="AH46" s="250" t="n">
        <f aca="false">AG46+AH45</f>
        <v>1285078.49</v>
      </c>
      <c r="AI46" s="250" t="n">
        <f aca="false">AH46+AI45</f>
        <v>1285078.49</v>
      </c>
      <c r="AJ46" s="250" t="n">
        <f aca="false">AI46+AJ45</f>
        <v>1285078.49</v>
      </c>
      <c r="AK46" s="250" t="n">
        <f aca="false">AJ46+AK45</f>
        <v>1285078.49</v>
      </c>
      <c r="AL46" s="250" t="n">
        <f aca="false">AK46+AL45</f>
        <v>1285078.49</v>
      </c>
      <c r="AM46" s="250" t="n">
        <f aca="false">AL46+AM45</f>
        <v>1285078.49</v>
      </c>
      <c r="AN46" s="250" t="n">
        <f aca="false">AM46+AN45</f>
        <v>1285078.49</v>
      </c>
      <c r="AO46" s="250" t="n">
        <f aca="false">AN46+AO45</f>
        <v>1285078.49</v>
      </c>
      <c r="AP46" s="250" t="n">
        <f aca="false">AO46+AP45</f>
        <v>1285078.49</v>
      </c>
      <c r="AQ46" s="250" t="n">
        <f aca="false">AP46+AQ45</f>
        <v>1285078.49</v>
      </c>
      <c r="AR46" s="250" t="n">
        <f aca="false">AQ46+AR45</f>
        <v>1285078.49</v>
      </c>
      <c r="AS46" s="250" t="n">
        <f aca="false">AR46+AS45</f>
        <v>1285078.49</v>
      </c>
      <c r="AT46" s="250" t="n">
        <f aca="false">AS46+AT45</f>
        <v>1285078.49</v>
      </c>
      <c r="AU46" s="250" t="n">
        <f aca="false">AT46+AU45</f>
        <v>1285078.49</v>
      </c>
      <c r="AV46" s="250" t="n">
        <f aca="false">AU46+AV45</f>
        <v>1285078.49</v>
      </c>
      <c r="AW46" s="250" t="n">
        <f aca="false">AV46+AW45</f>
        <v>1285078.49</v>
      </c>
      <c r="AX46" s="250" t="n">
        <f aca="false">AW46+AX45</f>
        <v>1285078.49</v>
      </c>
      <c r="AY46" s="250" t="n">
        <f aca="false">AX46+AY45</f>
        <v>1285078.49</v>
      </c>
      <c r="AZ46" s="250" t="n">
        <f aca="false">AY46+AZ45</f>
        <v>1285078.49</v>
      </c>
      <c r="BA46" s="250" t="n">
        <f aca="false">AZ46+BA45</f>
        <v>1285078.49</v>
      </c>
      <c r="BB46" s="250" t="n">
        <f aca="false">BA46+BB45</f>
        <v>1285078.49</v>
      </c>
      <c r="BC46" s="250" t="n">
        <f aca="false">BB46+BC45</f>
        <v>1285078.49</v>
      </c>
      <c r="BD46" s="250" t="n">
        <f aca="false">BC46+BD45</f>
        <v>1285078.49</v>
      </c>
      <c r="BE46" s="250" t="n">
        <f aca="false">BD46+BE45</f>
        <v>1285078.49</v>
      </c>
      <c r="BF46" s="250" t="n">
        <f aca="false">BE46+BF45</f>
        <v>1285078.49</v>
      </c>
      <c r="BG46" s="250" t="n">
        <f aca="false">BF46+BG45</f>
        <v>1285078.49</v>
      </c>
      <c r="BH46" s="250" t="n">
        <f aca="false">BG46+BH45</f>
        <v>1285078.49</v>
      </c>
      <c r="BI46" s="250" t="n">
        <f aca="false">BH46+BI45</f>
        <v>1285078.49</v>
      </c>
      <c r="BJ46" s="250" t="n">
        <f aca="false">BI46+BJ45</f>
        <v>1285078.49</v>
      </c>
      <c r="BK46" s="250" t="n">
        <f aca="false">BJ46+BK45</f>
        <v>1285078.49</v>
      </c>
      <c r="BL46" s="250" t="n">
        <f aca="false">BK46+BL45</f>
        <v>1285078.49</v>
      </c>
      <c r="BM46" s="250" t="n">
        <f aca="false">BL46+BM45</f>
        <v>1285078.49</v>
      </c>
      <c r="BN46" s="250" t="n">
        <f aca="false">BM46+BN45</f>
        <v>1285078.49</v>
      </c>
      <c r="BO46" s="250" t="n">
        <f aca="false">BN46+BO45</f>
        <v>1285078.49</v>
      </c>
      <c r="BP46" s="250" t="n">
        <f aca="false">BO46+BP45</f>
        <v>1338328.84</v>
      </c>
      <c r="BQ46" s="250" t="n">
        <f aca="false">BP46+BQ45</f>
        <v>1338328.84</v>
      </c>
      <c r="BR46" s="250" t="n">
        <f aca="false">BQ46+BR45</f>
        <v>1338328.84</v>
      </c>
      <c r="BS46" s="250" t="n">
        <f aca="false">BR46+BS45</f>
        <v>1406090.84</v>
      </c>
      <c r="BT46" s="250" t="n">
        <f aca="false">BS46+BT45</f>
        <v>1406090.84</v>
      </c>
      <c r="BU46" s="250" t="n">
        <f aca="false">BT46+BU45</f>
        <v>1406090.84</v>
      </c>
      <c r="BV46" s="250" t="n">
        <f aca="false">BU46+BV45</f>
        <v>1473852.84</v>
      </c>
      <c r="BW46" s="250" t="n">
        <f aca="false">BV46+BW45</f>
        <v>1473852.84</v>
      </c>
      <c r="BX46" s="250" t="n">
        <f aca="false">BW46+BX45</f>
        <v>1473852.84</v>
      </c>
      <c r="BY46" s="250" t="n">
        <f aca="false">BX46+BY45</f>
        <v>1468458.84</v>
      </c>
      <c r="BZ46" s="250" t="n">
        <f aca="false">BY46+BZ45</f>
        <v>1468458.84</v>
      </c>
      <c r="CA46" s="250" t="n">
        <f aca="false">BZ46+CA45</f>
        <v>1468458.84</v>
      </c>
      <c r="CB46" s="250" t="n">
        <f aca="false">CA46+CB45</f>
        <v>1471802.84</v>
      </c>
      <c r="CC46" s="250" t="n">
        <f aca="false">CB46+CC45</f>
        <v>1471802.84</v>
      </c>
      <c r="CD46" s="250" t="n">
        <f aca="false">CC46+CD45</f>
        <v>1471802.84</v>
      </c>
      <c r="CE46" s="250" t="n">
        <f aca="false">CD46+CE45</f>
        <v>1475146.84</v>
      </c>
      <c r="CF46" s="250" t="n">
        <f aca="false">CE46+CF45</f>
        <v>1475146.84</v>
      </c>
      <c r="CG46" s="250" t="n">
        <f aca="false">CF46+CG45</f>
        <v>1475146.84</v>
      </c>
      <c r="CH46" s="250" t="n">
        <f aca="false">CG46+CH45</f>
        <v>1485098.86660648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847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848</v>
      </c>
      <c r="B49" s="25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849</v>
      </c>
      <c r="B50" s="25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850</v>
      </c>
      <c r="B51" s="25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851</v>
      </c>
      <c r="B52" s="25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852</v>
      </c>
      <c r="B53" s="25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853</v>
      </c>
      <c r="B54" s="25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854</v>
      </c>
      <c r="B55" s="254" t="s">
        <v>855</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856</v>
      </c>
      <c r="B56" s="25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857</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858</v>
      </c>
      <c r="B3" s="4"/>
      <c r="C3" s="4"/>
      <c r="D3" s="4"/>
      <c r="E3" s="4"/>
      <c r="F3" s="4"/>
      <c r="G3" s="4"/>
      <c r="H3" s="3"/>
      <c r="I3" s="3"/>
    </row>
    <row r="4" customFormat="false" ht="15" hidden="false" customHeight="true" outlineLevel="0" collapsed="false">
      <c r="A4" s="23" t="s">
        <v>859</v>
      </c>
      <c r="B4" s="23" t="s">
        <v>860</v>
      </c>
      <c r="C4" s="23" t="s">
        <v>861</v>
      </c>
      <c r="D4" s="23" t="s">
        <v>862</v>
      </c>
      <c r="E4" s="23" t="s">
        <v>863</v>
      </c>
      <c r="F4" s="23" t="s">
        <v>864</v>
      </c>
      <c r="G4" s="23" t="s">
        <v>747</v>
      </c>
      <c r="H4" s="3"/>
      <c r="I4" s="3"/>
    </row>
    <row r="5" customFormat="false" ht="15" hidden="false" customHeight="true" outlineLevel="0" collapsed="false">
      <c r="A5" s="79" t="s">
        <v>865</v>
      </c>
      <c r="B5" s="256" t="n">
        <f aca="false">Assumptions!B4</f>
        <v>0.06</v>
      </c>
      <c r="C5" s="257" t="n">
        <v>0.06</v>
      </c>
      <c r="D5" s="258" t="n">
        <v>0.04</v>
      </c>
      <c r="E5" s="258" t="n">
        <v>0.08</v>
      </c>
      <c r="F5" s="79" t="s">
        <v>866</v>
      </c>
      <c r="G5" s="69" t="s">
        <v>867</v>
      </c>
      <c r="H5" s="3"/>
      <c r="I5" s="3"/>
    </row>
    <row r="6" customFormat="false" ht="15" hidden="false" customHeight="true" outlineLevel="0" collapsed="false">
      <c r="A6" s="79" t="s">
        <v>868</v>
      </c>
      <c r="B6" s="256" t="n">
        <f aca="false">Assumptions!B5</f>
        <v>0.06</v>
      </c>
      <c r="C6" s="257" t="n">
        <v>0.06</v>
      </c>
      <c r="D6" s="258" t="n">
        <v>0.04</v>
      </c>
      <c r="E6" s="258" t="n">
        <v>0.08</v>
      </c>
      <c r="F6" s="79" t="s">
        <v>866</v>
      </c>
      <c r="G6" s="69" t="s">
        <v>867</v>
      </c>
      <c r="H6" s="3"/>
      <c r="I6" s="3"/>
    </row>
    <row r="7" customFormat="false" ht="15" hidden="false" customHeight="true" outlineLevel="0" collapsed="false">
      <c r="A7" s="79" t="s">
        <v>869</v>
      </c>
      <c r="B7" s="256" t="n">
        <f aca="false">Assumptions!B6</f>
        <v>0.02</v>
      </c>
      <c r="C7" s="257" t="n">
        <v>0.02</v>
      </c>
      <c r="D7" s="258" t="n">
        <v>0.01</v>
      </c>
      <c r="E7" s="258" t="n">
        <v>0.03</v>
      </c>
      <c r="F7" s="79" t="s">
        <v>866</v>
      </c>
      <c r="G7" s="69" t="s">
        <v>870</v>
      </c>
      <c r="H7" s="3"/>
      <c r="I7" s="3"/>
    </row>
    <row r="8" customFormat="false" ht="15" hidden="false" customHeight="true" outlineLevel="0" collapsed="false">
      <c r="A8" s="79"/>
      <c r="B8" s="256"/>
      <c r="C8" s="257"/>
      <c r="D8" s="258"/>
      <c r="E8" s="258"/>
      <c r="F8" s="79"/>
      <c r="G8" s="69"/>
      <c r="H8" s="3"/>
      <c r="I8" s="3"/>
    </row>
    <row r="9" customFormat="false" ht="15" hidden="false" customHeight="true" outlineLevel="0" collapsed="false">
      <c r="A9" s="79" t="s">
        <v>871</v>
      </c>
      <c r="B9" s="256" t="n">
        <f aca="false">Assumptions!B26</f>
        <v>0.02</v>
      </c>
      <c r="C9" s="257" t="n">
        <v>0.02</v>
      </c>
      <c r="D9" s="258" t="n">
        <v>0</v>
      </c>
      <c r="E9" s="258" t="n">
        <v>0.04</v>
      </c>
      <c r="F9" s="79" t="s">
        <v>866</v>
      </c>
      <c r="G9" s="69" t="s">
        <v>872</v>
      </c>
      <c r="H9" s="3"/>
      <c r="I9" s="3"/>
    </row>
    <row r="10" customFormat="false" ht="15" hidden="false" customHeight="true" outlineLevel="0" collapsed="false">
      <c r="A10" s="79" t="s">
        <v>873</v>
      </c>
      <c r="B10" s="256" t="n">
        <f aca="false">Assumptions!B15</f>
        <v>0.015</v>
      </c>
      <c r="C10" s="257" t="n">
        <v>0.015</v>
      </c>
      <c r="D10" s="258" t="n">
        <v>0.01</v>
      </c>
      <c r="E10" s="258" t="n">
        <v>0.02</v>
      </c>
      <c r="F10" s="79" t="s">
        <v>866</v>
      </c>
      <c r="G10" s="69" t="s">
        <v>874</v>
      </c>
      <c r="H10" s="3"/>
      <c r="I10" s="3"/>
    </row>
    <row r="11" customFormat="false" ht="15" hidden="false" customHeight="true" outlineLevel="0" collapsed="false">
      <c r="A11" s="79" t="s">
        <v>875</v>
      </c>
      <c r="B11" s="256" t="n">
        <f aca="false">Assumptions!B16</f>
        <v>0.0074</v>
      </c>
      <c r="C11" s="257" t="n">
        <v>0.0074</v>
      </c>
      <c r="D11" s="258" t="n">
        <v>0.005</v>
      </c>
      <c r="E11" s="258" t="n">
        <v>0.015</v>
      </c>
      <c r="F11" s="79" t="s">
        <v>866</v>
      </c>
      <c r="G11" s="69" t="s">
        <v>876</v>
      </c>
      <c r="H11" s="3"/>
      <c r="I11" s="3"/>
    </row>
    <row r="12" customFormat="false" ht="15" hidden="false" customHeight="true" outlineLevel="0" collapsed="false">
      <c r="A12" s="79" t="s">
        <v>877</v>
      </c>
      <c r="B12" s="256" t="n">
        <f aca="false">Assumptions!B17</f>
        <v>0.0325</v>
      </c>
      <c r="C12" s="257" t="n">
        <v>0.0325</v>
      </c>
      <c r="D12" s="258" t="n">
        <v>0.02</v>
      </c>
      <c r="E12" s="258" t="n">
        <v>0.05</v>
      </c>
      <c r="F12" s="79" t="s">
        <v>866</v>
      </c>
      <c r="G12" s="69" t="s">
        <v>878</v>
      </c>
      <c r="H12" s="3"/>
      <c r="I12" s="3"/>
    </row>
    <row r="13" customFormat="false" ht="15" hidden="false" customHeight="true" outlineLevel="0" collapsed="false">
      <c r="A13" s="79" t="s">
        <v>879</v>
      </c>
      <c r="B13" s="256" t="n">
        <f aca="false">Assumptions!B34</f>
        <v>0.15</v>
      </c>
      <c r="C13" s="257" t="n">
        <v>0.15</v>
      </c>
      <c r="D13" s="258" t="n">
        <v>0.1</v>
      </c>
      <c r="E13" s="258" t="n">
        <v>0.2</v>
      </c>
      <c r="F13" s="79" t="s">
        <v>866</v>
      </c>
      <c r="G13" s="69" t="s">
        <v>880</v>
      </c>
      <c r="H13" s="3"/>
      <c r="I13" s="3"/>
    </row>
    <row r="14" customFormat="false" ht="15" hidden="false" customHeight="true" outlineLevel="0" collapsed="false">
      <c r="A14" s="79" t="s">
        <v>881</v>
      </c>
      <c r="B14" s="247" t="n">
        <f aca="false">Assumptions!B36</f>
        <v>112000</v>
      </c>
      <c r="C14" s="259" t="n">
        <v>130000</v>
      </c>
      <c r="D14" s="260" t="n">
        <v>100000</v>
      </c>
      <c r="E14" s="260" t="n">
        <v>175000</v>
      </c>
      <c r="F14" s="79" t="s">
        <v>882</v>
      </c>
      <c r="G14" s="69" t="s">
        <v>883</v>
      </c>
      <c r="H14" s="3"/>
      <c r="I14" s="3"/>
    </row>
    <row r="15" customFormat="false" ht="15" hidden="false" customHeight="true" outlineLevel="0" collapsed="false">
      <c r="A15" s="79" t="s">
        <v>884</v>
      </c>
      <c r="B15" s="256" t="n">
        <f aca="false">Assumptions!B58</f>
        <v>0.15</v>
      </c>
      <c r="C15" s="257" t="n">
        <v>0.15</v>
      </c>
      <c r="D15" s="258" t="n">
        <v>0.1</v>
      </c>
      <c r="E15" s="258" t="n">
        <v>0.2</v>
      </c>
      <c r="F15" s="79" t="s">
        <v>866</v>
      </c>
      <c r="G15" s="69" t="s">
        <v>885</v>
      </c>
      <c r="H15" s="3"/>
      <c r="I15" s="3"/>
    </row>
    <row r="16" customFormat="false" ht="15" hidden="false" customHeight="true" outlineLevel="0" collapsed="false">
      <c r="A16" s="79" t="s">
        <v>886</v>
      </c>
      <c r="B16" s="256" t="n">
        <f aca="false">Assumptions!B47</f>
        <v>0.01</v>
      </c>
      <c r="C16" s="257" t="n">
        <v>0.01</v>
      </c>
      <c r="D16" s="258" t="n">
        <v>0.005</v>
      </c>
      <c r="E16" s="258" t="n">
        <v>0.02</v>
      </c>
      <c r="F16" s="79" t="s">
        <v>866</v>
      </c>
      <c r="G16" s="69" t="s">
        <v>887</v>
      </c>
      <c r="H16" s="3"/>
      <c r="I16" s="3"/>
    </row>
    <row r="17" customFormat="false" ht="15" hidden="false" customHeight="true" outlineLevel="0" collapsed="false">
      <c r="A17" s="79" t="s">
        <v>888</v>
      </c>
      <c r="B17" s="256" t="n">
        <f aca="false">Assumptions!B48</f>
        <v>0.03</v>
      </c>
      <c r="C17" s="257" t="n">
        <v>0.03</v>
      </c>
      <c r="D17" s="258" t="n">
        <v>0.02</v>
      </c>
      <c r="E17" s="258" t="n">
        <v>0.05</v>
      </c>
      <c r="F17" s="79" t="s">
        <v>866</v>
      </c>
      <c r="G17" s="69" t="s">
        <v>889</v>
      </c>
      <c r="H17" s="3"/>
      <c r="I17" s="3"/>
    </row>
    <row r="18" customFormat="false" ht="15" hidden="false" customHeight="true" outlineLevel="0" collapsed="false">
      <c r="A18" s="79" t="s">
        <v>890</v>
      </c>
      <c r="B18" s="261" t="n">
        <v>10</v>
      </c>
      <c r="C18" s="262" t="n">
        <v>10</v>
      </c>
      <c r="D18" s="263" t="n">
        <v>5</v>
      </c>
      <c r="E18" s="263" t="n">
        <v>15</v>
      </c>
      <c r="F18" s="79" t="s">
        <v>891</v>
      </c>
      <c r="G18" s="69" t="s">
        <v>892</v>
      </c>
      <c r="H18" s="3"/>
      <c r="I18" s="3"/>
    </row>
    <row r="19" customFormat="false" ht="15" hidden="false" customHeight="true" outlineLevel="0" collapsed="false">
      <c r="A19" s="79" t="s">
        <v>893</v>
      </c>
      <c r="B19" s="264" t="n">
        <v>18700</v>
      </c>
      <c r="C19" s="259" t="n">
        <v>18700</v>
      </c>
      <c r="D19" s="260" t="n">
        <v>15000</v>
      </c>
      <c r="E19" s="260" t="n">
        <v>25000</v>
      </c>
      <c r="F19" s="79" t="s">
        <v>882</v>
      </c>
      <c r="G19" s="69" t="s">
        <v>894</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895</v>
      </c>
      <c r="B22" s="4"/>
      <c r="C22" s="4"/>
      <c r="D22" s="4"/>
      <c r="E22" s="4"/>
      <c r="F22" s="4"/>
      <c r="G22" s="4"/>
      <c r="H22" s="3"/>
      <c r="I22" s="3"/>
    </row>
    <row r="23" customFormat="false" ht="15" hidden="false" customHeight="true" outlineLevel="0" collapsed="false">
      <c r="A23" s="23" t="s">
        <v>546</v>
      </c>
      <c r="B23" s="23" t="s">
        <v>552</v>
      </c>
      <c r="C23" s="23" t="s">
        <v>896</v>
      </c>
      <c r="D23" s="23" t="s">
        <v>557</v>
      </c>
      <c r="E23" s="23" t="s">
        <v>549</v>
      </c>
      <c r="F23" s="23" t="s">
        <v>897</v>
      </c>
      <c r="G23" s="23" t="s">
        <v>556</v>
      </c>
      <c r="H23" s="3"/>
      <c r="I23" s="3"/>
    </row>
    <row r="24" customFormat="false" ht="15" hidden="false" customHeight="true" outlineLevel="0" collapsed="false">
      <c r="A24" s="79" t="s">
        <v>7</v>
      </c>
      <c r="B24" s="265" t="str">
        <f aca="false">Projects!$G$2</f>
        <v>Yes</v>
      </c>
      <c r="C24" s="264" t="n">
        <v>5321971</v>
      </c>
      <c r="D24" s="79" t="s">
        <v>898</v>
      </c>
      <c r="E24" s="79" t="s">
        <v>899</v>
      </c>
      <c r="F24" s="79" t="s">
        <v>567</v>
      </c>
      <c r="G24" s="79" t="s">
        <v>567</v>
      </c>
      <c r="H24" s="3"/>
      <c r="I24" s="3"/>
    </row>
    <row r="25" customFormat="false" ht="15" hidden="false" customHeight="true" outlineLevel="0" collapsed="false">
      <c r="A25" s="79" t="s">
        <v>8</v>
      </c>
      <c r="B25" s="265" t="str">
        <f aca="false">Projects!$G$3</f>
        <v>Yes</v>
      </c>
      <c r="C25" s="264" t="n">
        <v>19982132</v>
      </c>
      <c r="D25" s="79" t="s">
        <v>898</v>
      </c>
      <c r="E25" s="79" t="s">
        <v>900</v>
      </c>
      <c r="F25" s="79" t="s">
        <v>567</v>
      </c>
      <c r="G25" s="79" t="s">
        <v>567</v>
      </c>
      <c r="H25" s="3"/>
      <c r="I25" s="3"/>
    </row>
    <row r="26" customFormat="false" ht="15" hidden="false" customHeight="true" outlineLevel="0" collapsed="false">
      <c r="A26" s="79" t="s">
        <v>9</v>
      </c>
      <c r="B26" s="265" t="str">
        <f aca="false">Projects!$G$4</f>
        <v>Yes</v>
      </c>
      <c r="C26" s="264" t="n">
        <v>11673185</v>
      </c>
      <c r="D26" s="79" t="s">
        <v>901</v>
      </c>
      <c r="E26" s="79" t="s">
        <v>902</v>
      </c>
      <c r="F26" s="79" t="s">
        <v>567</v>
      </c>
      <c r="G26" s="79" t="s">
        <v>568</v>
      </c>
      <c r="H26" s="3"/>
      <c r="I26" s="3"/>
    </row>
    <row r="27" customFormat="false" ht="15" hidden="false" customHeight="true" outlineLevel="0" collapsed="false">
      <c r="A27" s="79" t="s">
        <v>10</v>
      </c>
      <c r="B27" s="265" t="str">
        <f aca="false">Projects!$G$5</f>
        <v>Yes</v>
      </c>
      <c r="C27" s="264" t="n">
        <v>13492534</v>
      </c>
      <c r="D27" s="79" t="s">
        <v>901</v>
      </c>
      <c r="E27" s="79" t="s">
        <v>902</v>
      </c>
      <c r="F27" s="79" t="s">
        <v>567</v>
      </c>
      <c r="G27" s="79" t="s">
        <v>568</v>
      </c>
      <c r="H27" s="3"/>
      <c r="I27" s="3"/>
    </row>
    <row r="28" customFormat="false" ht="15" hidden="false" customHeight="true" outlineLevel="0" collapsed="false">
      <c r="A28" s="79" t="s">
        <v>11</v>
      </c>
      <c r="B28" s="265" t="str">
        <f aca="false">Projects!$G$6</f>
        <v>Yes</v>
      </c>
      <c r="C28" s="264" t="n">
        <v>4052747</v>
      </c>
      <c r="D28" s="79" t="s">
        <v>901</v>
      </c>
      <c r="E28" s="79" t="s">
        <v>903</v>
      </c>
      <c r="F28" s="79" t="s">
        <v>567</v>
      </c>
      <c r="G28" s="79" t="s">
        <v>568</v>
      </c>
      <c r="H28" s="3"/>
      <c r="I28" s="3"/>
    </row>
    <row r="29" customFormat="false" ht="15" hidden="false" customHeight="true" outlineLevel="0" collapsed="false">
      <c r="A29" s="79" t="s">
        <v>12</v>
      </c>
      <c r="B29" s="265" t="str">
        <f aca="false">Projects!$G$7</f>
        <v>Yes</v>
      </c>
      <c r="C29" s="264" t="n">
        <v>42794765</v>
      </c>
      <c r="D29" s="79" t="s">
        <v>898</v>
      </c>
      <c r="E29" s="79" t="s">
        <v>904</v>
      </c>
      <c r="F29" s="79" t="s">
        <v>568</v>
      </c>
      <c r="G29" s="79" t="s">
        <v>568</v>
      </c>
      <c r="H29" s="3"/>
      <c r="I29" s="3"/>
    </row>
    <row r="30" customFormat="false" ht="15" hidden="false" customHeight="true" outlineLevel="0" collapsed="false">
      <c r="A30" s="79" t="s">
        <v>13</v>
      </c>
      <c r="B30" s="265" t="str">
        <f aca="false">Projects!$G$8</f>
        <v>Yes</v>
      </c>
      <c r="C30" s="264" t="n">
        <v>12993776.05</v>
      </c>
      <c r="D30" s="79" t="s">
        <v>901</v>
      </c>
      <c r="E30" s="79" t="s">
        <v>903</v>
      </c>
      <c r="F30" s="79" t="s">
        <v>567</v>
      </c>
      <c r="G30" s="79" t="s">
        <v>568</v>
      </c>
      <c r="H30" s="3"/>
      <c r="I30" s="3"/>
    </row>
    <row r="31" customFormat="false" ht="15" hidden="false" customHeight="true" outlineLevel="0" collapsed="false">
      <c r="A31" s="79" t="s">
        <v>14</v>
      </c>
      <c r="B31" s="265" t="str">
        <f aca="false">Projects!$G$9</f>
        <v>Yes</v>
      </c>
      <c r="C31" s="264" t="n">
        <v>14337010.8</v>
      </c>
      <c r="D31" s="79" t="s">
        <v>901</v>
      </c>
      <c r="E31" s="79" t="s">
        <v>905</v>
      </c>
      <c r="F31" s="79" t="s">
        <v>567</v>
      </c>
      <c r="G31" s="79" t="s">
        <v>568</v>
      </c>
      <c r="H31" s="3"/>
      <c r="I31" s="3"/>
    </row>
    <row r="32" customFormat="false" ht="15" hidden="false" customHeight="true" outlineLevel="0" collapsed="false">
      <c r="A32" s="79" t="s">
        <v>15</v>
      </c>
      <c r="B32" s="265" t="str">
        <f aca="false">Projects!$G$10</f>
        <v>Yes</v>
      </c>
      <c r="C32" s="264" t="n">
        <v>21263405</v>
      </c>
      <c r="D32" s="79" t="s">
        <v>901</v>
      </c>
      <c r="E32" s="79" t="s">
        <v>903</v>
      </c>
      <c r="F32" s="79" t="s">
        <v>567</v>
      </c>
      <c r="G32" s="79" t="s">
        <v>568</v>
      </c>
      <c r="H32" s="3"/>
      <c r="I32" s="3"/>
    </row>
    <row r="33" customFormat="false" ht="15" hidden="false" customHeight="true" outlineLevel="0" collapsed="false">
      <c r="A33" s="79" t="s">
        <v>16</v>
      </c>
      <c r="B33" s="265" t="str">
        <f aca="false">Projects!$G$11</f>
        <v>Yes</v>
      </c>
      <c r="C33" s="264" t="n">
        <v>9577109</v>
      </c>
      <c r="D33" s="79" t="s">
        <v>898</v>
      </c>
      <c r="E33" s="79" t="s">
        <v>903</v>
      </c>
      <c r="F33" s="79" t="s">
        <v>568</v>
      </c>
      <c r="G33" s="79" t="s">
        <v>567</v>
      </c>
      <c r="H33" s="3"/>
      <c r="I33" s="3"/>
    </row>
    <row r="34" customFormat="false" ht="15" hidden="false" customHeight="true" outlineLevel="0" collapsed="false">
      <c r="A34" s="79" t="s">
        <v>17</v>
      </c>
      <c r="B34" s="265" t="str">
        <f aca="false">Projects!$G$12</f>
        <v>Yes</v>
      </c>
      <c r="C34" s="264" t="n">
        <v>7545203</v>
      </c>
      <c r="D34" s="79" t="s">
        <v>898</v>
      </c>
      <c r="E34" s="79" t="s">
        <v>903</v>
      </c>
      <c r="F34" s="79" t="s">
        <v>568</v>
      </c>
      <c r="G34" s="79" t="s">
        <v>567</v>
      </c>
      <c r="H34" s="3"/>
      <c r="I34" s="3"/>
    </row>
    <row r="35" customFormat="false" ht="15" hidden="false" customHeight="true" outlineLevel="0" collapsed="false">
      <c r="A35" s="79" t="s">
        <v>18</v>
      </c>
      <c r="B35" s="265" t="str">
        <f aca="false">Projects!$G$13</f>
        <v>Yes</v>
      </c>
      <c r="C35" s="264" t="n">
        <v>45266770</v>
      </c>
      <c r="D35" s="79" t="s">
        <v>898</v>
      </c>
      <c r="E35" s="79" t="s">
        <v>905</v>
      </c>
      <c r="F35" s="79" t="s">
        <v>568</v>
      </c>
      <c r="G35" s="79" t="s">
        <v>568</v>
      </c>
      <c r="H35" s="3"/>
      <c r="I35" s="3"/>
    </row>
    <row r="36" customFormat="false" ht="15" hidden="false" customHeight="true" outlineLevel="0" collapsed="false">
      <c r="A36" s="79" t="s">
        <v>19</v>
      </c>
      <c r="B36" s="265" t="str">
        <f aca="false">Projects!$G$14</f>
        <v>Yes</v>
      </c>
      <c r="C36" s="264" t="n">
        <v>41354632</v>
      </c>
      <c r="D36" s="79" t="s">
        <v>898</v>
      </c>
      <c r="E36" s="79" t="s">
        <v>905</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906</v>
      </c>
      <c r="B39" s="4"/>
      <c r="C39" s="4"/>
      <c r="D39" s="4"/>
      <c r="E39" s="4"/>
      <c r="F39" s="4"/>
      <c r="G39" s="4"/>
      <c r="H39" s="4"/>
      <c r="I39" s="4"/>
    </row>
    <row r="40" customFormat="false" ht="15" hidden="false" customHeight="true" outlineLevel="0" collapsed="false">
      <c r="A40" s="23" t="s">
        <v>907</v>
      </c>
      <c r="B40" s="266" t="s">
        <v>268</v>
      </c>
      <c r="C40" s="266" t="s">
        <v>269</v>
      </c>
      <c r="D40" s="266" t="s">
        <v>270</v>
      </c>
      <c r="E40" s="266" t="s">
        <v>271</v>
      </c>
      <c r="F40" s="266" t="s">
        <v>272</v>
      </c>
      <c r="G40" s="266" t="s">
        <v>273</v>
      </c>
      <c r="H40" s="266" t="s">
        <v>274</v>
      </c>
      <c r="I40" s="266" t="s">
        <v>275</v>
      </c>
    </row>
    <row r="41" customFormat="false" ht="15" hidden="false" customHeight="true" outlineLevel="0" collapsed="false">
      <c r="A41" s="248" t="s">
        <v>908</v>
      </c>
      <c r="B41" s="249" t="n">
        <f aca="false">'Annual Summary'!B7</f>
        <v>56964925.6938817</v>
      </c>
      <c r="C41" s="249" t="n">
        <f aca="false">'Annual Summary'!C7</f>
        <v>114422609.867874</v>
      </c>
      <c r="D41" s="249" t="n">
        <f aca="false">'Annual Summary'!D7</f>
        <v>122348447.804248</v>
      </c>
      <c r="E41" s="249" t="n">
        <f aca="false">'Annual Summary'!E7</f>
        <v>40094438.7517072</v>
      </c>
      <c r="F41" s="249" t="n">
        <f aca="false">'Annual Summary'!F7</f>
        <v>13258749.920152</v>
      </c>
      <c r="G41" s="249" t="n">
        <f aca="false">'Annual Summary'!G7</f>
        <v>0</v>
      </c>
      <c r="H41" s="249" t="n">
        <f aca="false">'Annual Summary'!H7</f>
        <v>0</v>
      </c>
      <c r="I41" s="249" t="n">
        <f aca="false">'Annual Summary'!I7</f>
        <v>0</v>
      </c>
    </row>
    <row r="42" customFormat="false" ht="15" hidden="false" customHeight="true" outlineLevel="0" collapsed="false">
      <c r="A42" s="42" t="s">
        <v>98</v>
      </c>
      <c r="B42" s="267" t="n">
        <f aca="false">'Annual Summary'!B22</f>
        <v>1896243.83604232</v>
      </c>
      <c r="C42" s="267" t="n">
        <f aca="false">'Annual Summary'!C22</f>
        <v>4352716.76010685</v>
      </c>
      <c r="D42" s="267" t="n">
        <f aca="false">'Annual Summary'!D22</f>
        <v>6489649.4307129</v>
      </c>
      <c r="E42" s="267" t="n">
        <f aca="false">'Annual Summary'!E22</f>
        <v>344295.52710434</v>
      </c>
      <c r="F42" s="267" t="n">
        <f aca="false">'Annual Summary'!F22</f>
        <v>-2936383.27425205</v>
      </c>
      <c r="G42" s="267" t="n">
        <f aca="false">'Annual Summary'!G22</f>
        <v>-5017967.1108389</v>
      </c>
      <c r="H42" s="267" t="n">
        <f aca="false">'Annual Summary'!H22</f>
        <v>-5118326.45305568</v>
      </c>
      <c r="I42" s="267" t="n">
        <f aca="false">'Annual Summary'!I22</f>
        <v>-5220692.98211679</v>
      </c>
    </row>
    <row r="43" customFormat="false" ht="15" hidden="false" customHeight="true" outlineLevel="0" collapsed="false">
      <c r="A43" s="79" t="s">
        <v>909</v>
      </c>
      <c r="B43" s="256" t="n">
        <f aca="false">'Annual Summary'!B23</f>
        <v>0.0332879190650114</v>
      </c>
      <c r="C43" s="256" t="n">
        <f aca="false">'Annual Summary'!C23</f>
        <v>0.0380407051118047</v>
      </c>
      <c r="D43" s="256" t="n">
        <f aca="false">'Annual Summary'!D23</f>
        <v>0.0530423519642527</v>
      </c>
      <c r="E43" s="256" t="n">
        <f aca="false">'Annual Summary'!E23</f>
        <v>0.00858711426880068</v>
      </c>
      <c r="F43" s="256" t="n">
        <f aca="false">'Annual Summary'!F23</f>
        <v>-0.221467581177396</v>
      </c>
      <c r="G43" s="256" t="n">
        <f aca="false">'Annual Summary'!G23</f>
        <v>0</v>
      </c>
      <c r="H43" s="256" t="n">
        <f aca="false">'Annual Summary'!H23</f>
        <v>0</v>
      </c>
      <c r="I43" s="25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48" t="s">
        <v>100</v>
      </c>
      <c r="B45" s="249" t="n">
        <f aca="false">'Annual Summary'!B25</f>
        <v>582524.39</v>
      </c>
      <c r="C45" s="249" t="n">
        <f aca="false">'Annual Summary'!C25</f>
        <v>1351293.34514286</v>
      </c>
      <c r="D45" s="249" t="n">
        <f aca="false">'Annual Summary'!D25</f>
        <v>2019553.7145</v>
      </c>
      <c r="E45" s="249" t="n">
        <f aca="false">'Annual Summary'!E25</f>
        <v>1495059.0065</v>
      </c>
      <c r="F45" s="249" t="n">
        <f aca="false">'Annual Summary'!F25</f>
        <v>1826812.922</v>
      </c>
      <c r="G45" s="249" t="n">
        <f aca="false">'Annual Summary'!G25</f>
        <v>890965.433</v>
      </c>
      <c r="H45" s="249" t="n">
        <f aca="false">'Annual Summary'!H25</f>
        <v>819993</v>
      </c>
      <c r="I45" s="249" t="n">
        <f aca="false">'Annual Summary'!I25</f>
        <v>2310160</v>
      </c>
    </row>
    <row r="46" customFormat="false" ht="15" hidden="false" customHeight="true" outlineLevel="0" collapsed="false">
      <c r="A46" s="42" t="s">
        <v>138</v>
      </c>
      <c r="B46" s="267" t="n">
        <f aca="false">'Annual Summary'!B27</f>
        <v>-1787582.20333333</v>
      </c>
      <c r="C46" s="267" t="n">
        <f aca="false">'Annual Summary'!C27</f>
        <v>-1187654.27885714</v>
      </c>
      <c r="D46" s="267" t="n">
        <f aca="false">'Annual Summary'!D27</f>
        <v>-271925.27958</v>
      </c>
      <c r="E46" s="267" t="n">
        <f aca="false">'Annual Summary'!E27</f>
        <v>-1004414.5674616</v>
      </c>
      <c r="F46" s="267" t="n">
        <f aca="false">'Annual Summary'!F27</f>
        <v>-1831774.82344083</v>
      </c>
      <c r="G46" s="267" t="n">
        <f aca="false">'Annual Summary'!G27</f>
        <v>-1962645.57734965</v>
      </c>
      <c r="H46" s="267" t="n">
        <f aca="false">'Annual Summary'!H27</f>
        <v>-2186902.62755664</v>
      </c>
      <c r="I46" s="267"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7" t="n">
        <f aca="false">'Annual Summary'!B29</f>
        <v>108661.63270899</v>
      </c>
      <c r="C48" s="267" t="n">
        <f aca="false">'Annual Summary'!C29</f>
        <v>3165062.48124971</v>
      </c>
      <c r="D48" s="267" t="n">
        <f aca="false">'Annual Summary'!D29</f>
        <v>6217724.1511329</v>
      </c>
      <c r="E48" s="267" t="n">
        <f aca="false">'Annual Summary'!E29</f>
        <v>-660119.04035726</v>
      </c>
      <c r="F48" s="267" t="n">
        <f aca="false">'Annual Summary'!F29</f>
        <v>-4768158.09769289</v>
      </c>
      <c r="G48" s="267" t="n">
        <f aca="false">'Annual Summary'!G29</f>
        <v>-6980612.68818855</v>
      </c>
      <c r="H48" s="267" t="n">
        <f aca="false">'Annual Summary'!H29</f>
        <v>-7305229.08061232</v>
      </c>
      <c r="I48" s="267"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68" t="s">
        <v>910</v>
      </c>
      <c r="B50" s="269" t="n">
        <f aca="false">'Annual Summary'!B51</f>
        <v>1536778.41866102</v>
      </c>
      <c r="C50" s="269" t="n">
        <f aca="false">'Annual Summary'!C51</f>
        <v>1945413.80334272</v>
      </c>
      <c r="D50" s="269" t="n">
        <f aca="false">'Annual Summary'!D51</f>
        <v>7638372.78730815</v>
      </c>
      <c r="E50" s="269" t="n">
        <f aca="false">'Annual Summary'!E51</f>
        <v>7900712.22051522</v>
      </c>
      <c r="F50" s="269" t="n">
        <f aca="false">'Annual Summary'!F51</f>
        <v>3439990.42251601</v>
      </c>
      <c r="G50" s="269" t="n">
        <f aca="false">'Annual Summary'!G51</f>
        <v>-3540622.26567254</v>
      </c>
      <c r="H50" s="269" t="n">
        <f aca="false">'Annual Summary'!H51</f>
        <v>-10845851.3462849</v>
      </c>
      <c r="I50" s="269" t="n">
        <f aca="false">'Annual Summary'!I51</f>
        <v>-17086421.421903</v>
      </c>
    </row>
    <row r="51" customFormat="false" ht="15" hidden="false" customHeight="true" outlineLevel="0" collapsed="false">
      <c r="A51" s="268" t="s">
        <v>188</v>
      </c>
      <c r="B51" s="269" t="n">
        <f aca="false">'Annual Summary'!B48</f>
        <v>1475177.95199436</v>
      </c>
      <c r="C51" s="269" t="n">
        <f aca="false">'Annual Summary'!C48</f>
        <v>4415467.61553319</v>
      </c>
      <c r="D51" s="269" t="n">
        <f aca="false">'Annual Summary'!D48</f>
        <v>11282333.3093572</v>
      </c>
      <c r="E51" s="269" t="n">
        <f aca="false">'Annual Summary'!E48</f>
        <v>12799087.3100259</v>
      </c>
      <c r="F51" s="269" t="n">
        <f aca="false">'Annual Summary'!F48</f>
        <v>10170140.3354675</v>
      </c>
      <c r="G51" s="269" t="n">
        <f aca="false">'Annual Summary'!G48</f>
        <v>5152173.22462861</v>
      </c>
      <c r="H51" s="269" t="n">
        <f aca="false">'Annual Summary'!H48</f>
        <v>33846.7715729334</v>
      </c>
      <c r="I51" s="269" t="n">
        <f aca="false">'Annual Summary'!I48</f>
        <v>-5186846.21054386</v>
      </c>
    </row>
    <row r="52" customFormat="false" ht="15" hidden="false" customHeight="true" outlineLevel="0" collapsed="false">
      <c r="A52" s="268" t="s">
        <v>195</v>
      </c>
      <c r="B52" s="269" t="n">
        <f aca="false">'Annual Summary'!B49</f>
        <v>61600.4666666667</v>
      </c>
      <c r="C52" s="269" t="n">
        <f aca="false">'Annual Summary'!C49</f>
        <v>-2470053.81219048</v>
      </c>
      <c r="D52" s="269" t="n">
        <f aca="false">'Annual Summary'!D49</f>
        <v>-3643960.52204908</v>
      </c>
      <c r="E52" s="269" t="n">
        <f aca="false">'Annual Summary'!E49</f>
        <v>-4898375.08951068</v>
      </c>
      <c r="F52" s="269" t="n">
        <f aca="false">'Annual Summary'!F49</f>
        <v>-6730149.91295151</v>
      </c>
      <c r="G52" s="269" t="n">
        <f aca="false">'Annual Summary'!G49</f>
        <v>-8692795.49030116</v>
      </c>
      <c r="H52" s="269" t="n">
        <f aca="false">'Annual Summary'!H49</f>
        <v>-10879698.1178578</v>
      </c>
      <c r="I52" s="269" t="n">
        <f aca="false">'Annual Summary'!I49</f>
        <v>-11899575.2113591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7" t="n">
        <f aca="false">'Annual Summary'!B46</f>
        <v>93841157.4299332</v>
      </c>
      <c r="C54" s="247" t="n">
        <f aca="false">'Annual Summary'!C46</f>
        <v>101419054.905732</v>
      </c>
      <c r="D54" s="247" t="n">
        <f aca="false">'Annual Summary'!D46</f>
        <v>48459510.652485</v>
      </c>
      <c r="E54" s="247" t="n">
        <f aca="false">'Annual Summary'!E46</f>
        <v>13258584.501624</v>
      </c>
      <c r="F54" s="247" t="n">
        <f aca="false">'Annual Summary'!F46</f>
        <v>0</v>
      </c>
      <c r="G54" s="247" t="n">
        <f aca="false">'Annual Summary'!G46</f>
        <v>0</v>
      </c>
      <c r="H54" s="247" t="n">
        <f aca="false">'Annual Summary'!H46</f>
        <v>0</v>
      </c>
      <c r="I54" s="247" t="n">
        <f aca="false">'Annual Summary'!I46</f>
        <v>0</v>
      </c>
    </row>
    <row r="55" customFormat="false" ht="15" hidden="false" customHeight="true" outlineLevel="0" collapsed="false">
      <c r="A55" s="79" t="s">
        <v>911</v>
      </c>
      <c r="B55" s="247" t="n">
        <f aca="false">'Annual Summary'!B44</f>
        <v>2378399.92018311</v>
      </c>
      <c r="C55" s="247" t="n">
        <f aca="false">'Annual Summary'!C44</f>
        <v>1714451.09866009</v>
      </c>
      <c r="D55" s="247" t="n">
        <f aca="false">'Annual Summary'!D44</f>
        <v>1035128.51554915</v>
      </c>
      <c r="E55" s="247" t="n">
        <f aca="false">'Annual Summary'!E44</f>
        <v>1199352.08415979</v>
      </c>
      <c r="F55" s="247" t="n">
        <f aca="false">'Annual Summary'!F44</f>
        <v>975331.495449082</v>
      </c>
      <c r="G55" s="247" t="n">
        <f aca="false">'Annual Summary'!G44</f>
        <v>820735.28594806</v>
      </c>
      <c r="H55" s="247" t="n">
        <f aca="false">'Annual Summary'!H44</f>
        <v>621470.381107174</v>
      </c>
      <c r="I55" s="247"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912</v>
      </c>
      <c r="B58" s="4"/>
      <c r="C58" s="4"/>
      <c r="D58" s="4"/>
      <c r="E58" s="4"/>
      <c r="F58" s="4"/>
      <c r="G58" s="4"/>
      <c r="H58" s="3"/>
      <c r="I58" s="3"/>
    </row>
    <row r="59" customFormat="false" ht="15" hidden="false" customHeight="true" outlineLevel="0" collapsed="false">
      <c r="A59" s="69" t="s">
        <v>913</v>
      </c>
      <c r="B59" s="3"/>
      <c r="C59" s="3"/>
      <c r="D59" s="3"/>
      <c r="E59" s="3"/>
      <c r="F59" s="3"/>
      <c r="G59" s="3"/>
      <c r="H59" s="3"/>
      <c r="I59" s="3"/>
    </row>
    <row r="60" customFormat="false" ht="15" hidden="false" customHeight="true" outlineLevel="0" collapsed="false">
      <c r="A60" s="270" t="s">
        <v>914</v>
      </c>
      <c r="B60" s="271" t="n">
        <v>0.07</v>
      </c>
      <c r="C60" s="271" t="n">
        <v>0.08</v>
      </c>
      <c r="D60" s="271" t="n">
        <v>0.092</v>
      </c>
      <c r="E60" s="271" t="n">
        <v>0.1</v>
      </c>
      <c r="F60" s="271" t="n">
        <v>0.12</v>
      </c>
      <c r="G60" s="3"/>
      <c r="H60" s="3"/>
      <c r="I60" s="3"/>
    </row>
    <row r="61" customFormat="false" ht="15" hidden="false" customHeight="true" outlineLevel="0" collapsed="false">
      <c r="A61" s="272" t="n">
        <v>0.1</v>
      </c>
      <c r="B61" s="260" t="n">
        <v>21535794</v>
      </c>
      <c r="C61" s="260" t="n">
        <v>21353287</v>
      </c>
      <c r="D61" s="260" t="n">
        <v>21138321</v>
      </c>
      <c r="E61" s="260" t="n">
        <v>20997399</v>
      </c>
      <c r="F61" s="260" t="n">
        <v>20653180</v>
      </c>
      <c r="G61" s="3"/>
      <c r="H61" s="3"/>
      <c r="I61" s="3"/>
    </row>
    <row r="62" customFormat="false" ht="15" hidden="false" customHeight="true" outlineLevel="0" collapsed="false">
      <c r="A62" s="272" t="n">
        <v>0.12</v>
      </c>
      <c r="B62" s="260" t="n">
        <v>25408618</v>
      </c>
      <c r="C62" s="260" t="n">
        <v>25196879</v>
      </c>
      <c r="D62" s="260" t="n">
        <v>24947405</v>
      </c>
      <c r="E62" s="260" t="n">
        <v>24783816</v>
      </c>
      <c r="F62" s="260" t="n">
        <v>24384077</v>
      </c>
      <c r="G62" s="3"/>
      <c r="H62" s="3"/>
      <c r="I62" s="3"/>
    </row>
    <row r="63" customFormat="false" ht="15" hidden="false" customHeight="true" outlineLevel="0" collapsed="false">
      <c r="A63" s="272" t="n">
        <v>0.14</v>
      </c>
      <c r="B63" s="260" t="n">
        <v>29153414</v>
      </c>
      <c r="C63" s="260" t="n">
        <v>28914451</v>
      </c>
      <c r="D63" s="273" t="n">
        <v>28632817</v>
      </c>
      <c r="E63" s="260" t="n">
        <v>28448089</v>
      </c>
      <c r="F63" s="260" t="n">
        <v>27996532</v>
      </c>
      <c r="G63" s="3"/>
      <c r="H63" s="3"/>
      <c r="I63" s="3"/>
    </row>
    <row r="64" customFormat="false" ht="15" hidden="false" customHeight="true" outlineLevel="0" collapsed="false">
      <c r="A64" s="272" t="n">
        <v>0.16</v>
      </c>
      <c r="B64" s="260" t="n">
        <v>32776428</v>
      </c>
      <c r="C64" s="260" t="n">
        <v>32512102</v>
      </c>
      <c r="D64" s="260" t="n">
        <v>32200484</v>
      </c>
      <c r="E64" s="260" t="n">
        <v>31996037</v>
      </c>
      <c r="F64" s="260" t="n">
        <v>31496099</v>
      </c>
      <c r="G64" s="3"/>
      <c r="H64" s="3"/>
      <c r="I64" s="3"/>
    </row>
    <row r="65" customFormat="false" ht="15" hidden="false" customHeight="true" outlineLevel="0" collapsed="false">
      <c r="A65" s="272" t="n">
        <v>0.18</v>
      </c>
      <c r="B65" s="260" t="n">
        <v>36283506</v>
      </c>
      <c r="C65" s="260" t="n">
        <v>35995542</v>
      </c>
      <c r="D65" s="260" t="n">
        <v>35655961</v>
      </c>
      <c r="E65" s="260" t="n">
        <v>35433111</v>
      </c>
      <c r="F65" s="26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915</v>
      </c>
      <c r="B68" s="4"/>
      <c r="C68" s="4"/>
      <c r="D68" s="4"/>
      <c r="E68" s="4"/>
      <c r="F68" s="4"/>
      <c r="G68" s="3"/>
      <c r="H68" s="3"/>
      <c r="I68" s="3"/>
    </row>
    <row r="69" customFormat="false" ht="15" hidden="false" customHeight="true" outlineLevel="0" collapsed="false">
      <c r="A69" s="23" t="s">
        <v>916</v>
      </c>
      <c r="B69" s="23" t="s">
        <v>917</v>
      </c>
      <c r="C69" s="23" t="s">
        <v>918</v>
      </c>
      <c r="D69" s="23" t="s">
        <v>919</v>
      </c>
      <c r="E69" s="23" t="s">
        <v>920</v>
      </c>
      <c r="F69" s="23" t="s">
        <v>921</v>
      </c>
      <c r="G69" s="3"/>
      <c r="H69" s="3"/>
      <c r="I69" s="3"/>
    </row>
    <row r="70" customFormat="false" ht="15" hidden="false" customHeight="true" outlineLevel="0" collapsed="false">
      <c r="A70" s="79" t="s">
        <v>922</v>
      </c>
      <c r="B70" s="264" t="n">
        <f aca="false">'Annual Summary'!B48</f>
        <v>1475177.95199436</v>
      </c>
      <c r="C70" s="260" t="n">
        <f aca="false">'Annual Summary'!C48</f>
        <v>4415467.61553319</v>
      </c>
      <c r="D70" s="260" t="n">
        <f aca="false">'Annual Summary'!E48</f>
        <v>12799087.3100259</v>
      </c>
      <c r="E70" s="260" t="n">
        <f aca="false">'Annual Summary'!G48</f>
        <v>5152173.22462861</v>
      </c>
      <c r="F70" s="260" t="n">
        <f aca="false">'Annual Summary'!I48</f>
        <v>-5186846.21054386</v>
      </c>
      <c r="G70" s="3"/>
      <c r="H70" s="3"/>
      <c r="I70" s="3"/>
    </row>
    <row r="71" customFormat="false" ht="15" hidden="false" customHeight="true" outlineLevel="0" collapsed="false">
      <c r="A71" s="79" t="s">
        <v>923</v>
      </c>
      <c r="B71" s="264" t="n">
        <f aca="false">'Annual Summary'!B49</f>
        <v>61600.4666666667</v>
      </c>
      <c r="C71" s="260" t="n">
        <f aca="false">'Annual Summary'!C49</f>
        <v>-2470053.81219048</v>
      </c>
      <c r="D71" s="260" t="n">
        <f aca="false">'Annual Summary'!E49</f>
        <v>-4898375.08951068</v>
      </c>
      <c r="E71" s="260" t="n">
        <f aca="false">'Annual Summary'!G49</f>
        <v>-8692795.49030116</v>
      </c>
      <c r="F71" s="260" t="n">
        <f aca="false">'Annual Summary'!I49</f>
        <v>-11899575.2113591</v>
      </c>
      <c r="G71" s="3"/>
      <c r="H71" s="3"/>
      <c r="I71" s="3"/>
    </row>
    <row r="72" customFormat="false" ht="15" hidden="false" customHeight="true" outlineLevel="0" collapsed="false">
      <c r="A72" s="268" t="s">
        <v>924</v>
      </c>
      <c r="B72" s="274" t="n">
        <f aca="false">'Annual Summary'!B51</f>
        <v>1536778.41866102</v>
      </c>
      <c r="C72" s="275" t="n">
        <f aca="false">'Annual Summary'!C51</f>
        <v>1945413.80334272</v>
      </c>
      <c r="D72" s="275" t="n">
        <f aca="false">'Annual Summary'!E51</f>
        <v>7900712.22051522</v>
      </c>
      <c r="E72" s="275" t="n">
        <f aca="false">'Annual Summary'!G51</f>
        <v>-3540622.26567254</v>
      </c>
      <c r="F72" s="275" t="n">
        <f aca="false">'Annual Summary'!I51</f>
        <v>-17086421.421903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925</v>
      </c>
      <c r="B75" s="4"/>
      <c r="C75" s="4"/>
      <c r="D75" s="4"/>
      <c r="E75" s="4"/>
      <c r="F75" s="4"/>
      <c r="G75" s="3"/>
      <c r="H75" s="3"/>
      <c r="I75" s="3"/>
    </row>
    <row r="76" customFormat="false" ht="15" hidden="false" customHeight="true" outlineLevel="0" collapsed="false">
      <c r="A76" s="23" t="s">
        <v>546</v>
      </c>
      <c r="B76" s="23" t="s">
        <v>926</v>
      </c>
      <c r="C76" s="23" t="s">
        <v>927</v>
      </c>
      <c r="D76" s="23" t="s">
        <v>928</v>
      </c>
      <c r="E76" s="23" t="s">
        <v>929</v>
      </c>
      <c r="F76" s="23" t="s">
        <v>930</v>
      </c>
      <c r="G76" s="3"/>
      <c r="H76" s="3"/>
      <c r="I76" s="3"/>
    </row>
    <row r="77" customFormat="false" ht="15" hidden="false" customHeight="true" outlineLevel="0" collapsed="false">
      <c r="A77" s="79" t="s">
        <v>16</v>
      </c>
      <c r="B77" s="252" t="n">
        <v>95771</v>
      </c>
      <c r="C77" s="252" t="n">
        <v>60000</v>
      </c>
      <c r="D77" s="252" t="n">
        <v>0</v>
      </c>
      <c r="E77" s="250" t="n">
        <v>155771</v>
      </c>
      <c r="F77" s="69" t="s">
        <v>931</v>
      </c>
      <c r="G77" s="3"/>
      <c r="H77" s="3"/>
      <c r="I77" s="3"/>
    </row>
    <row r="78" customFormat="false" ht="15" hidden="false" customHeight="true" outlineLevel="0" collapsed="false">
      <c r="A78" s="79" t="s">
        <v>17</v>
      </c>
      <c r="B78" s="252" t="n">
        <v>75452</v>
      </c>
      <c r="C78" s="252" t="n">
        <v>60000</v>
      </c>
      <c r="D78" s="252" t="n">
        <v>0</v>
      </c>
      <c r="E78" s="250" t="n">
        <v>135452</v>
      </c>
      <c r="F78" s="69" t="s">
        <v>931</v>
      </c>
      <c r="G78" s="3"/>
      <c r="H78" s="3"/>
      <c r="I78" s="3"/>
    </row>
    <row r="79" customFormat="false" ht="15" hidden="false" customHeight="true" outlineLevel="0" collapsed="false">
      <c r="A79" s="79" t="s">
        <v>12</v>
      </c>
      <c r="B79" s="252" t="n">
        <v>579684</v>
      </c>
      <c r="C79" s="252" t="n">
        <v>150000</v>
      </c>
      <c r="D79" s="252" t="n">
        <v>0</v>
      </c>
      <c r="E79" s="250" t="n">
        <v>729684</v>
      </c>
      <c r="F79" s="69" t="s">
        <v>932</v>
      </c>
      <c r="G79" s="3"/>
      <c r="H79" s="3"/>
      <c r="I79" s="3"/>
    </row>
    <row r="80" customFormat="false" ht="15" hidden="false" customHeight="true" outlineLevel="0" collapsed="false">
      <c r="A80" s="79" t="s">
        <v>18</v>
      </c>
      <c r="B80" s="252" t="n">
        <v>602668</v>
      </c>
      <c r="C80" s="252" t="n">
        <v>150000</v>
      </c>
      <c r="D80" s="252" t="n">
        <v>1450000</v>
      </c>
      <c r="E80" s="250" t="n">
        <v>752668</v>
      </c>
      <c r="F80" s="69" t="s">
        <v>932</v>
      </c>
      <c r="G80" s="3"/>
      <c r="H80" s="3"/>
      <c r="I80" s="3"/>
    </row>
    <row r="81" customFormat="false" ht="15" hidden="false" customHeight="true" outlineLevel="0" collapsed="false">
      <c r="A81" s="79" t="s">
        <v>19</v>
      </c>
      <c r="B81" s="252" t="n">
        <v>563546</v>
      </c>
      <c r="C81" s="252" t="n">
        <v>150000</v>
      </c>
      <c r="D81" s="252" t="n">
        <v>0</v>
      </c>
      <c r="E81" s="250" t="n">
        <v>713546</v>
      </c>
      <c r="F81" s="69" t="s">
        <v>933</v>
      </c>
      <c r="G81" s="3"/>
      <c r="H81" s="3"/>
      <c r="I81" s="3"/>
    </row>
    <row r="82" customFormat="false" ht="15" hidden="false" customHeight="true" outlineLevel="0" collapsed="false">
      <c r="A82" s="248" t="s">
        <v>535</v>
      </c>
      <c r="B82" s="249" t="n">
        <v>1917121</v>
      </c>
      <c r="C82" s="249" t="n">
        <v>570000</v>
      </c>
      <c r="D82" s="249" t="n">
        <v>1450000</v>
      </c>
      <c r="E82" s="249" t="n">
        <v>2487121</v>
      </c>
      <c r="F82" s="24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934</v>
      </c>
      <c r="B85" s="4"/>
      <c r="C85" s="4"/>
      <c r="D85" s="4"/>
      <c r="E85" s="4"/>
      <c r="F85" s="4"/>
      <c r="G85" s="4"/>
      <c r="H85" s="3"/>
      <c r="I85" s="3"/>
    </row>
    <row r="86" customFormat="false" ht="15" hidden="false" customHeight="true" outlineLevel="0" collapsed="false">
      <c r="A86" s="79" t="s">
        <v>935</v>
      </c>
      <c r="B86" s="264" t="n">
        <v>86621402</v>
      </c>
      <c r="C86" s="3"/>
      <c r="D86" s="3"/>
      <c r="E86" s="3"/>
      <c r="F86" s="3"/>
      <c r="G86" s="3"/>
      <c r="H86" s="3"/>
      <c r="I86" s="3"/>
    </row>
    <row r="87" customFormat="false" ht="15" hidden="false" customHeight="true" outlineLevel="0" collapsed="false">
      <c r="A87" s="79" t="s">
        <v>936</v>
      </c>
      <c r="B87" s="276" t="n">
        <v>0.0325</v>
      </c>
      <c r="C87" s="3"/>
      <c r="D87" s="3"/>
      <c r="E87" s="3"/>
      <c r="F87" s="3"/>
      <c r="G87" s="3"/>
      <c r="H87" s="3"/>
      <c r="I87" s="3"/>
    </row>
    <row r="88" customFormat="false" ht="15" hidden="false" customHeight="true" outlineLevel="0" collapsed="false">
      <c r="A88" s="79" t="s">
        <v>937</v>
      </c>
      <c r="B88" s="257"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1" t="s">
        <v>938</v>
      </c>
      <c r="B90" s="252" t="n">
        <v>0</v>
      </c>
      <c r="C90" s="252" t="n">
        <v>-956261</v>
      </c>
      <c r="D90" s="252" t="n">
        <v>-1465718</v>
      </c>
      <c r="E90" s="252" t="n">
        <v>-967911</v>
      </c>
      <c r="F90" s="252" t="n">
        <v>-3389890</v>
      </c>
      <c r="G90" s="3"/>
      <c r="H90" s="3"/>
      <c r="I90" s="3"/>
    </row>
    <row r="91" customFormat="false" ht="15" hidden="false" customHeight="true" outlineLevel="0" collapsed="false">
      <c r="A91" s="265" t="s">
        <v>939</v>
      </c>
      <c r="B91" s="247" t="n">
        <v>0</v>
      </c>
      <c r="C91" s="247" t="n">
        <v>-441351</v>
      </c>
      <c r="D91" s="247" t="n">
        <v>-676485</v>
      </c>
      <c r="E91" s="247" t="n">
        <v>-446728</v>
      </c>
      <c r="F91" s="247" t="n">
        <v>-1564564</v>
      </c>
      <c r="G91" s="3"/>
      <c r="H91" s="3"/>
      <c r="I91" s="3"/>
    </row>
    <row r="92" customFormat="false" ht="15" hidden="false" customHeight="true" outlineLevel="0" collapsed="false">
      <c r="A92" s="248" t="s">
        <v>940</v>
      </c>
      <c r="B92" s="249" t="n">
        <v>0</v>
      </c>
      <c r="C92" s="249" t="n">
        <v>514910</v>
      </c>
      <c r="D92" s="249" t="n">
        <v>789233</v>
      </c>
      <c r="E92" s="249" t="n">
        <v>521183</v>
      </c>
      <c r="F92" s="24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941</v>
      </c>
      <c r="B95" s="4"/>
      <c r="C95" s="4"/>
      <c r="D95" s="4"/>
      <c r="E95" s="4"/>
      <c r="F95" s="4"/>
      <c r="G95" s="4"/>
      <c r="H95" s="3"/>
      <c r="I95" s="3"/>
    </row>
    <row r="96" customFormat="false" ht="15" hidden="false" customHeight="true" outlineLevel="0" collapsed="false">
      <c r="A96" s="69" t="s">
        <v>942</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943</v>
      </c>
      <c r="B98" s="260" t="n">
        <f aca="false">'Annual Summary'!B46</f>
        <v>93841157.4299332</v>
      </c>
      <c r="C98" s="260" t="n">
        <f aca="false">'Annual Summary'!C46</f>
        <v>101419054.905732</v>
      </c>
      <c r="D98" s="260" t="n">
        <f aca="false">'Annual Summary'!D46</f>
        <v>48459510.652485</v>
      </c>
      <c r="E98" s="260" t="n">
        <f aca="false">'Annual Summary'!E46</f>
        <v>13258584.501624</v>
      </c>
      <c r="F98" s="3"/>
      <c r="G98" s="3"/>
      <c r="H98" s="3"/>
      <c r="I98" s="3"/>
    </row>
    <row r="99" customFormat="false" ht="15" hidden="false" customHeight="true" outlineLevel="0" collapsed="false">
      <c r="A99" s="251" t="s">
        <v>944</v>
      </c>
      <c r="B99" s="252" t="n">
        <f aca="false">B98*0.025</f>
        <v>2346028.93574833</v>
      </c>
      <c r="C99" s="252" t="n">
        <f aca="false">C98*0.025</f>
        <v>2535476.3726433</v>
      </c>
      <c r="D99" s="252" t="n">
        <f aca="false">D98*0.025</f>
        <v>1211487.76631213</v>
      </c>
      <c r="E99" s="252" t="n">
        <f aca="false">E98*0.025</f>
        <v>331464.6125406</v>
      </c>
      <c r="F99" s="3"/>
      <c r="G99" s="3"/>
      <c r="H99" s="3"/>
      <c r="I99" s="3"/>
    </row>
    <row r="100" customFormat="false" ht="15" hidden="false" customHeight="true" outlineLevel="0" collapsed="false">
      <c r="A100" s="79" t="s">
        <v>945</v>
      </c>
      <c r="B100" s="260" t="n">
        <f aca="false">'Annual Summary'!B51</f>
        <v>1536778.41866102</v>
      </c>
      <c r="C100" s="260" t="n">
        <f aca="false">'Annual Summary'!C51</f>
        <v>1945413.80334272</v>
      </c>
      <c r="D100" s="260" t="n">
        <f aca="false">'Annual Summary'!D51</f>
        <v>7638372.78730815</v>
      </c>
      <c r="E100" s="260" t="n">
        <f aca="false">'Annual Summary'!E51</f>
        <v>7900712.22051522</v>
      </c>
      <c r="F100" s="3"/>
      <c r="G100" s="3"/>
      <c r="H100" s="3"/>
      <c r="I100" s="3"/>
    </row>
    <row r="101" customFormat="false" ht="15" hidden="false" customHeight="true" outlineLevel="0" collapsed="false">
      <c r="A101" s="79" t="s">
        <v>946</v>
      </c>
      <c r="B101" s="260" t="n">
        <f aca="false">'Annual Summary'!B22*0.05</f>
        <v>94812.1918021162</v>
      </c>
      <c r="C101" s="260" t="n">
        <f aca="false">'Annual Summary'!C22*0.05</f>
        <v>217635.838005342</v>
      </c>
      <c r="D101" s="260" t="n">
        <f aca="false">'Annual Summary'!D22*0.05</f>
        <v>324482.471535645</v>
      </c>
      <c r="E101" s="260" t="n">
        <f aca="false">'Annual Summary'!E22*0.05</f>
        <v>17214.776355217</v>
      </c>
      <c r="F101" s="3"/>
      <c r="G101" s="3"/>
      <c r="H101" s="3"/>
      <c r="I101" s="3"/>
    </row>
    <row r="102" customFormat="false" ht="15" hidden="false" customHeight="true" outlineLevel="0" collapsed="false">
      <c r="A102" s="79" t="s">
        <v>947</v>
      </c>
      <c r="B102" s="260" t="n">
        <f aca="false">B100+B101</f>
        <v>1631590.61046314</v>
      </c>
      <c r="C102" s="260" t="n">
        <f aca="false">C100+C101</f>
        <v>2163049.64134806</v>
      </c>
      <c r="D102" s="260" t="n">
        <f aca="false">D100+D101</f>
        <v>7962855.25884379</v>
      </c>
      <c r="E102" s="260" t="n">
        <f aca="false">E100+E101</f>
        <v>7917926.99687043</v>
      </c>
      <c r="F102" s="3"/>
      <c r="G102" s="3"/>
      <c r="H102" s="3"/>
      <c r="I102" s="3"/>
    </row>
    <row r="103" customFormat="false" ht="15" hidden="false" customHeight="true" outlineLevel="0" collapsed="false">
      <c r="A103" s="248" t="s">
        <v>948</v>
      </c>
      <c r="B103" s="249" t="n">
        <f aca="false">B102-B99</f>
        <v>-714438.32528519</v>
      </c>
      <c r="C103" s="249" t="n">
        <f aca="false">C102-C99</f>
        <v>-372426.731295242</v>
      </c>
      <c r="D103" s="249" t="n">
        <f aca="false">D102-D99</f>
        <v>6751367.49253167</v>
      </c>
      <c r="E103" s="249" t="n">
        <f aca="false">E102-E99</f>
        <v>7586462.38432983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949</v>
      </c>
      <c r="B106" s="4"/>
      <c r="C106" s="4"/>
      <c r="D106" s="4"/>
      <c r="E106" s="4"/>
      <c r="F106" s="4"/>
      <c r="G106" s="4"/>
      <c r="H106" s="3"/>
      <c r="I106" s="3"/>
    </row>
    <row r="107" customFormat="false" ht="15" hidden="false" customHeight="true" outlineLevel="0" collapsed="false">
      <c r="A107" s="79" t="s">
        <v>950</v>
      </c>
      <c r="B107" s="264" t="n">
        <v>15179956</v>
      </c>
      <c r="C107" s="3"/>
      <c r="D107" s="3"/>
      <c r="E107" s="3"/>
      <c r="F107" s="3"/>
      <c r="G107" s="3"/>
      <c r="H107" s="3"/>
      <c r="I107" s="3"/>
    </row>
    <row r="108" customFormat="false" ht="15" hidden="false" customHeight="true" outlineLevel="0" collapsed="false">
      <c r="A108" s="79" t="s">
        <v>951</v>
      </c>
      <c r="B108" s="276" t="n">
        <v>0.1136</v>
      </c>
      <c r="C108" s="3"/>
      <c r="D108" s="3"/>
      <c r="E108" s="3"/>
      <c r="F108" s="3"/>
      <c r="G108" s="3"/>
      <c r="H108" s="3"/>
      <c r="I108" s="3"/>
    </row>
    <row r="109" customFormat="false" ht="15" hidden="false" customHeight="true" outlineLevel="0" collapsed="false">
      <c r="A109" s="79" t="s">
        <v>952</v>
      </c>
      <c r="B109" s="250" t="n">
        <v>1724443</v>
      </c>
      <c r="C109" s="3"/>
      <c r="D109" s="3"/>
      <c r="E109" s="3"/>
      <c r="F109" s="3"/>
      <c r="G109" s="3"/>
      <c r="H109" s="3"/>
      <c r="I109" s="3"/>
    </row>
    <row r="110" customFormat="false" ht="15" hidden="false" customHeight="true" outlineLevel="0" collapsed="false">
      <c r="A110" s="79" t="s">
        <v>953</v>
      </c>
      <c r="B110" s="277" t="n">
        <v>3</v>
      </c>
      <c r="C110" s="3"/>
      <c r="D110" s="3"/>
      <c r="E110" s="3"/>
      <c r="F110" s="3"/>
      <c r="G110" s="3"/>
      <c r="H110" s="3"/>
      <c r="I110" s="3"/>
    </row>
    <row r="111" customFormat="false" ht="15" hidden="false" customHeight="true" outlineLevel="0" collapsed="false">
      <c r="A111" s="248" t="s">
        <v>954</v>
      </c>
      <c r="B111" s="249" t="n">
        <v>45539868</v>
      </c>
      <c r="C111" s="248"/>
      <c r="D111" s="248"/>
      <c r="E111" s="248"/>
      <c r="F111" s="24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955</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956</v>
      </c>
      <c r="B115" s="260" t="n">
        <v>0</v>
      </c>
      <c r="C115" s="260" t="n">
        <v>1896887</v>
      </c>
      <c r="D115" s="260" t="n">
        <v>1379554</v>
      </c>
      <c r="E115" s="260" t="n">
        <v>172444</v>
      </c>
      <c r="F115" s="250" t="n">
        <v>3448885</v>
      </c>
      <c r="G115" s="3"/>
      <c r="H115" s="3"/>
      <c r="I115" s="3"/>
    </row>
    <row r="116" customFormat="false" ht="15" hidden="false" customHeight="true" outlineLevel="0" collapsed="false">
      <c r="A116" s="79" t="s">
        <v>957</v>
      </c>
      <c r="B116" s="260" t="n">
        <v>0</v>
      </c>
      <c r="C116" s="260" t="n">
        <v>603555</v>
      </c>
      <c r="D116" s="260" t="n">
        <v>948444</v>
      </c>
      <c r="E116" s="260" t="n">
        <v>172444</v>
      </c>
      <c r="F116" s="250" t="n">
        <v>1724443</v>
      </c>
      <c r="G116" s="3"/>
      <c r="H116" s="3"/>
      <c r="I116" s="3"/>
    </row>
    <row r="117" customFormat="false" ht="15" hidden="false" customHeight="true" outlineLevel="0" collapsed="false">
      <c r="A117" s="248" t="s">
        <v>958</v>
      </c>
      <c r="B117" s="249" t="n">
        <v>0</v>
      </c>
      <c r="C117" s="249" t="n">
        <v>2500442</v>
      </c>
      <c r="D117" s="249" t="n">
        <v>2327998</v>
      </c>
      <c r="E117" s="249" t="n">
        <v>344888</v>
      </c>
      <c r="F117" s="24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959</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960</v>
      </c>
      <c r="B122" s="4"/>
      <c r="C122" s="4"/>
      <c r="D122" s="4"/>
      <c r="E122" s="4"/>
      <c r="F122" s="4"/>
      <c r="G122" s="4"/>
      <c r="H122" s="3"/>
      <c r="I122" s="3"/>
    </row>
    <row r="123" customFormat="false" ht="15" hidden="false" customHeight="true" outlineLevel="0" collapsed="false">
      <c r="A123" s="69" t="s">
        <v>961</v>
      </c>
      <c r="B123" s="3"/>
      <c r="C123" s="3"/>
      <c r="D123" s="3"/>
      <c r="E123" s="3"/>
      <c r="F123" s="3"/>
      <c r="G123" s="3"/>
      <c r="H123" s="3"/>
      <c r="I123" s="3"/>
    </row>
    <row r="124" customFormat="false" ht="15" hidden="false" customHeight="true" outlineLevel="0" collapsed="false">
      <c r="A124" s="23"/>
      <c r="B124" s="23" t="s">
        <v>962</v>
      </c>
      <c r="C124" s="23" t="s">
        <v>963</v>
      </c>
      <c r="D124" s="23" t="s">
        <v>747</v>
      </c>
      <c r="E124" s="3"/>
      <c r="F124" s="3"/>
      <c r="G124" s="3"/>
      <c r="H124" s="3"/>
      <c r="I124" s="3"/>
    </row>
    <row r="125" customFormat="false" ht="15" hidden="false" customHeight="true" outlineLevel="0" collapsed="false">
      <c r="A125" s="79" t="s">
        <v>964</v>
      </c>
      <c r="B125" s="264" t="n">
        <v>1450000</v>
      </c>
      <c r="C125" s="278" t="s">
        <v>965</v>
      </c>
      <c r="D125" s="69" t="s">
        <v>966</v>
      </c>
      <c r="E125" s="3"/>
      <c r="F125" s="3"/>
      <c r="G125" s="3"/>
      <c r="H125" s="3"/>
      <c r="I125" s="3"/>
    </row>
    <row r="126" customFormat="false" ht="15" hidden="false" customHeight="true" outlineLevel="0" collapsed="false">
      <c r="A126" s="79" t="s">
        <v>967</v>
      </c>
      <c r="B126" s="252" t="n">
        <v>-1450000</v>
      </c>
      <c r="C126" s="278" t="s">
        <v>968</v>
      </c>
      <c r="D126" s="69" t="s">
        <v>969</v>
      </c>
      <c r="E126" s="3"/>
      <c r="F126" s="3"/>
      <c r="G126" s="3"/>
      <c r="H126" s="3"/>
      <c r="I126" s="3"/>
    </row>
    <row r="127" customFormat="false" ht="15" hidden="false" customHeight="true" outlineLevel="0" collapsed="false">
      <c r="A127" s="79" t="s">
        <v>970</v>
      </c>
      <c r="B127" s="3"/>
      <c r="C127" s="278" t="s">
        <v>971</v>
      </c>
      <c r="D127" s="69" t="s">
        <v>972</v>
      </c>
      <c r="E127" s="3"/>
      <c r="F127" s="3"/>
      <c r="G127" s="3"/>
      <c r="H127" s="3"/>
      <c r="I127" s="3"/>
    </row>
    <row r="128" customFormat="false" ht="15" hidden="false" customHeight="true" outlineLevel="0" collapsed="false">
      <c r="A128" s="248" t="s">
        <v>973</v>
      </c>
      <c r="B128" s="249" t="n">
        <v>0</v>
      </c>
      <c r="C128" s="248" t="s">
        <v>974</v>
      </c>
      <c r="D128" s="248" t="s">
        <v>975</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976</v>
      </c>
      <c r="B130" s="279" t="n">
        <v>362885</v>
      </c>
      <c r="C130" s="278" t="s">
        <v>977</v>
      </c>
      <c r="D130" s="69" t="s">
        <v>978</v>
      </c>
      <c r="E130" s="3"/>
      <c r="F130" s="3"/>
      <c r="G130" s="3"/>
      <c r="H130" s="3"/>
      <c r="I130" s="3"/>
    </row>
    <row r="131" customFormat="false" ht="15" hidden="false" customHeight="true" outlineLevel="0" collapsed="false">
      <c r="A131" s="248" t="s">
        <v>979</v>
      </c>
      <c r="B131" s="249" t="n">
        <v>1812885</v>
      </c>
      <c r="C131" s="248" t="s">
        <v>980</v>
      </c>
      <c r="D131" s="248" t="s">
        <v>981</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982</v>
      </c>
      <c r="C1" s="49" t="s">
        <v>983</v>
      </c>
      <c r="D1" s="49" t="s">
        <v>984</v>
      </c>
      <c r="E1" s="49" t="s">
        <v>985</v>
      </c>
      <c r="F1" s="49" t="s">
        <v>986</v>
      </c>
      <c r="G1" s="49" t="s">
        <v>987</v>
      </c>
      <c r="H1" s="49" t="s">
        <v>988</v>
      </c>
      <c r="I1" s="49" t="s">
        <v>989</v>
      </c>
      <c r="J1" s="49" t="s">
        <v>990</v>
      </c>
      <c r="K1" s="49" t="s">
        <v>991</v>
      </c>
      <c r="L1" s="49" t="s">
        <v>992</v>
      </c>
      <c r="M1" s="49" t="s">
        <v>993</v>
      </c>
      <c r="N1" s="49" t="s">
        <v>994</v>
      </c>
      <c r="O1" s="49" t="s">
        <v>770</v>
      </c>
      <c r="P1" s="49" t="s">
        <v>995</v>
      </c>
      <c r="Q1" s="49" t="s">
        <v>996</v>
      </c>
      <c r="R1" s="49" t="s">
        <v>772</v>
      </c>
      <c r="S1" s="49" t="s">
        <v>997</v>
      </c>
      <c r="T1" s="49" t="s">
        <v>998</v>
      </c>
      <c r="U1" s="49" t="s">
        <v>999</v>
      </c>
      <c r="V1" s="49" t="s">
        <v>1000</v>
      </c>
      <c r="W1" s="49" t="s">
        <v>774</v>
      </c>
      <c r="X1" s="49" t="s">
        <v>1001</v>
      </c>
      <c r="Y1" s="49" t="s">
        <v>1002</v>
      </c>
      <c r="Z1" s="49" t="s">
        <v>1003</v>
      </c>
      <c r="AA1" s="49" t="s">
        <v>1004</v>
      </c>
      <c r="AB1" s="49" t="s">
        <v>1005</v>
      </c>
      <c r="AC1" s="49" t="s">
        <v>1006</v>
      </c>
      <c r="AD1" s="49" t="s">
        <v>1007</v>
      </c>
      <c r="AE1" s="49" t="s">
        <v>776</v>
      </c>
      <c r="AF1" s="49" t="s">
        <v>1008</v>
      </c>
      <c r="AG1" s="49" t="s">
        <v>1009</v>
      </c>
      <c r="AH1" s="49" t="s">
        <v>1010</v>
      </c>
      <c r="AI1" s="49" t="s">
        <v>1011</v>
      </c>
      <c r="AJ1" s="49" t="s">
        <v>1012</v>
      </c>
      <c r="AK1" s="49" t="s">
        <v>1013</v>
      </c>
      <c r="AL1" s="49" t="s">
        <v>1014</v>
      </c>
      <c r="AM1" s="49" t="s">
        <v>1015</v>
      </c>
      <c r="AN1" s="49" t="s">
        <v>1016</v>
      </c>
      <c r="AO1" s="49" t="s">
        <v>1017</v>
      </c>
    </row>
    <row r="2" customFormat="false" ht="15" hidden="false" customHeight="true" outlineLevel="0" collapsed="false">
      <c r="A2" s="177" t="s">
        <v>1018</v>
      </c>
      <c r="B2" s="280" t="n">
        <v>0.016101</v>
      </c>
      <c r="C2" s="280" t="n">
        <v>0.018518</v>
      </c>
      <c r="D2" s="280" t="n">
        <v>0.021087</v>
      </c>
      <c r="E2" s="280" t="n">
        <v>0.023773</v>
      </c>
      <c r="F2" s="280" t="n">
        <v>0.026535</v>
      </c>
      <c r="G2" s="280" t="n">
        <v>0.029323</v>
      </c>
      <c r="H2" s="280" t="n">
        <v>0.032082</v>
      </c>
      <c r="I2" s="280" t="n">
        <v>0.034752</v>
      </c>
      <c r="J2" s="280" t="n">
        <v>0.037269</v>
      </c>
      <c r="K2" s="280" t="n">
        <v>0.039572</v>
      </c>
      <c r="L2" s="280" t="n">
        <v>0.041599</v>
      </c>
      <c r="M2" s="280" t="n">
        <v>0.043295</v>
      </c>
      <c r="N2" s="280" t="n">
        <v>0.044613</v>
      </c>
      <c r="O2" s="280" t="n">
        <v>0.045513</v>
      </c>
      <c r="P2" s="280" t="n">
        <v>0.04597</v>
      </c>
      <c r="Q2" s="280" t="n">
        <v>0.04597</v>
      </c>
      <c r="R2" s="280" t="n">
        <v>0.045513</v>
      </c>
      <c r="S2" s="280" t="n">
        <v>0.044613</v>
      </c>
      <c r="T2" s="280" t="n">
        <v>0.043295</v>
      </c>
      <c r="U2" s="280" t="n">
        <v>0.041599</v>
      </c>
      <c r="V2" s="280" t="n">
        <v>0.039572</v>
      </c>
      <c r="W2" s="280" t="n">
        <v>0.037269</v>
      </c>
      <c r="X2" s="280" t="n">
        <v>0.034752</v>
      </c>
      <c r="Y2" s="280" t="n">
        <v>0.032082</v>
      </c>
      <c r="Z2" s="280" t="n">
        <v>0.029323</v>
      </c>
      <c r="AA2" s="280" t="n">
        <v>0.026535</v>
      </c>
      <c r="AB2" s="280" t="n">
        <v>0.023773</v>
      </c>
      <c r="AC2" s="280" t="n">
        <v>0.021087</v>
      </c>
      <c r="AD2" s="280" t="n">
        <v>0.018518</v>
      </c>
      <c r="AE2" s="280" t="n">
        <v>0.016101</v>
      </c>
    </row>
    <row r="3" customFormat="false" ht="15" hidden="false" customHeight="true" outlineLevel="0" collapsed="false">
      <c r="A3" s="177" t="s">
        <v>1019</v>
      </c>
      <c r="B3" s="280" t="n">
        <v>0.020497</v>
      </c>
      <c r="C3" s="280" t="n">
        <v>0.024336</v>
      </c>
      <c r="D3" s="280" t="n">
        <v>0.028445</v>
      </c>
      <c r="E3" s="280" t="n">
        <v>0.032735</v>
      </c>
      <c r="F3" s="280" t="n">
        <v>0.037087</v>
      </c>
      <c r="G3" s="280" t="n">
        <v>0.041368</v>
      </c>
      <c r="H3" s="280" t="n">
        <v>0.045428</v>
      </c>
      <c r="I3" s="280" t="n">
        <v>0.049114</v>
      </c>
      <c r="J3" s="280" t="n">
        <v>0.052278</v>
      </c>
      <c r="K3" s="280" t="n">
        <v>0.054783</v>
      </c>
      <c r="L3" s="280" t="n">
        <v>0.05652</v>
      </c>
      <c r="M3" s="280" t="n">
        <v>0.057409</v>
      </c>
      <c r="N3" s="280" t="n">
        <v>0.057409</v>
      </c>
      <c r="O3" s="280" t="n">
        <v>0.05652</v>
      </c>
      <c r="P3" s="280" t="n">
        <v>0.054783</v>
      </c>
      <c r="Q3" s="280" t="n">
        <v>0.052278</v>
      </c>
      <c r="R3" s="280" t="n">
        <v>0.049114</v>
      </c>
      <c r="S3" s="280" t="n">
        <v>0.045428</v>
      </c>
      <c r="T3" s="280" t="n">
        <v>0.041368</v>
      </c>
      <c r="U3" s="280" t="n">
        <v>0.037087</v>
      </c>
      <c r="V3" s="280" t="n">
        <v>0.032735</v>
      </c>
      <c r="W3" s="280" t="n">
        <v>0.028445</v>
      </c>
      <c r="X3" s="280" t="n">
        <v>0.024336</v>
      </c>
      <c r="Y3" s="280" t="n">
        <v>0.020497</v>
      </c>
    </row>
    <row r="4" customFormat="false" ht="15" hidden="false" customHeight="true" outlineLevel="0" collapsed="false">
      <c r="A4" s="177" t="s">
        <v>1020</v>
      </c>
      <c r="B4" s="280" t="n">
        <v>0.026517</v>
      </c>
      <c r="C4" s="280" t="n">
        <v>0.032761</v>
      </c>
      <c r="D4" s="280" t="n">
        <v>0.039482</v>
      </c>
      <c r="E4" s="280" t="n">
        <v>0.046412</v>
      </c>
      <c r="F4" s="280" t="n">
        <v>0.053218</v>
      </c>
      <c r="G4" s="280" t="n">
        <v>0.059522</v>
      </c>
      <c r="H4" s="280" t="n">
        <v>0.064937</v>
      </c>
      <c r="I4" s="280" t="n">
        <v>0.069104</v>
      </c>
      <c r="J4" s="280" t="n">
        <v>0.071732</v>
      </c>
      <c r="K4" s="280" t="n">
        <v>0.07263</v>
      </c>
      <c r="L4" s="280" t="n">
        <v>0.071732</v>
      </c>
      <c r="M4" s="280" t="n">
        <v>0.069104</v>
      </c>
      <c r="N4" s="280" t="n">
        <v>0.064937</v>
      </c>
      <c r="O4" s="280" t="n">
        <v>0.059522</v>
      </c>
      <c r="P4" s="280" t="n">
        <v>0.053218</v>
      </c>
      <c r="Q4" s="280" t="n">
        <v>0.046412</v>
      </c>
      <c r="R4" s="280" t="n">
        <v>0.039482</v>
      </c>
      <c r="S4" s="280" t="n">
        <v>0.032761</v>
      </c>
      <c r="T4" s="280" t="n">
        <v>0.026517</v>
      </c>
    </row>
    <row r="5" customFormat="false" ht="15" hidden="false" customHeight="true" outlineLevel="0" collapsed="false">
      <c r="A5" s="281" t="s">
        <v>1021</v>
      </c>
    </row>
    <row r="6" customFormat="false" ht="15" hidden="false" customHeight="true" outlineLevel="0" collapsed="false">
      <c r="A6" s="177" t="s">
        <v>7</v>
      </c>
      <c r="B6" s="280" t="n">
        <v>0.176029532991649</v>
      </c>
      <c r="C6" s="280" t="n">
        <v>0.162818536970001</v>
      </c>
      <c r="D6" s="280" t="n">
        <v>0.148267087201176</v>
      </c>
      <c r="E6" s="280" t="n">
        <v>0.1329235511272</v>
      </c>
      <c r="F6" s="280" t="n">
        <v>0.117325543887316</v>
      </c>
      <c r="G6" s="280" t="n">
        <v>0.101949750904986</v>
      </c>
      <c r="H6" s="280" t="n">
        <v>0.0872226801906742</v>
      </c>
      <c r="I6" s="280" t="n">
        <v>0.073463316726999</v>
      </c>
    </row>
    <row r="7" customFormat="false" ht="15" hidden="false" customHeight="true" outlineLevel="0" collapsed="false">
      <c r="A7" s="177" t="s">
        <v>8</v>
      </c>
      <c r="B7" s="280" t="n">
        <v>0.0725086339616361</v>
      </c>
      <c r="C7" s="280" t="n">
        <v>0.0759830233429035</v>
      </c>
      <c r="D7" s="280" t="n">
        <v>0.0783922107102734</v>
      </c>
      <c r="E7" s="280" t="n">
        <v>0.0796252375206314</v>
      </c>
      <c r="F7" s="280" t="n">
        <v>0.0796252375206314</v>
      </c>
      <c r="G7" s="280" t="n">
        <v>0.0783922107102734</v>
      </c>
      <c r="H7" s="280" t="n">
        <v>0.0759830233429035</v>
      </c>
      <c r="I7" s="280" t="n">
        <v>0.0725086339616361</v>
      </c>
      <c r="J7" s="280" t="n">
        <v>0.0681202235814644</v>
      </c>
      <c r="K7" s="280" t="n">
        <v>0.0630078087074717</v>
      </c>
      <c r="L7" s="280" t="n">
        <v>0.0573766626444195</v>
      </c>
      <c r="M7" s="280" t="n">
        <v>0.051438993606014</v>
      </c>
      <c r="N7" s="280" t="n">
        <v>0.0454028488605945</v>
      </c>
      <c r="O7" s="280" t="n">
        <v>0.0394526969860886</v>
      </c>
      <c r="P7" s="280" t="n">
        <v>0.0337535888153789</v>
      </c>
      <c r="Q7" s="280" t="n">
        <v>0.02842896572768</v>
      </c>
    </row>
    <row r="8" customFormat="false" ht="15" hidden="false" customHeight="true" outlineLevel="0" collapsed="false">
      <c r="A8" s="177" t="s">
        <v>9</v>
      </c>
      <c r="B8" s="280" t="n">
        <v>0.0622557988273664</v>
      </c>
      <c r="C8" s="280" t="n">
        <v>0.0696303817844058</v>
      </c>
      <c r="D8" s="280" t="n">
        <v>0.0759649894481697</v>
      </c>
      <c r="E8" s="280" t="n">
        <v>0.0808396542930274</v>
      </c>
      <c r="F8" s="280" t="n">
        <v>0.0839139569597627</v>
      </c>
      <c r="G8" s="280" t="n">
        <v>0.0849644606868282</v>
      </c>
      <c r="H8" s="280" t="n">
        <v>0.0839139569597627</v>
      </c>
      <c r="I8" s="280" t="n">
        <v>0.0808396542930274</v>
      </c>
      <c r="J8" s="280" t="n">
        <v>0.0759649894481697</v>
      </c>
      <c r="K8" s="280" t="n">
        <v>0.0696303817844058</v>
      </c>
      <c r="L8" s="280" t="n">
        <v>0.0622557988273664</v>
      </c>
      <c r="M8" s="280" t="n">
        <v>0.0542939632300299</v>
      </c>
      <c r="N8" s="280" t="n">
        <v>0.0461870692115841</v>
      </c>
      <c r="O8" s="280" t="n">
        <v>0.038324668822266</v>
      </c>
      <c r="P8" s="280" t="n">
        <v>0.031020275423828</v>
      </c>
    </row>
    <row r="9" customFormat="false" ht="15" hidden="false" customHeight="true" outlineLevel="0" collapsed="false">
      <c r="A9" s="177" t="s">
        <v>10</v>
      </c>
      <c r="B9" s="280" t="n">
        <v>0.0622557988273664</v>
      </c>
      <c r="C9" s="280" t="n">
        <v>0.0696303817844058</v>
      </c>
      <c r="D9" s="280" t="n">
        <v>0.0759649894481697</v>
      </c>
      <c r="E9" s="280" t="n">
        <v>0.0808396542930274</v>
      </c>
      <c r="F9" s="280" t="n">
        <v>0.0839139569597627</v>
      </c>
      <c r="G9" s="280" t="n">
        <v>0.0849644606868282</v>
      </c>
      <c r="H9" s="280" t="n">
        <v>0.0839139569597627</v>
      </c>
      <c r="I9" s="280" t="n">
        <v>0.0808396542930274</v>
      </c>
      <c r="J9" s="280" t="n">
        <v>0.0759649894481697</v>
      </c>
      <c r="K9" s="280" t="n">
        <v>0.0696303817844058</v>
      </c>
      <c r="L9" s="280" t="n">
        <v>0.0622557988273664</v>
      </c>
      <c r="M9" s="280" t="n">
        <v>0.0542939632300299</v>
      </c>
      <c r="N9" s="280" t="n">
        <v>0.0461870692115841</v>
      </c>
      <c r="O9" s="280" t="n">
        <v>0.038324668822266</v>
      </c>
      <c r="P9" s="280"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2" t="s">
        <v>1022</v>
      </c>
      <c r="B1" s="282"/>
      <c r="C1" s="282"/>
      <c r="D1" s="282"/>
    </row>
    <row r="3" customFormat="false" ht="15" hidden="false" customHeight="true" outlineLevel="0" collapsed="false">
      <c r="A3" s="23" t="s">
        <v>1023</v>
      </c>
      <c r="B3" s="23"/>
      <c r="C3" s="23"/>
      <c r="D3" s="23"/>
    </row>
    <row r="4" customFormat="false" ht="15" hidden="false" customHeight="true" outlineLevel="0" collapsed="false">
      <c r="A4" s="177" t="s">
        <v>1024</v>
      </c>
      <c r="B4" s="280" t="n">
        <v>0.06</v>
      </c>
    </row>
    <row r="5" customFormat="false" ht="15" hidden="false" customHeight="true" outlineLevel="0" collapsed="false">
      <c r="A5" s="177" t="s">
        <v>868</v>
      </c>
      <c r="B5" s="280" t="n">
        <v>0.06</v>
      </c>
    </row>
    <row r="6" customFormat="false" ht="15" hidden="false" customHeight="true" outlineLevel="0" collapsed="false">
      <c r="A6" s="177" t="s">
        <v>1025</v>
      </c>
      <c r="B6" s="280" t="n">
        <v>0.02</v>
      </c>
    </row>
    <row r="7" customFormat="false" ht="15" hidden="false" customHeight="true" outlineLevel="0" collapsed="false">
      <c r="A7" s="177" t="s">
        <v>1026</v>
      </c>
      <c r="B7" s="180" t="n">
        <f aca="false">B4+B5+B6</f>
        <v>0.14</v>
      </c>
    </row>
    <row r="8" customFormat="false" ht="15" hidden="false" customHeight="true" outlineLevel="0" collapsed="false">
      <c r="A8" s="177"/>
      <c r="B8" s="280"/>
    </row>
    <row r="9" customFormat="false" ht="15" hidden="false" customHeight="true" outlineLevel="0" collapsed="false">
      <c r="A9" s="177" t="s">
        <v>1027</v>
      </c>
      <c r="B9" s="180" t="n">
        <f aca="false">SUM(B10:B12)</f>
        <v>0.120391</v>
      </c>
      <c r="C9" s="1" t="s">
        <v>1028</v>
      </c>
    </row>
    <row r="10" customFormat="false" ht="15" hidden="false" customHeight="true" outlineLevel="0" collapsed="false">
      <c r="A10" s="177" t="s">
        <v>1029</v>
      </c>
      <c r="B10" s="180" t="n">
        <v>0.051596</v>
      </c>
    </row>
    <row r="11" customFormat="false" ht="15" hidden="false" customHeight="true" outlineLevel="0" collapsed="false">
      <c r="A11" s="177" t="s">
        <v>1030</v>
      </c>
      <c r="B11" s="180" t="n">
        <v>0.051596</v>
      </c>
    </row>
    <row r="12" customFormat="false" ht="15" hidden="false" customHeight="true" outlineLevel="0" collapsed="false">
      <c r="A12" s="177" t="s">
        <v>1031</v>
      </c>
      <c r="B12" s="180" t="n">
        <v>0.017199</v>
      </c>
    </row>
    <row r="14" customFormat="false" ht="15" hidden="false" customHeight="true" outlineLevel="0" collapsed="false">
      <c r="A14" s="23" t="s">
        <v>1032</v>
      </c>
      <c r="B14" s="23"/>
      <c r="C14" s="23"/>
      <c r="D14" s="23"/>
    </row>
    <row r="15" customFormat="false" ht="15" hidden="false" customHeight="true" outlineLevel="0" collapsed="false">
      <c r="A15" s="177" t="s">
        <v>873</v>
      </c>
      <c r="B15" s="280" t="n">
        <v>0.015</v>
      </c>
    </row>
    <row r="16" customFormat="false" ht="15" hidden="false" customHeight="true" outlineLevel="0" collapsed="false">
      <c r="A16" s="177" t="s">
        <v>875</v>
      </c>
      <c r="B16" s="280" t="n">
        <v>0.0074</v>
      </c>
    </row>
    <row r="17" customFormat="false" ht="15" hidden="false" customHeight="true" outlineLevel="0" collapsed="false">
      <c r="A17" s="177" t="s">
        <v>877</v>
      </c>
      <c r="B17" s="280" t="n">
        <v>0.0325</v>
      </c>
    </row>
    <row r="18" customFormat="false" ht="15" hidden="false" customHeight="true" outlineLevel="0" collapsed="false">
      <c r="A18" s="1" t="s">
        <v>1033</v>
      </c>
      <c r="B18" s="283" t="n">
        <f aca="false">103966/14337010.8</f>
        <v>0.00725158134079107</v>
      </c>
      <c r="C18" s="1" t="s">
        <v>1034</v>
      </c>
      <c r="D18" s="284"/>
    </row>
    <row r="19" customFormat="false" ht="15" hidden="false" customHeight="true" outlineLevel="0" collapsed="false">
      <c r="A19" s="23" t="s">
        <v>1035</v>
      </c>
      <c r="B19" s="23"/>
      <c r="C19" s="23"/>
      <c r="D19" s="23"/>
    </row>
    <row r="20" customFormat="false" ht="15" hidden="false" customHeight="true" outlineLevel="0" collapsed="false">
      <c r="A20" s="177" t="s">
        <v>1036</v>
      </c>
      <c r="B20" s="280" t="n">
        <v>0.07</v>
      </c>
    </row>
    <row r="21" customFormat="false" ht="15" hidden="false" customHeight="true" outlineLevel="0" collapsed="false">
      <c r="A21" s="177" t="s">
        <v>1037</v>
      </c>
      <c r="B21" s="280" t="n">
        <v>0.005</v>
      </c>
    </row>
    <row r="22" customFormat="false" ht="15" hidden="false" customHeight="true" outlineLevel="0" collapsed="false">
      <c r="A22" s="177" t="s">
        <v>1038</v>
      </c>
      <c r="B22" s="280" t="n">
        <v>0.05</v>
      </c>
    </row>
    <row r="23" customFormat="false" ht="15" hidden="false" customHeight="true" outlineLevel="0" collapsed="false">
      <c r="A23" s="177" t="s">
        <v>1039</v>
      </c>
      <c r="B23" s="280" t="n">
        <v>0.02</v>
      </c>
    </row>
    <row r="25" customFormat="false" ht="15" hidden="false" customHeight="true" outlineLevel="0" collapsed="false">
      <c r="A25" s="23" t="s">
        <v>1040</v>
      </c>
      <c r="B25" s="23"/>
      <c r="C25" s="23"/>
      <c r="D25" s="23"/>
    </row>
    <row r="26" customFormat="false" ht="15" hidden="false" customHeight="true" outlineLevel="0" collapsed="false">
      <c r="A26" s="177" t="s">
        <v>1041</v>
      </c>
      <c r="B26" s="257" t="n">
        <v>0.02</v>
      </c>
    </row>
    <row r="28" customFormat="false" ht="15" hidden="false" customHeight="true" outlineLevel="0" collapsed="false">
      <c r="A28" s="23" t="s">
        <v>1042</v>
      </c>
      <c r="B28" s="23"/>
      <c r="C28" s="23"/>
      <c r="D28" s="23"/>
    </row>
    <row r="29" customFormat="false" ht="15" hidden="false" customHeight="true" outlineLevel="0" collapsed="false">
      <c r="A29" s="177" t="s">
        <v>1043</v>
      </c>
      <c r="B29" s="259" t="n">
        <v>1287106</v>
      </c>
    </row>
    <row r="30" customFormat="false" ht="15" hidden="false" customHeight="true" outlineLevel="0" collapsed="false">
      <c r="A30" s="177" t="s">
        <v>1044</v>
      </c>
      <c r="B30" s="259" t="n">
        <v>658190</v>
      </c>
    </row>
    <row r="32" customFormat="false" ht="15" hidden="false" customHeight="true" outlineLevel="0" collapsed="false">
      <c r="A32" s="23" t="s">
        <v>1045</v>
      </c>
      <c r="B32" s="23"/>
      <c r="C32" s="23"/>
      <c r="D32" s="23"/>
    </row>
    <row r="33" customFormat="false" ht="15" hidden="false" customHeight="true" outlineLevel="0" collapsed="false">
      <c r="A33" s="177" t="s">
        <v>1046</v>
      </c>
      <c r="B33" s="259" t="n">
        <v>1615485</v>
      </c>
    </row>
    <row r="34" customFormat="false" ht="15" hidden="false" customHeight="true" outlineLevel="0" collapsed="false">
      <c r="A34" s="177" t="s">
        <v>1047</v>
      </c>
      <c r="B34" s="280" t="n">
        <v>0.15</v>
      </c>
    </row>
    <row r="35" customFormat="false" ht="15" hidden="false" customHeight="true" outlineLevel="0" collapsed="false">
      <c r="A35" s="177" t="s">
        <v>1048</v>
      </c>
      <c r="B35" s="180" t="n">
        <f aca="false">B34/4</f>
        <v>0.0375</v>
      </c>
    </row>
    <row r="36" customFormat="false" ht="15" hidden="false" customHeight="true" outlineLevel="0" collapsed="false">
      <c r="A36" s="177" t="s">
        <v>1049</v>
      </c>
      <c r="B36" s="259" t="n">
        <v>112000</v>
      </c>
    </row>
    <row r="37" customFormat="false" ht="15" hidden="false" customHeight="true" outlineLevel="0" collapsed="false">
      <c r="A37" s="177" t="s">
        <v>1050</v>
      </c>
      <c r="B37" s="285" t="n">
        <v>10</v>
      </c>
    </row>
    <row r="38" customFormat="false" ht="15" hidden="false" customHeight="true" outlineLevel="0" collapsed="false">
      <c r="A38" s="286" t="s">
        <v>1051</v>
      </c>
    </row>
    <row r="40" customFormat="false" ht="15" hidden="false" customHeight="true" outlineLevel="0" collapsed="false">
      <c r="A40" s="23" t="s">
        <v>1052</v>
      </c>
      <c r="B40" s="23"/>
      <c r="C40" s="23"/>
      <c r="D40" s="23"/>
    </row>
    <row r="41" customFormat="false" ht="15" hidden="false" customHeight="true" outlineLevel="0" collapsed="false">
      <c r="A41" s="177" t="s">
        <v>1053</v>
      </c>
      <c r="B41" s="259" t="n">
        <v>1000000</v>
      </c>
    </row>
    <row r="42" customFormat="false" ht="15" hidden="false" customHeight="true" outlineLevel="0" collapsed="false">
      <c r="A42" s="177" t="s">
        <v>1054</v>
      </c>
      <c r="B42" s="287" t="n">
        <f aca="false">B41*0.25</f>
        <v>250000</v>
      </c>
    </row>
    <row r="43" customFormat="false" ht="15" hidden="false" customHeight="true" outlineLevel="0" collapsed="false">
      <c r="A43" s="177" t="s">
        <v>1055</v>
      </c>
      <c r="B43" s="259" t="n">
        <v>1000000</v>
      </c>
    </row>
    <row r="44" customFormat="false" ht="15" hidden="false" customHeight="true" outlineLevel="0" collapsed="false">
      <c r="A44" s="286" t="s">
        <v>1056</v>
      </c>
    </row>
    <row r="46" customFormat="false" ht="15" hidden="false" customHeight="true" outlineLevel="0" collapsed="false">
      <c r="A46" s="23" t="s">
        <v>1057</v>
      </c>
      <c r="B46" s="23"/>
      <c r="C46" s="23"/>
      <c r="D46" s="23"/>
    </row>
    <row r="47" customFormat="false" ht="15" hidden="false" customHeight="true" outlineLevel="0" collapsed="false">
      <c r="A47" s="177" t="s">
        <v>1058</v>
      </c>
      <c r="B47" s="280" t="n">
        <v>0.01</v>
      </c>
    </row>
    <row r="48" customFormat="false" ht="15" hidden="false" customHeight="true" outlineLevel="0" collapsed="false">
      <c r="A48" s="177" t="s">
        <v>1059</v>
      </c>
      <c r="B48" s="280" t="n">
        <v>0.03</v>
      </c>
    </row>
    <row r="50" customFormat="false" ht="15" hidden="false" customHeight="true" outlineLevel="0" collapsed="false">
      <c r="A50" s="23" t="s">
        <v>1060</v>
      </c>
      <c r="B50" s="23"/>
      <c r="C50" s="288"/>
      <c r="D50" s="23"/>
    </row>
    <row r="51" customFormat="false" ht="15" hidden="false" customHeight="true" outlineLevel="0" collapsed="false">
      <c r="A51" s="177" t="s">
        <v>16</v>
      </c>
      <c r="B51" s="259" t="n">
        <v>2000000</v>
      </c>
    </row>
    <row r="52" customFormat="false" ht="15" hidden="false" customHeight="true" outlineLevel="0" collapsed="false">
      <c r="A52" s="177" t="s">
        <v>17</v>
      </c>
      <c r="B52" s="259" t="n">
        <v>2000000</v>
      </c>
    </row>
    <row r="53" customFormat="false" ht="15" hidden="false" customHeight="true" outlineLevel="0" collapsed="false">
      <c r="A53" s="177" t="s">
        <v>12</v>
      </c>
      <c r="B53" s="259" t="n">
        <v>5000000</v>
      </c>
      <c r="C53" s="90"/>
    </row>
    <row r="54" customFormat="false" ht="15" hidden="false" customHeight="true" outlineLevel="0" collapsed="false">
      <c r="A54" s="177" t="s">
        <v>18</v>
      </c>
      <c r="B54" s="259" t="n">
        <v>5000000</v>
      </c>
      <c r="C54" s="90"/>
    </row>
    <row r="55" customFormat="false" ht="15" hidden="false" customHeight="true" outlineLevel="0" collapsed="false">
      <c r="A55" s="177" t="s">
        <v>19</v>
      </c>
      <c r="B55" s="259" t="n">
        <v>5000000</v>
      </c>
      <c r="C55" s="90"/>
    </row>
    <row r="57" customFormat="false" ht="15" hidden="false" customHeight="true" outlineLevel="0" collapsed="false">
      <c r="A57" s="23" t="s">
        <v>1061</v>
      </c>
      <c r="B57" s="23"/>
      <c r="C57" s="23"/>
      <c r="D57" s="23"/>
    </row>
    <row r="58" customFormat="false" ht="15" hidden="false" customHeight="true" outlineLevel="0" collapsed="false">
      <c r="A58" s="177" t="s">
        <v>1062</v>
      </c>
      <c r="B58" s="280" t="n">
        <v>0.15</v>
      </c>
    </row>
    <row r="59" customFormat="false" ht="15" hidden="false" customHeight="true" outlineLevel="0" collapsed="false">
      <c r="A59" s="177" t="s">
        <v>1063</v>
      </c>
      <c r="B59" s="180" t="n">
        <f aca="false">B58/4</f>
        <v>0.0375</v>
      </c>
    </row>
    <row r="60" customFormat="false" ht="15" hidden="false" customHeight="true" outlineLevel="0" collapsed="false">
      <c r="A60" s="177" t="s">
        <v>1064</v>
      </c>
      <c r="B60" s="259" t="n">
        <v>0</v>
      </c>
    </row>
    <row r="61" customFormat="false" ht="15" hidden="false" customHeight="true" outlineLevel="0" collapsed="false">
      <c r="A61" s="177" t="s">
        <v>1065</v>
      </c>
      <c r="B61" s="259" t="n">
        <v>0</v>
      </c>
    </row>
    <row r="62" customFormat="false" ht="15" hidden="false" customHeight="true" outlineLevel="0" collapsed="false">
      <c r="A62" s="177" t="s">
        <v>1066</v>
      </c>
      <c r="B62" s="259" t="n">
        <v>1784000</v>
      </c>
    </row>
    <row r="63" customFormat="false" ht="15" hidden="false" customHeight="true" outlineLevel="0" collapsed="false">
      <c r="A63" s="177" t="s">
        <v>1067</v>
      </c>
      <c r="B63" s="259" t="n">
        <v>1766181</v>
      </c>
    </row>
    <row r="64" customFormat="false" ht="15" hidden="false" customHeight="true" outlineLevel="0" collapsed="false">
      <c r="A64" s="286" t="s">
        <v>1068</v>
      </c>
    </row>
    <row r="66" customFormat="false" ht="15" hidden="false" customHeight="true" outlineLevel="0" collapsed="false">
      <c r="A66" s="97" t="s">
        <v>101</v>
      </c>
    </row>
    <row r="67" customFormat="false" ht="15" hidden="false" customHeight="true" outlineLevel="0" collapsed="false">
      <c r="A67" s="90" t="s">
        <v>1069</v>
      </c>
      <c r="B67" s="289" t="n">
        <v>833.33</v>
      </c>
    </row>
    <row r="68" customFormat="false" ht="15" hidden="false" customHeight="true" outlineLevel="0" collapsed="false">
      <c r="A68" s="90" t="s">
        <v>1070</v>
      </c>
      <c r="B68" s="90" t="n">
        <v>5</v>
      </c>
    </row>
    <row r="70" customFormat="false" ht="15" hidden="false" customHeight="true" outlineLevel="0" collapsed="false">
      <c r="A70" s="290" t="s">
        <v>1071</v>
      </c>
      <c r="B70" s="290"/>
    </row>
    <row r="71" customFormat="false" ht="15" hidden="false" customHeight="true" outlineLevel="0" collapsed="false">
      <c r="A71" s="291" t="s">
        <v>1072</v>
      </c>
      <c r="B71" s="292" t="n">
        <v>1134000</v>
      </c>
    </row>
    <row r="72" customFormat="false" ht="15" hidden="false" customHeight="true" outlineLevel="0" collapsed="false">
      <c r="A72" s="293" t="s">
        <v>1073</v>
      </c>
      <c r="B72" s="294" t="n">
        <v>50000</v>
      </c>
    </row>
    <row r="73" customFormat="false" ht="15" hidden="false" customHeight="true" outlineLevel="0" collapsed="false">
      <c r="A73" s="291" t="s">
        <v>1074</v>
      </c>
      <c r="B73" s="295" t="n">
        <v>14</v>
      </c>
    </row>
    <row r="74" customFormat="false" ht="15" hidden="false" customHeight="true" outlineLevel="0" collapsed="false">
      <c r="A74" s="293" t="s">
        <v>172</v>
      </c>
      <c r="B74" s="294" t="n">
        <v>-1450000</v>
      </c>
    </row>
    <row r="75" customFormat="false" ht="15" hidden="false" customHeight="true" outlineLevel="0" collapsed="false">
      <c r="A75" s="291" t="s">
        <v>1075</v>
      </c>
      <c r="B75" s="292" t="n">
        <v>264927.15</v>
      </c>
    </row>
    <row r="76" customFormat="false" ht="15" hidden="false" customHeight="true" outlineLevel="0" collapsed="false">
      <c r="A76" s="293" t="s">
        <v>1076</v>
      </c>
      <c r="B76" s="294" t="n">
        <v>883090.5</v>
      </c>
    </row>
    <row r="77" customFormat="false" ht="15" hidden="false" customHeight="true" outlineLevel="0" collapsed="false">
      <c r="A77" s="291" t="s">
        <v>167</v>
      </c>
      <c r="B77" s="292" t="n">
        <v>-1800000</v>
      </c>
    </row>
    <row r="79" customFormat="false" ht="19.5" hidden="false" customHeight="true" outlineLevel="0" collapsed="false">
      <c r="A79" s="296" t="s">
        <v>1077</v>
      </c>
    </row>
    <row r="80" customFormat="false" ht="15" hidden="false" customHeight="true" outlineLevel="0" collapsed="false">
      <c r="A80" s="297" t="s">
        <v>1078</v>
      </c>
      <c r="B80" s="298" t="n">
        <v>1</v>
      </c>
    </row>
    <row r="82" customFormat="false" ht="27.75" hidden="false" customHeight="true" outlineLevel="0" collapsed="false">
      <c r="A82" s="156" t="s">
        <v>1079</v>
      </c>
      <c r="B82" s="156" t="s">
        <v>1080</v>
      </c>
      <c r="C82" s="156" t="s">
        <v>1081</v>
      </c>
    </row>
    <row r="83" customFormat="false" ht="15" hidden="false" customHeight="true" outlineLevel="0" collapsed="false">
      <c r="A83" s="299" t="s">
        <v>1082</v>
      </c>
      <c r="B83" s="300" t="n">
        <v>0</v>
      </c>
      <c r="C83" s="301" t="n">
        <v>0.25</v>
      </c>
    </row>
    <row r="84" customFormat="false" ht="15" hidden="false" customHeight="true" outlineLevel="0" collapsed="false">
      <c r="A84" s="299" t="s">
        <v>1083</v>
      </c>
      <c r="B84" s="300" t="n">
        <v>20000000</v>
      </c>
      <c r="C84" s="301" t="n">
        <v>0.5</v>
      </c>
    </row>
    <row r="85" customFormat="false" ht="15" hidden="false" customHeight="true" outlineLevel="0" collapsed="false">
      <c r="A85" s="299" t="s">
        <v>1084</v>
      </c>
      <c r="B85" s="300" t="n">
        <v>40000000</v>
      </c>
      <c r="C85" s="301" t="n">
        <v>0.75</v>
      </c>
    </row>
    <row r="86" customFormat="false" ht="15" hidden="false" customHeight="true" outlineLevel="0" collapsed="false">
      <c r="A86" s="299" t="s">
        <v>1085</v>
      </c>
      <c r="B86" s="300" t="n">
        <v>60000000</v>
      </c>
      <c r="C86" s="301" t="n">
        <v>1</v>
      </c>
    </row>
    <row r="88" customFormat="false" ht="15" hidden="false" customHeight="true" outlineLevel="0" collapsed="false">
      <c r="A88" s="72" t="s">
        <v>1086</v>
      </c>
    </row>
    <row r="92" customFormat="false" ht="15" hidden="false" customHeight="true" outlineLevel="0" collapsed="false">
      <c r="A92" s="1" t="s">
        <v>1087</v>
      </c>
    </row>
    <row r="93" customFormat="false" ht="15" hidden="false" customHeight="true" outlineLevel="0" collapsed="false">
      <c r="A93" s="1" t="s">
        <v>1088</v>
      </c>
    </row>
    <row r="94" customFormat="false" ht="15" hidden="false" customHeight="true" outlineLevel="0" collapsed="false">
      <c r="A94" s="1" t="s">
        <v>1089</v>
      </c>
    </row>
    <row r="95" customFormat="false" ht="15" hidden="false" customHeight="true" outlineLevel="0" collapsed="false">
      <c r="A95" s="1" t="s">
        <v>1090</v>
      </c>
    </row>
    <row r="96" customFormat="false" ht="15" hidden="false" customHeight="true" outlineLevel="0" collapsed="false">
      <c r="A96" s="1" t="s">
        <v>1091</v>
      </c>
    </row>
    <row r="97" customFormat="false" ht="15" hidden="false" customHeight="true" outlineLevel="0" collapsed="false">
      <c r="A97" s="1" t="s">
        <v>1092</v>
      </c>
    </row>
    <row r="98" customFormat="false" ht="15" hidden="false" customHeight="true" outlineLevel="0" collapsed="false">
      <c r="A98" s="1" t="s">
        <v>1093</v>
      </c>
    </row>
    <row r="99" customFormat="false" ht="15" hidden="false" customHeight="true" outlineLevel="0" collapsed="false">
      <c r="A99" s="1" t="s">
        <v>1094</v>
      </c>
    </row>
    <row r="100" customFormat="false" ht="15" hidden="false" customHeight="true" outlineLevel="0" collapsed="false">
      <c r="A100" s="1" t="s">
        <v>1095</v>
      </c>
    </row>
    <row r="101" customFormat="false" ht="15" hidden="false" customHeight="true" outlineLevel="0" collapsed="false">
      <c r="A101" s="1" t="s">
        <v>1096</v>
      </c>
    </row>
    <row r="102" customFormat="false" ht="15" hidden="false" customHeight="true" outlineLevel="0" collapsed="false">
      <c r="A102" s="1" t="s">
        <v>1097</v>
      </c>
    </row>
    <row r="103" customFormat="false" ht="15" hidden="false" customHeight="true" outlineLevel="0" collapsed="false">
      <c r="A103" s="1" t="s">
        <v>1098</v>
      </c>
    </row>
    <row r="104" customFormat="false" ht="15" hidden="false" customHeight="true" outlineLevel="0" collapsed="false">
      <c r="A104" s="1" t="s">
        <v>1099</v>
      </c>
    </row>
    <row r="105" customFormat="false" ht="15" hidden="false" customHeight="true" outlineLevel="0" collapsed="false">
      <c r="A105" s="1" t="s">
        <v>1100</v>
      </c>
    </row>
    <row r="106" customFormat="false" ht="15" hidden="false" customHeight="true" outlineLevel="0" collapsed="false">
      <c r="A106" s="1" t="s">
        <v>1101</v>
      </c>
    </row>
    <row r="108" customFormat="false" ht="15" hidden="false" customHeight="true" outlineLevel="0" collapsed="false">
      <c r="A108" s="1" t="s">
        <v>1102</v>
      </c>
    </row>
    <row r="109" customFormat="false" ht="15" hidden="false" customHeight="true" outlineLevel="0" collapsed="false">
      <c r="A109" s="1" t="s">
        <v>1103</v>
      </c>
    </row>
    <row r="110" customFormat="false" ht="15" hidden="false" customHeight="true" outlineLevel="0" collapsed="false">
      <c r="A110" s="1" t="s">
        <v>1104</v>
      </c>
    </row>
    <row r="112" customFormat="false" ht="15" hidden="false" customHeight="true" outlineLevel="0" collapsed="false">
      <c r="A112" s="1" t="s">
        <v>1105</v>
      </c>
    </row>
    <row r="113" customFormat="false" ht="15" hidden="false" customHeight="true" outlineLevel="0" collapsed="false">
      <c r="A113" s="1" t="s">
        <v>1106</v>
      </c>
    </row>
    <row r="114" customFormat="false" ht="15" hidden="false" customHeight="true" outlineLevel="0" collapsed="false">
      <c r="A114" s="1" t="s">
        <v>1107</v>
      </c>
    </row>
    <row r="115" customFormat="false" ht="15" hidden="false" customHeight="true" outlineLevel="0" collapsed="false">
      <c r="A115" s="1" t="s">
        <v>1108</v>
      </c>
    </row>
    <row r="117" customFormat="false" ht="15" hidden="false" customHeight="true" outlineLevel="0" collapsed="false">
      <c r="A117" s="1" t="s">
        <v>1109</v>
      </c>
    </row>
    <row r="118" customFormat="false" ht="15" hidden="false" customHeight="true" outlineLevel="0" collapsed="false">
      <c r="A118" s="1" t="s">
        <v>1110</v>
      </c>
    </row>
    <row r="119" customFormat="false" ht="15" hidden="false" customHeight="true" outlineLevel="0" collapsed="false">
      <c r="A119" s="1" t="s">
        <v>1111</v>
      </c>
    </row>
    <row r="120" customFormat="false" ht="15" hidden="false" customHeight="true" outlineLevel="0" collapsed="false">
      <c r="A120" s="1" t="s">
        <v>1112</v>
      </c>
    </row>
    <row r="121" customFormat="false" ht="15" hidden="false" customHeight="true" outlineLevel="0" collapsed="false">
      <c r="A121" s="1" t="s">
        <v>1113</v>
      </c>
    </row>
    <row r="123" customFormat="false" ht="15" hidden="false" customHeight="true" outlineLevel="0" collapsed="false">
      <c r="A123" s="1" t="s">
        <v>1114</v>
      </c>
    </row>
    <row r="124" customFormat="false" ht="15" hidden="false" customHeight="true" outlineLevel="0" collapsed="false">
      <c r="A124" s="1" t="s">
        <v>1115</v>
      </c>
    </row>
    <row r="130" customFormat="false" ht="15" hidden="false" customHeight="true" outlineLevel="0" collapsed="false">
      <c r="A130" s="1" t="s">
        <v>1116</v>
      </c>
    </row>
    <row r="131" customFormat="false" ht="15" hidden="false" customHeight="true" outlineLevel="0" collapsed="false">
      <c r="A131" s="1" t="s">
        <v>1117</v>
      </c>
    </row>
    <row r="132" customFormat="false" ht="15" hidden="false" customHeight="true" outlineLevel="0" collapsed="false">
      <c r="A132" s="1" t="s">
        <v>1118</v>
      </c>
    </row>
    <row r="133" customFormat="false" ht="15" hidden="false" customHeight="true" outlineLevel="0" collapsed="false">
      <c r="A133" s="1" t="s">
        <v>1119</v>
      </c>
    </row>
    <row r="134" customFormat="false" ht="15" hidden="false" customHeight="true" outlineLevel="0" collapsed="false">
      <c r="A134" s="1" t="s">
        <v>1120</v>
      </c>
    </row>
    <row r="135" customFormat="false" ht="15" hidden="false" customHeight="true" outlineLevel="0" collapsed="false">
      <c r="A135" s="1" t="s">
        <v>1121</v>
      </c>
    </row>
    <row r="136" customFormat="false" ht="15" hidden="false" customHeight="true" outlineLevel="0" collapsed="false">
      <c r="A136" s="1" t="s">
        <v>1122</v>
      </c>
    </row>
    <row r="137" customFormat="false" ht="15" hidden="false" customHeight="true" outlineLevel="0" collapsed="false">
      <c r="A137" s="1" t="s">
        <v>1123</v>
      </c>
    </row>
    <row r="138" customFormat="false" ht="15" hidden="false" customHeight="true" outlineLevel="0" collapsed="false">
      <c r="A138" s="1" t="s">
        <v>1124</v>
      </c>
    </row>
    <row r="139" customFormat="false" ht="15" hidden="false" customHeight="true" outlineLevel="0" collapsed="false">
      <c r="A139" s="1" t="s">
        <v>1125</v>
      </c>
    </row>
    <row r="141" customFormat="false" ht="15" hidden="false" customHeight="true" outlineLevel="0" collapsed="false">
      <c r="A141" s="1" t="s">
        <v>1126</v>
      </c>
    </row>
    <row r="142" customFormat="false" ht="15" hidden="false" customHeight="true" outlineLevel="0" collapsed="false">
      <c r="A142" s="1" t="s">
        <v>1127</v>
      </c>
    </row>
    <row r="143" customFormat="false" ht="15" hidden="false" customHeight="true" outlineLevel="0" collapsed="false">
      <c r="A143" s="1" t="s">
        <v>1128</v>
      </c>
    </row>
    <row r="144" customFormat="false" ht="15" hidden="false" customHeight="true" outlineLevel="0" collapsed="false">
      <c r="A144" s="1" t="s">
        <v>1129</v>
      </c>
    </row>
    <row r="145" customFormat="false" ht="15" hidden="false" customHeight="true" outlineLevel="0" collapsed="false">
      <c r="A145" s="1" t="s">
        <v>1130</v>
      </c>
    </row>
    <row r="146" customFormat="false" ht="15" hidden="false" customHeight="true" outlineLevel="0" collapsed="false">
      <c r="A146" s="1" t="s">
        <v>1131</v>
      </c>
    </row>
    <row r="147" customFormat="false" ht="15" hidden="false" customHeight="true" outlineLevel="0" collapsed="false">
      <c r="A147" s="1" t="s">
        <v>1132</v>
      </c>
    </row>
    <row r="148" customFormat="false" ht="15" hidden="false" customHeight="true" outlineLevel="0" collapsed="false">
      <c r="A148" s="1" t="s">
        <v>1133</v>
      </c>
    </row>
    <row r="149" customFormat="false" ht="15" hidden="false" customHeight="true" outlineLevel="0" collapsed="false">
      <c r="A149" s="1" t="s">
        <v>1134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1135</v>
      </c>
      <c r="B1" s="4" t="s">
        <v>1136</v>
      </c>
    </row>
    <row r="2" customFormat="false" ht="15" hidden="false" customHeight="true" outlineLevel="0" collapsed="false">
      <c r="A2" s="297" t="n">
        <v>1</v>
      </c>
      <c r="B2" s="302" t="n">
        <f aca="false">(1+Assumptions!$B$26)^INT((A2-1)/12)</f>
        <v>1</v>
      </c>
    </row>
    <row r="3" customFormat="false" ht="15" hidden="false" customHeight="true" outlineLevel="0" collapsed="false">
      <c r="A3" s="297" t="n">
        <v>2</v>
      </c>
      <c r="B3" s="302" t="n">
        <f aca="false">(1+Assumptions!$B$26)^INT((A3-1)/12)</f>
        <v>1</v>
      </c>
    </row>
    <row r="4" customFormat="false" ht="15" hidden="false" customHeight="true" outlineLevel="0" collapsed="false">
      <c r="A4" s="297" t="n">
        <v>3</v>
      </c>
      <c r="B4" s="302" t="n">
        <f aca="false">(1+Assumptions!$B$26)^INT((A4-1)/12)</f>
        <v>1</v>
      </c>
    </row>
    <row r="5" customFormat="false" ht="15" hidden="false" customHeight="true" outlineLevel="0" collapsed="false">
      <c r="A5" s="297" t="n">
        <v>4</v>
      </c>
      <c r="B5" s="302" t="n">
        <f aca="false">(1+Assumptions!$B$26)^INT((A5-1)/12)</f>
        <v>1</v>
      </c>
    </row>
    <row r="6" customFormat="false" ht="15" hidden="false" customHeight="true" outlineLevel="0" collapsed="false">
      <c r="A6" s="297" t="n">
        <v>5</v>
      </c>
      <c r="B6" s="302" t="n">
        <f aca="false">(1+Assumptions!$B$26)^INT((A6-1)/12)</f>
        <v>1</v>
      </c>
    </row>
    <row r="7" customFormat="false" ht="15" hidden="false" customHeight="true" outlineLevel="0" collapsed="false">
      <c r="A7" s="297" t="n">
        <v>6</v>
      </c>
      <c r="B7" s="302" t="n">
        <f aca="false">(1+Assumptions!$B$26)^INT((A7-1)/12)</f>
        <v>1</v>
      </c>
    </row>
    <row r="8" customFormat="false" ht="15" hidden="false" customHeight="true" outlineLevel="0" collapsed="false">
      <c r="A8" s="297" t="n">
        <v>7</v>
      </c>
      <c r="B8" s="302" t="n">
        <f aca="false">(1+Assumptions!$B$26)^INT((A8-1)/12)</f>
        <v>1</v>
      </c>
    </row>
    <row r="9" customFormat="false" ht="15" hidden="false" customHeight="true" outlineLevel="0" collapsed="false">
      <c r="A9" s="297" t="n">
        <v>8</v>
      </c>
      <c r="B9" s="302" t="n">
        <f aca="false">(1+Assumptions!$B$26)^INT((A9-1)/12)</f>
        <v>1</v>
      </c>
    </row>
    <row r="10" customFormat="false" ht="15" hidden="false" customHeight="true" outlineLevel="0" collapsed="false">
      <c r="A10" s="297" t="n">
        <v>9</v>
      </c>
      <c r="B10" s="302" t="n">
        <f aca="false">(1+Assumptions!$B$26)^INT((A10-1)/12)</f>
        <v>1</v>
      </c>
    </row>
    <row r="11" customFormat="false" ht="15" hidden="false" customHeight="true" outlineLevel="0" collapsed="false">
      <c r="A11" s="297" t="n">
        <v>10</v>
      </c>
      <c r="B11" s="302" t="n">
        <f aca="false">(1+Assumptions!$B$26)^INT((A11-1)/12)</f>
        <v>1</v>
      </c>
    </row>
    <row r="12" customFormat="false" ht="15" hidden="false" customHeight="true" outlineLevel="0" collapsed="false">
      <c r="A12" s="297" t="n">
        <v>11</v>
      </c>
      <c r="B12" s="302" t="n">
        <f aca="false">(1+Assumptions!$B$26)^INT((A12-1)/12)</f>
        <v>1</v>
      </c>
    </row>
    <row r="13" customFormat="false" ht="15" hidden="false" customHeight="true" outlineLevel="0" collapsed="false">
      <c r="A13" s="297" t="n">
        <v>12</v>
      </c>
      <c r="B13" s="302" t="n">
        <f aca="false">(1+Assumptions!$B$26)^INT((A13-1)/12)</f>
        <v>1</v>
      </c>
    </row>
    <row r="14" customFormat="false" ht="15" hidden="false" customHeight="true" outlineLevel="0" collapsed="false">
      <c r="A14" s="297" t="n">
        <v>13</v>
      </c>
      <c r="B14" s="302" t="n">
        <f aca="false">(1+Assumptions!$B$26)^INT((A14-1)/12)</f>
        <v>1.02</v>
      </c>
    </row>
    <row r="15" customFormat="false" ht="15" hidden="false" customHeight="true" outlineLevel="0" collapsed="false">
      <c r="A15" s="297" t="n">
        <v>14</v>
      </c>
      <c r="B15" s="302" t="n">
        <f aca="false">(1+Assumptions!$B$26)^INT((A15-1)/12)</f>
        <v>1.02</v>
      </c>
    </row>
    <row r="16" customFormat="false" ht="15" hidden="false" customHeight="true" outlineLevel="0" collapsed="false">
      <c r="A16" s="297" t="n">
        <v>15</v>
      </c>
      <c r="B16" s="302" t="n">
        <f aca="false">(1+Assumptions!$B$26)^INT((A16-1)/12)</f>
        <v>1.02</v>
      </c>
    </row>
    <row r="17" customFormat="false" ht="15" hidden="false" customHeight="true" outlineLevel="0" collapsed="false">
      <c r="A17" s="297" t="n">
        <v>16</v>
      </c>
      <c r="B17" s="302" t="n">
        <f aca="false">(1+Assumptions!$B$26)^INT((A17-1)/12)</f>
        <v>1.02</v>
      </c>
    </row>
    <row r="18" customFormat="false" ht="15" hidden="false" customHeight="true" outlineLevel="0" collapsed="false">
      <c r="A18" s="297" t="n">
        <v>17</v>
      </c>
      <c r="B18" s="302" t="n">
        <f aca="false">(1+Assumptions!$B$26)^INT((A18-1)/12)</f>
        <v>1.02</v>
      </c>
    </row>
    <row r="19" customFormat="false" ht="15" hidden="false" customHeight="true" outlineLevel="0" collapsed="false">
      <c r="A19" s="297" t="n">
        <v>18</v>
      </c>
      <c r="B19" s="302" t="n">
        <f aca="false">(1+Assumptions!$B$26)^INT((A19-1)/12)</f>
        <v>1.02</v>
      </c>
    </row>
    <row r="20" customFormat="false" ht="15" hidden="false" customHeight="true" outlineLevel="0" collapsed="false">
      <c r="A20" s="297" t="n">
        <v>19</v>
      </c>
      <c r="B20" s="302" t="n">
        <f aca="false">(1+Assumptions!$B$26)^INT((A20-1)/12)</f>
        <v>1.02</v>
      </c>
    </row>
    <row r="21" customFormat="false" ht="15" hidden="false" customHeight="true" outlineLevel="0" collapsed="false">
      <c r="A21" s="297" t="n">
        <v>20</v>
      </c>
      <c r="B21" s="302" t="n">
        <f aca="false">(1+Assumptions!$B$26)^INT((A21-1)/12)</f>
        <v>1.02</v>
      </c>
    </row>
    <row r="22" customFormat="false" ht="15" hidden="false" customHeight="true" outlineLevel="0" collapsed="false">
      <c r="A22" s="297" t="n">
        <v>21</v>
      </c>
      <c r="B22" s="302" t="n">
        <f aca="false">(1+Assumptions!$B$26)^INT((A22-1)/12)</f>
        <v>1.02</v>
      </c>
    </row>
    <row r="23" customFormat="false" ht="15" hidden="false" customHeight="true" outlineLevel="0" collapsed="false">
      <c r="A23" s="297" t="n">
        <v>22</v>
      </c>
      <c r="B23" s="302" t="n">
        <f aca="false">(1+Assumptions!$B$26)^INT((A23-1)/12)</f>
        <v>1.02</v>
      </c>
    </row>
    <row r="24" customFormat="false" ht="15" hidden="false" customHeight="true" outlineLevel="0" collapsed="false">
      <c r="A24" s="297" t="n">
        <v>23</v>
      </c>
      <c r="B24" s="302" t="n">
        <f aca="false">(1+Assumptions!$B$26)^INT((A24-1)/12)</f>
        <v>1.02</v>
      </c>
    </row>
    <row r="25" customFormat="false" ht="15" hidden="false" customHeight="true" outlineLevel="0" collapsed="false">
      <c r="A25" s="297" t="n">
        <v>24</v>
      </c>
      <c r="B25" s="302" t="n">
        <f aca="false">(1+Assumptions!$B$26)^INT((A25-1)/12)</f>
        <v>1.02</v>
      </c>
    </row>
    <row r="26" customFormat="false" ht="15" hidden="false" customHeight="true" outlineLevel="0" collapsed="false">
      <c r="A26" s="297" t="n">
        <v>25</v>
      </c>
      <c r="B26" s="302" t="n">
        <f aca="false">(1+Assumptions!$B$26)^INT((A26-1)/12)</f>
        <v>1.0404</v>
      </c>
    </row>
    <row r="27" customFormat="false" ht="15" hidden="false" customHeight="true" outlineLevel="0" collapsed="false">
      <c r="A27" s="297" t="n">
        <v>26</v>
      </c>
      <c r="B27" s="302" t="n">
        <f aca="false">(1+Assumptions!$B$26)^INT((A27-1)/12)</f>
        <v>1.0404</v>
      </c>
    </row>
    <row r="28" customFormat="false" ht="15" hidden="false" customHeight="true" outlineLevel="0" collapsed="false">
      <c r="A28" s="297" t="n">
        <v>27</v>
      </c>
      <c r="B28" s="302" t="n">
        <f aca="false">(1+Assumptions!$B$26)^INT((A28-1)/12)</f>
        <v>1.0404</v>
      </c>
    </row>
    <row r="29" customFormat="false" ht="15" hidden="false" customHeight="true" outlineLevel="0" collapsed="false">
      <c r="A29" s="297" t="n">
        <v>28</v>
      </c>
      <c r="B29" s="302" t="n">
        <f aca="false">(1+Assumptions!$B$26)^INT((A29-1)/12)</f>
        <v>1.0404</v>
      </c>
    </row>
    <row r="30" customFormat="false" ht="15" hidden="false" customHeight="true" outlineLevel="0" collapsed="false">
      <c r="A30" s="297" t="n">
        <v>29</v>
      </c>
      <c r="B30" s="302" t="n">
        <f aca="false">(1+Assumptions!$B$26)^INT((A30-1)/12)</f>
        <v>1.0404</v>
      </c>
    </row>
    <row r="31" customFormat="false" ht="15" hidden="false" customHeight="true" outlineLevel="0" collapsed="false">
      <c r="A31" s="297" t="n">
        <v>30</v>
      </c>
      <c r="B31" s="302" t="n">
        <f aca="false">(1+Assumptions!$B$26)^INT((A31-1)/12)</f>
        <v>1.0404</v>
      </c>
    </row>
    <row r="32" customFormat="false" ht="15" hidden="false" customHeight="true" outlineLevel="0" collapsed="false">
      <c r="A32" s="297" t="n">
        <v>31</v>
      </c>
      <c r="B32" s="302" t="n">
        <f aca="false">(1+Assumptions!$B$26)^INT((A32-1)/12)</f>
        <v>1.0404</v>
      </c>
    </row>
    <row r="33" customFormat="false" ht="15" hidden="false" customHeight="true" outlineLevel="0" collapsed="false">
      <c r="A33" s="297" t="n">
        <v>32</v>
      </c>
      <c r="B33" s="302" t="n">
        <f aca="false">(1+Assumptions!$B$26)^INT((A33-1)/12)</f>
        <v>1.0404</v>
      </c>
    </row>
    <row r="34" customFormat="false" ht="15" hidden="false" customHeight="true" outlineLevel="0" collapsed="false">
      <c r="A34" s="297" t="n">
        <v>33</v>
      </c>
      <c r="B34" s="302" t="n">
        <f aca="false">(1+Assumptions!$B$26)^INT((A34-1)/12)</f>
        <v>1.0404</v>
      </c>
    </row>
    <row r="35" customFormat="false" ht="15" hidden="false" customHeight="true" outlineLevel="0" collapsed="false">
      <c r="A35" s="297" t="n">
        <v>34</v>
      </c>
      <c r="B35" s="302" t="n">
        <f aca="false">(1+Assumptions!$B$26)^INT((A35-1)/12)</f>
        <v>1.0404</v>
      </c>
    </row>
    <row r="36" customFormat="false" ht="15" hidden="false" customHeight="true" outlineLevel="0" collapsed="false">
      <c r="A36" s="297" t="n">
        <v>35</v>
      </c>
      <c r="B36" s="302" t="n">
        <f aca="false">(1+Assumptions!$B$26)^INT((A36-1)/12)</f>
        <v>1.0404</v>
      </c>
    </row>
    <row r="37" customFormat="false" ht="15" hidden="false" customHeight="true" outlineLevel="0" collapsed="false">
      <c r="A37" s="297" t="n">
        <v>36</v>
      </c>
      <c r="B37" s="302" t="n">
        <f aca="false">(1+Assumptions!$B$26)^INT((A37-1)/12)</f>
        <v>1.0404</v>
      </c>
    </row>
    <row r="38" customFormat="false" ht="15" hidden="false" customHeight="true" outlineLevel="0" collapsed="false">
      <c r="A38" s="297" t="n">
        <v>37</v>
      </c>
      <c r="B38" s="302" t="n">
        <f aca="false">(1+Assumptions!$B$26)^INT((A38-1)/12)</f>
        <v>1.061208</v>
      </c>
    </row>
    <row r="39" customFormat="false" ht="15" hidden="false" customHeight="true" outlineLevel="0" collapsed="false">
      <c r="A39" s="297" t="n">
        <v>38</v>
      </c>
      <c r="B39" s="302" t="n">
        <f aca="false">(1+Assumptions!$B$26)^INT((A39-1)/12)</f>
        <v>1.061208</v>
      </c>
    </row>
    <row r="40" customFormat="false" ht="15" hidden="false" customHeight="true" outlineLevel="0" collapsed="false">
      <c r="A40" s="297" t="n">
        <v>39</v>
      </c>
      <c r="B40" s="302" t="n">
        <f aca="false">(1+Assumptions!$B$26)^INT((A40-1)/12)</f>
        <v>1.061208</v>
      </c>
    </row>
    <row r="41" customFormat="false" ht="15" hidden="false" customHeight="true" outlineLevel="0" collapsed="false">
      <c r="A41" s="297" t="n">
        <v>40</v>
      </c>
      <c r="B41" s="302" t="n">
        <f aca="false">(1+Assumptions!$B$26)^INT((A41-1)/12)</f>
        <v>1.061208</v>
      </c>
    </row>
    <row r="42" customFormat="false" ht="15" hidden="false" customHeight="true" outlineLevel="0" collapsed="false">
      <c r="A42" s="297" t="n">
        <v>41</v>
      </c>
      <c r="B42" s="302" t="n">
        <f aca="false">(1+Assumptions!$B$26)^INT((A42-1)/12)</f>
        <v>1.061208</v>
      </c>
    </row>
    <row r="43" customFormat="false" ht="15" hidden="false" customHeight="true" outlineLevel="0" collapsed="false">
      <c r="A43" s="297" t="n">
        <v>42</v>
      </c>
      <c r="B43" s="302" t="n">
        <f aca="false">(1+Assumptions!$B$26)^INT((A43-1)/12)</f>
        <v>1.061208</v>
      </c>
    </row>
    <row r="44" customFormat="false" ht="15" hidden="false" customHeight="true" outlineLevel="0" collapsed="false">
      <c r="A44" s="297" t="n">
        <v>43</v>
      </c>
      <c r="B44" s="302" t="n">
        <f aca="false">(1+Assumptions!$B$26)^INT((A44-1)/12)</f>
        <v>1.061208</v>
      </c>
    </row>
    <row r="45" customFormat="false" ht="15" hidden="false" customHeight="true" outlineLevel="0" collapsed="false">
      <c r="A45" s="297" t="n">
        <v>44</v>
      </c>
      <c r="B45" s="302" t="n">
        <f aca="false">(1+Assumptions!$B$26)^INT((A45-1)/12)</f>
        <v>1.061208</v>
      </c>
    </row>
    <row r="46" customFormat="false" ht="15" hidden="false" customHeight="true" outlineLevel="0" collapsed="false">
      <c r="A46" s="297" t="n">
        <v>45</v>
      </c>
      <c r="B46" s="302" t="n">
        <f aca="false">(1+Assumptions!$B$26)^INT((A46-1)/12)</f>
        <v>1.061208</v>
      </c>
    </row>
    <row r="47" customFormat="false" ht="15" hidden="false" customHeight="true" outlineLevel="0" collapsed="false">
      <c r="A47" s="297" t="n">
        <v>46</v>
      </c>
      <c r="B47" s="302" t="n">
        <f aca="false">(1+Assumptions!$B$26)^INT((A47-1)/12)</f>
        <v>1.061208</v>
      </c>
    </row>
    <row r="48" customFormat="false" ht="15" hidden="false" customHeight="true" outlineLevel="0" collapsed="false">
      <c r="A48" s="297" t="n">
        <v>47</v>
      </c>
      <c r="B48" s="302" t="n">
        <f aca="false">(1+Assumptions!$B$26)^INT((A48-1)/12)</f>
        <v>1.061208</v>
      </c>
    </row>
    <row r="49" customFormat="false" ht="15" hidden="false" customHeight="true" outlineLevel="0" collapsed="false">
      <c r="A49" s="297" t="n">
        <v>48</v>
      </c>
      <c r="B49" s="302" t="n">
        <f aca="false">(1+Assumptions!$B$26)^INT((A49-1)/12)</f>
        <v>1.061208</v>
      </c>
    </row>
    <row r="50" customFormat="false" ht="15" hidden="false" customHeight="true" outlineLevel="0" collapsed="false">
      <c r="A50" s="297" t="n">
        <v>49</v>
      </c>
      <c r="B50" s="302" t="n">
        <f aca="false">(1+Assumptions!$B$26)^INT((A50-1)/12)</f>
        <v>1.08243216</v>
      </c>
    </row>
    <row r="51" customFormat="false" ht="15" hidden="false" customHeight="true" outlineLevel="0" collapsed="false">
      <c r="A51" s="297" t="n">
        <v>50</v>
      </c>
      <c r="B51" s="302" t="n">
        <f aca="false">(1+Assumptions!$B$26)^INT((A51-1)/12)</f>
        <v>1.08243216</v>
      </c>
    </row>
    <row r="52" customFormat="false" ht="15" hidden="false" customHeight="true" outlineLevel="0" collapsed="false">
      <c r="A52" s="297" t="n">
        <v>51</v>
      </c>
      <c r="B52" s="302" t="n">
        <f aca="false">(1+Assumptions!$B$26)^INT((A52-1)/12)</f>
        <v>1.08243216</v>
      </c>
    </row>
    <row r="53" customFormat="false" ht="15" hidden="false" customHeight="true" outlineLevel="0" collapsed="false">
      <c r="A53" s="297" t="n">
        <v>52</v>
      </c>
      <c r="B53" s="302" t="n">
        <f aca="false">(1+Assumptions!$B$26)^INT((A53-1)/12)</f>
        <v>1.08243216</v>
      </c>
    </row>
    <row r="54" customFormat="false" ht="15" hidden="false" customHeight="true" outlineLevel="0" collapsed="false">
      <c r="A54" s="297" t="n">
        <v>53</v>
      </c>
      <c r="B54" s="302" t="n">
        <f aca="false">(1+Assumptions!$B$26)^INT((A54-1)/12)</f>
        <v>1.08243216</v>
      </c>
    </row>
    <row r="55" customFormat="false" ht="15" hidden="false" customHeight="true" outlineLevel="0" collapsed="false">
      <c r="A55" s="297" t="n">
        <v>54</v>
      </c>
      <c r="B55" s="302" t="n">
        <f aca="false">(1+Assumptions!$B$26)^INT((A55-1)/12)</f>
        <v>1.08243216</v>
      </c>
    </row>
    <row r="56" customFormat="false" ht="15" hidden="false" customHeight="true" outlineLevel="0" collapsed="false">
      <c r="A56" s="297" t="n">
        <v>55</v>
      </c>
      <c r="B56" s="302" t="n">
        <f aca="false">(1+Assumptions!$B$26)^INT((A56-1)/12)</f>
        <v>1.08243216</v>
      </c>
    </row>
    <row r="57" customFormat="false" ht="15" hidden="false" customHeight="true" outlineLevel="0" collapsed="false">
      <c r="A57" s="297" t="n">
        <v>56</v>
      </c>
      <c r="B57" s="302" t="n">
        <f aca="false">(1+Assumptions!$B$26)^INT((A57-1)/12)</f>
        <v>1.08243216</v>
      </c>
    </row>
    <row r="58" customFormat="false" ht="15" hidden="false" customHeight="true" outlineLevel="0" collapsed="false">
      <c r="A58" s="297" t="n">
        <v>57</v>
      </c>
      <c r="B58" s="302" t="n">
        <f aca="false">(1+Assumptions!$B$26)^INT((A58-1)/12)</f>
        <v>1.08243216</v>
      </c>
    </row>
    <row r="59" customFormat="false" ht="15" hidden="false" customHeight="true" outlineLevel="0" collapsed="false">
      <c r="A59" s="297" t="n">
        <v>58</v>
      </c>
      <c r="B59" s="302" t="n">
        <f aca="false">(1+Assumptions!$B$26)^INT((A59-1)/12)</f>
        <v>1.08243216</v>
      </c>
    </row>
    <row r="60" customFormat="false" ht="15" hidden="false" customHeight="true" outlineLevel="0" collapsed="false">
      <c r="A60" s="297" t="n">
        <v>59</v>
      </c>
      <c r="B60" s="302" t="n">
        <f aca="false">(1+Assumptions!$B$26)^INT((A60-1)/12)</f>
        <v>1.08243216</v>
      </c>
    </row>
    <row r="61" customFormat="false" ht="15" hidden="false" customHeight="true" outlineLevel="0" collapsed="false">
      <c r="A61" s="297" t="n">
        <v>60</v>
      </c>
      <c r="B61" s="302" t="n">
        <f aca="false">(1+Assumptions!$B$26)^INT((A61-1)/12)</f>
        <v>1.08243216</v>
      </c>
    </row>
    <row r="62" customFormat="false" ht="15" hidden="false" customHeight="true" outlineLevel="0" collapsed="false">
      <c r="A62" s="297" t="n">
        <v>61</v>
      </c>
      <c r="B62" s="302" t="n">
        <f aca="false">(1+Assumptions!$B$26)^INT((A62-1)/12)</f>
        <v>1.1040808032</v>
      </c>
    </row>
    <row r="63" customFormat="false" ht="15" hidden="false" customHeight="true" outlineLevel="0" collapsed="false">
      <c r="A63" s="297" t="n">
        <v>62</v>
      </c>
      <c r="B63" s="302" t="n">
        <f aca="false">(1+Assumptions!$B$26)^INT((A63-1)/12)</f>
        <v>1.1040808032</v>
      </c>
    </row>
    <row r="64" customFormat="false" ht="15" hidden="false" customHeight="true" outlineLevel="0" collapsed="false">
      <c r="A64" s="297" t="n">
        <v>63</v>
      </c>
      <c r="B64" s="302" t="n">
        <f aca="false">(1+Assumptions!$B$26)^INT((A64-1)/12)</f>
        <v>1.1040808032</v>
      </c>
    </row>
    <row r="65" customFormat="false" ht="15" hidden="false" customHeight="true" outlineLevel="0" collapsed="false">
      <c r="A65" s="297" t="n">
        <v>64</v>
      </c>
      <c r="B65" s="302" t="n">
        <f aca="false">(1+Assumptions!$B$26)^INT((A65-1)/12)</f>
        <v>1.1040808032</v>
      </c>
    </row>
    <row r="66" customFormat="false" ht="15" hidden="false" customHeight="true" outlineLevel="0" collapsed="false">
      <c r="A66" s="297" t="n">
        <v>65</v>
      </c>
      <c r="B66" s="302" t="n">
        <f aca="false">(1+Assumptions!$B$26)^INT((A66-1)/12)</f>
        <v>1.1040808032</v>
      </c>
    </row>
    <row r="67" customFormat="false" ht="15" hidden="false" customHeight="true" outlineLevel="0" collapsed="false">
      <c r="A67" s="297" t="n">
        <v>66</v>
      </c>
      <c r="B67" s="302" t="n">
        <f aca="false">(1+Assumptions!$B$26)^INT((A67-1)/12)</f>
        <v>1.1040808032</v>
      </c>
    </row>
    <row r="68" customFormat="false" ht="15" hidden="false" customHeight="true" outlineLevel="0" collapsed="false">
      <c r="A68" s="297" t="n">
        <v>67</v>
      </c>
      <c r="B68" s="302" t="n">
        <f aca="false">(1+Assumptions!$B$26)^INT((A68-1)/12)</f>
        <v>1.1040808032</v>
      </c>
    </row>
    <row r="69" customFormat="false" ht="15" hidden="false" customHeight="true" outlineLevel="0" collapsed="false">
      <c r="A69" s="297" t="n">
        <v>68</v>
      </c>
      <c r="B69" s="302" t="n">
        <f aca="false">(1+Assumptions!$B$26)^INT((A69-1)/12)</f>
        <v>1.1040808032</v>
      </c>
    </row>
    <row r="70" customFormat="false" ht="15" hidden="false" customHeight="true" outlineLevel="0" collapsed="false">
      <c r="A70" s="297" t="n">
        <v>69</v>
      </c>
      <c r="B70" s="302" t="n">
        <f aca="false">(1+Assumptions!$B$26)^INT((A70-1)/12)</f>
        <v>1.1040808032</v>
      </c>
    </row>
    <row r="71" customFormat="false" ht="15" hidden="false" customHeight="true" outlineLevel="0" collapsed="false">
      <c r="A71" s="297" t="n">
        <v>70</v>
      </c>
      <c r="B71" s="302" t="n">
        <f aca="false">(1+Assumptions!$B$26)^INT((A71-1)/12)</f>
        <v>1.1040808032</v>
      </c>
    </row>
    <row r="72" customFormat="false" ht="15" hidden="false" customHeight="true" outlineLevel="0" collapsed="false">
      <c r="A72" s="297" t="n">
        <v>71</v>
      </c>
      <c r="B72" s="302" t="n">
        <f aca="false">(1+Assumptions!$B$26)^INT((A72-1)/12)</f>
        <v>1.1040808032</v>
      </c>
    </row>
    <row r="73" customFormat="false" ht="15" hidden="false" customHeight="true" outlineLevel="0" collapsed="false">
      <c r="A73" s="297" t="n">
        <v>72</v>
      </c>
      <c r="B73" s="302" t="n">
        <f aca="false">(1+Assumptions!$B$26)^INT((A73-1)/12)</f>
        <v>1.1040808032</v>
      </c>
    </row>
    <row r="74" customFormat="false" ht="15" hidden="false" customHeight="true" outlineLevel="0" collapsed="false">
      <c r="A74" s="297" t="n">
        <v>73</v>
      </c>
      <c r="B74" s="302" t="n">
        <f aca="false">(1+Assumptions!$B$26)^INT((A74-1)/12)</f>
        <v>1.126162419264</v>
      </c>
    </row>
    <row r="75" customFormat="false" ht="15" hidden="false" customHeight="true" outlineLevel="0" collapsed="false">
      <c r="A75" s="297" t="n">
        <v>74</v>
      </c>
      <c r="B75" s="302" t="n">
        <f aca="false">(1+Assumptions!$B$26)^INT((A75-1)/12)</f>
        <v>1.126162419264</v>
      </c>
    </row>
    <row r="76" customFormat="false" ht="15" hidden="false" customHeight="true" outlineLevel="0" collapsed="false">
      <c r="A76" s="297" t="n">
        <v>75</v>
      </c>
      <c r="B76" s="302" t="n">
        <f aca="false">(1+Assumptions!$B$26)^INT((A76-1)/12)</f>
        <v>1.126162419264</v>
      </c>
    </row>
    <row r="77" customFormat="false" ht="15" hidden="false" customHeight="true" outlineLevel="0" collapsed="false">
      <c r="A77" s="297" t="n">
        <v>76</v>
      </c>
      <c r="B77" s="302" t="n">
        <f aca="false">(1+Assumptions!$B$26)^INT((A77-1)/12)</f>
        <v>1.126162419264</v>
      </c>
    </row>
    <row r="78" customFormat="false" ht="15" hidden="false" customHeight="true" outlineLevel="0" collapsed="false">
      <c r="A78" s="297" t="n">
        <v>77</v>
      </c>
      <c r="B78" s="302" t="n">
        <f aca="false">(1+Assumptions!$B$26)^INT((A78-1)/12)</f>
        <v>1.126162419264</v>
      </c>
    </row>
    <row r="79" customFormat="false" ht="15" hidden="false" customHeight="true" outlineLevel="0" collapsed="false">
      <c r="A79" s="297" t="n">
        <v>78</v>
      </c>
      <c r="B79" s="302" t="n">
        <f aca="false">(1+Assumptions!$B$26)^INT((A79-1)/12)</f>
        <v>1.126162419264</v>
      </c>
    </row>
    <row r="80" customFormat="false" ht="15" hidden="false" customHeight="true" outlineLevel="0" collapsed="false">
      <c r="A80" s="297" t="n">
        <v>79</v>
      </c>
      <c r="B80" s="302" t="n">
        <f aca="false">(1+Assumptions!$B$26)^INT((A80-1)/12)</f>
        <v>1.126162419264</v>
      </c>
    </row>
    <row r="81" customFormat="false" ht="15" hidden="false" customHeight="true" outlineLevel="0" collapsed="false">
      <c r="A81" s="297" t="n">
        <v>80</v>
      </c>
      <c r="B81" s="302" t="n">
        <f aca="false">(1+Assumptions!$B$26)^INT((A81-1)/12)</f>
        <v>1.126162419264</v>
      </c>
    </row>
    <row r="82" customFormat="false" ht="15" hidden="false" customHeight="true" outlineLevel="0" collapsed="false">
      <c r="A82" s="297" t="n">
        <v>81</v>
      </c>
      <c r="B82" s="302" t="n">
        <f aca="false">(1+Assumptions!$B$26)^INT((A82-1)/12)</f>
        <v>1.126162419264</v>
      </c>
    </row>
    <row r="83" customFormat="false" ht="15" hidden="false" customHeight="true" outlineLevel="0" collapsed="false">
      <c r="A83" s="297" t="n">
        <v>82</v>
      </c>
      <c r="B83" s="302" t="n">
        <f aca="false">(1+Assumptions!$B$26)^INT((A83-1)/12)</f>
        <v>1.126162419264</v>
      </c>
    </row>
    <row r="84" customFormat="false" ht="15" hidden="false" customHeight="true" outlineLevel="0" collapsed="false">
      <c r="A84" s="297" t="n">
        <v>83</v>
      </c>
      <c r="B84" s="302" t="n">
        <f aca="false">(1+Assumptions!$B$26)^INT((A84-1)/12)</f>
        <v>1.126162419264</v>
      </c>
    </row>
    <row r="85" customFormat="false" ht="15" hidden="false" customHeight="true" outlineLevel="0" collapsed="false">
      <c r="A85" s="297" t="n">
        <v>84</v>
      </c>
      <c r="B85" s="30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2" t="s">
        <v>1137</v>
      </c>
      <c r="B1" s="282"/>
      <c r="C1" s="282"/>
      <c r="D1" s="28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7" t="n">
        <v>1</v>
      </c>
      <c r="D3" s="297" t="n">
        <v>2</v>
      </c>
      <c r="E3" s="297" t="n">
        <v>3</v>
      </c>
      <c r="F3" s="297" t="n">
        <v>4</v>
      </c>
      <c r="G3" s="297" t="n">
        <v>5</v>
      </c>
      <c r="H3" s="297" t="n">
        <v>6</v>
      </c>
      <c r="I3" s="297" t="n">
        <v>7</v>
      </c>
      <c r="J3" s="297" t="n">
        <v>8</v>
      </c>
      <c r="K3" s="297" t="n">
        <v>9</v>
      </c>
      <c r="L3" s="297" t="n">
        <v>10</v>
      </c>
      <c r="M3" s="297" t="n">
        <v>11</v>
      </c>
      <c r="N3" s="297" t="n">
        <v>12</v>
      </c>
      <c r="O3" s="297" t="n">
        <v>13</v>
      </c>
      <c r="P3" s="297" t="n">
        <v>14</v>
      </c>
      <c r="Q3" s="297" t="n">
        <v>15</v>
      </c>
      <c r="R3" s="297" t="n">
        <v>16</v>
      </c>
      <c r="S3" s="297" t="n">
        <v>17</v>
      </c>
      <c r="T3" s="297" t="n">
        <v>18</v>
      </c>
      <c r="U3" s="297" t="n">
        <v>19</v>
      </c>
      <c r="V3" s="297" t="n">
        <v>20</v>
      </c>
      <c r="W3" s="297" t="n">
        <v>21</v>
      </c>
      <c r="X3" s="297" t="n">
        <v>22</v>
      </c>
      <c r="Y3" s="297" t="n">
        <v>23</v>
      </c>
      <c r="Z3" s="297" t="n">
        <v>24</v>
      </c>
      <c r="AA3" s="297" t="n">
        <v>25</v>
      </c>
      <c r="AB3" s="297" t="n">
        <v>26</v>
      </c>
      <c r="AC3" s="297" t="n">
        <v>27</v>
      </c>
      <c r="AD3" s="297" t="n">
        <v>28</v>
      </c>
      <c r="AE3" s="297" t="n">
        <v>29</v>
      </c>
      <c r="AF3" s="297" t="n">
        <v>30</v>
      </c>
      <c r="AG3" s="297" t="n">
        <v>31</v>
      </c>
      <c r="AH3" s="297" t="n">
        <v>32</v>
      </c>
      <c r="AI3" s="297" t="n">
        <v>33</v>
      </c>
      <c r="AJ3" s="297" t="n">
        <v>34</v>
      </c>
      <c r="AK3" s="297" t="n">
        <v>35</v>
      </c>
      <c r="AL3" s="297" t="n">
        <v>36</v>
      </c>
      <c r="AM3" s="297" t="n">
        <v>37</v>
      </c>
      <c r="AN3" s="297" t="n">
        <v>38</v>
      </c>
      <c r="AO3" s="297" t="n">
        <v>39</v>
      </c>
      <c r="AP3" s="297" t="n">
        <v>40</v>
      </c>
      <c r="AQ3" s="297" t="n">
        <v>41</v>
      </c>
      <c r="AR3" s="297" t="n">
        <v>42</v>
      </c>
      <c r="AS3" s="297" t="n">
        <v>43</v>
      </c>
      <c r="AT3" s="297" t="n">
        <v>44</v>
      </c>
      <c r="AU3" s="297" t="n">
        <v>45</v>
      </c>
      <c r="AV3" s="297" t="n">
        <v>46</v>
      </c>
      <c r="AW3" s="297" t="n">
        <v>47</v>
      </c>
      <c r="AX3" s="297" t="n">
        <v>48</v>
      </c>
      <c r="AY3" s="297" t="n">
        <v>49</v>
      </c>
      <c r="AZ3" s="297" t="n">
        <v>50</v>
      </c>
      <c r="BA3" s="297" t="n">
        <v>51</v>
      </c>
      <c r="BB3" s="297" t="n">
        <v>52</v>
      </c>
      <c r="BC3" s="297" t="n">
        <v>53</v>
      </c>
      <c r="BD3" s="297" t="n">
        <v>54</v>
      </c>
      <c r="BE3" s="297" t="n">
        <v>55</v>
      </c>
      <c r="BF3" s="297" t="n">
        <v>56</v>
      </c>
      <c r="BG3" s="297" t="n">
        <v>57</v>
      </c>
      <c r="BH3" s="297" t="n">
        <v>58</v>
      </c>
      <c r="BI3" s="297" t="n">
        <v>59</v>
      </c>
      <c r="BJ3" s="297" t="n">
        <v>60</v>
      </c>
      <c r="BK3" s="297" t="n">
        <v>61</v>
      </c>
      <c r="BL3" s="297" t="n">
        <v>62</v>
      </c>
      <c r="BM3" s="297" t="n">
        <v>63</v>
      </c>
      <c r="BN3" s="297" t="n">
        <v>64</v>
      </c>
      <c r="BO3" s="297" t="n">
        <v>65</v>
      </c>
      <c r="BP3" s="297" t="n">
        <v>66</v>
      </c>
      <c r="BQ3" s="297" t="n">
        <v>67</v>
      </c>
      <c r="BR3" s="297" t="n">
        <v>68</v>
      </c>
      <c r="BS3" s="297" t="n">
        <v>69</v>
      </c>
      <c r="BT3" s="297" t="n">
        <v>70</v>
      </c>
      <c r="BU3" s="297" t="n">
        <v>71</v>
      </c>
      <c r="BV3" s="297" t="n">
        <v>72</v>
      </c>
      <c r="BW3" s="297" t="n">
        <v>73</v>
      </c>
      <c r="BX3" s="297" t="n">
        <v>74</v>
      </c>
      <c r="BY3" s="297" t="n">
        <v>75</v>
      </c>
      <c r="BZ3" s="297" t="n">
        <v>76</v>
      </c>
      <c r="CA3" s="297" t="n">
        <v>77</v>
      </c>
      <c r="CB3" s="297" t="n">
        <v>78</v>
      </c>
      <c r="CC3" s="297" t="n">
        <v>79</v>
      </c>
      <c r="CD3" s="297" t="n">
        <v>80</v>
      </c>
      <c r="CE3" s="297" t="n">
        <v>81</v>
      </c>
      <c r="CF3" s="297" t="n">
        <v>82</v>
      </c>
      <c r="CG3" s="297" t="n">
        <v>83</v>
      </c>
      <c r="CH3" s="297" t="n">
        <v>84</v>
      </c>
      <c r="CI3" s="297" t="n">
        <v>84</v>
      </c>
      <c r="CJ3" s="297" t="n">
        <v>84</v>
      </c>
      <c r="CK3" s="297" t="n">
        <v>84</v>
      </c>
      <c r="CL3" s="297" t="n">
        <v>84</v>
      </c>
      <c r="CM3" s="297" t="n">
        <v>84</v>
      </c>
      <c r="CN3" s="297" t="n">
        <v>84</v>
      </c>
      <c r="CO3" s="297" t="n">
        <v>84</v>
      </c>
      <c r="CP3" s="297" t="n">
        <v>84</v>
      </c>
      <c r="CQ3" s="297" t="n">
        <v>84</v>
      </c>
    </row>
    <row r="4" customFormat="false" ht="15" hidden="false" customHeight="true" outlineLevel="0" collapsed="false">
      <c r="A4" s="177" t="s">
        <v>1138</v>
      </c>
      <c r="C4" s="287" t="n">
        <f aca="false">(SUMPRODUCT((Personnel!$O$9:$O$100&lt;&gt;"")*(Personnel!$G$9:$G$100="Yes")*(1&gt;=Personnel!$E$9:$E$100)*((Personnel!$K$9:$K$100="")+(1&lt;=Personnel!$K$9:$K$100)&gt;0)*Personnel!$D$9:$D$100*(1-Personnel!$H$9:$H$100))+Staffing!E81)*Escalation!$B$2</f>
        <v>225047.666666667</v>
      </c>
      <c r="D4" s="287" t="n">
        <f aca="false">(SUMPRODUCT((Personnel!$O$9:$O$100&lt;&gt;"")*(Personnel!$G$9:$G$100="Yes")*(2&gt;=Personnel!$E$9:$E$100)*((Personnel!$K$9:$K$100="")+(2&lt;=Personnel!$K$9:$K$100)&gt;0)*Personnel!$D$9:$D$100*(1-Personnel!$H$9:$H$100))+Staffing!F81)*Escalation!$B$3</f>
        <v>249631</v>
      </c>
      <c r="E4" s="287" t="n">
        <f aca="false">(SUMPRODUCT((Personnel!$O$9:$O$100&lt;&gt;"")*(Personnel!$G$9:$G$100="Yes")*(3&gt;=Personnel!$E$9:$E$100)*((Personnel!$K$9:$K$100="")+(3&lt;=Personnel!$K$9:$K$100)&gt;0)*Personnel!$D$9:$D$100*(1-Personnel!$H$9:$H$100))+Staffing!G81)*Escalation!$B$4</f>
        <v>274631</v>
      </c>
      <c r="F4" s="287" t="n">
        <f aca="false">(SUMPRODUCT((Personnel!$O$9:$O$100&lt;&gt;"")*(Personnel!$G$9:$G$100="Yes")*(4&gt;=Personnel!$E$9:$E$100)*((Personnel!$K$9:$K$100="")+(4&lt;=Personnel!$K$9:$K$100)&gt;0)*Personnel!$D$9:$D$100*(1-Personnel!$H$9:$H$100))+Staffing!H81)*Escalation!$B$5</f>
        <v>288797.666666667</v>
      </c>
      <c r="G4" s="287" t="n">
        <f aca="false">(SUMPRODUCT((Personnel!$O$9:$O$100&lt;&gt;"")*(Personnel!$G$9:$G$100="Yes")*(5&gt;=Personnel!$E$9:$E$100)*((Personnel!$K$9:$K$100="")+(5&lt;=Personnel!$K$9:$K$100)&gt;0)*Personnel!$D$9:$D$100*(1-Personnel!$H$9:$H$100))+Staffing!I81)*Escalation!$B$6</f>
        <v>300881</v>
      </c>
      <c r="H4" s="287" t="n">
        <f aca="false">(SUMPRODUCT((Personnel!$O$9:$O$100&lt;&gt;"")*(Personnel!$G$9:$G$100="Yes")*(6&gt;=Personnel!$E$9:$E$100)*((Personnel!$K$9:$K$100="")+(6&lt;=Personnel!$K$9:$K$100)&gt;0)*Personnel!$D$9:$D$100*(1-Personnel!$H$9:$H$100))+Staffing!J81)*Escalation!$B$7</f>
        <v>313797.666666667</v>
      </c>
      <c r="I4" s="287" t="n">
        <f aca="false">(SUMPRODUCT((Personnel!$O$9:$O$100&lt;&gt;"")*(Personnel!$G$9:$G$100="Yes")*(7&gt;=Personnel!$E$9:$E$100)*((Personnel!$K$9:$K$100="")+(7&lt;=Personnel!$K$9:$K$100)&gt;0)*Personnel!$D$9:$D$100*(1-Personnel!$H$9:$H$100))+Staffing!K81)*Escalation!$B$8</f>
        <v>313797.666666667</v>
      </c>
      <c r="J4" s="287" t="n">
        <f aca="false">(SUMPRODUCT((Personnel!$O$9:$O$100&lt;&gt;"")*(Personnel!$G$9:$G$100="Yes")*(8&gt;=Personnel!$E$9:$E$100)*((Personnel!$K$9:$K$100="")+(8&lt;=Personnel!$K$9:$K$100)&gt;0)*Personnel!$D$9:$D$100*(1-Personnel!$H$9:$H$100))+Staffing!L81)*Escalation!$B$9</f>
        <v>313797.666666667</v>
      </c>
      <c r="K4" s="287" t="n">
        <f aca="false">(SUMPRODUCT((Personnel!$O$9:$O$100&lt;&gt;"")*(Personnel!$G$9:$G$100="Yes")*(9&gt;=Personnel!$E$9:$E$100)*((Personnel!$K$9:$K$100="")+(9&lt;=Personnel!$K$9:$K$100)&gt;0)*Personnel!$D$9:$D$100*(1-Personnel!$H$9:$H$100))+Staffing!M81)*Escalation!$B$10</f>
        <v>337547.666666667</v>
      </c>
      <c r="L4" s="287" t="n">
        <f aca="false">(SUMPRODUCT((Personnel!$O$9:$O$100&lt;&gt;"")*(Personnel!$G$9:$G$100="Yes")*(10&gt;=Personnel!$E$9:$E$100)*((Personnel!$K$9:$K$100="")+(10&lt;=Personnel!$K$9:$K$100)&gt;0)*Personnel!$D$9:$D$100*(1-Personnel!$H$9:$H$100))+Staffing!N81)*Escalation!$B$11</f>
        <v>358797.666666667</v>
      </c>
      <c r="M4" s="287" t="n">
        <f aca="false">(SUMPRODUCT((Personnel!$O$9:$O$100&lt;&gt;"")*(Personnel!$G$9:$G$100="Yes")*(11&gt;=Personnel!$E$9:$E$100)*((Personnel!$K$9:$K$100="")+(11&lt;=Personnel!$K$9:$K$100)&gt;0)*Personnel!$D$9:$D$100*(1-Personnel!$H$9:$H$100))+Staffing!O81)*Escalation!$B$12</f>
        <v>404214.333333333</v>
      </c>
      <c r="N4" s="287" t="n">
        <f aca="false">(SUMPRODUCT((Personnel!$O$9:$O$100&lt;&gt;"")*(Personnel!$G$9:$G$100="Yes")*(12&gt;=Personnel!$E$9:$E$100)*((Personnel!$K$9:$K$100="")+(12&lt;=Personnel!$K$9:$K$100)&gt;0)*Personnel!$D$9:$D$100*(1-Personnel!$H$9:$H$100))+Staffing!P81)*Escalation!$B$13</f>
        <v>404214.333333333</v>
      </c>
      <c r="O4" s="287" t="n">
        <f aca="false">(SUMPRODUCT((Personnel!$O$9:$O$100&lt;&gt;"")*(Personnel!$G$9:$G$100="Yes")*(13&gt;=Personnel!$E$9:$E$100)*((Personnel!$K$9:$K$100="")+(13&lt;=Personnel!$K$9:$K$100)&gt;0)*Personnel!$D$9:$D$100*(1-Personnel!$H$9:$H$100))+Staffing!Q81)*Escalation!$B$14</f>
        <v>436523.62</v>
      </c>
      <c r="P4" s="287" t="n">
        <f aca="false">(SUMPRODUCT((Personnel!$O$9:$O$100&lt;&gt;"")*(Personnel!$G$9:$G$100="Yes")*(14&gt;=Personnel!$E$9:$E$100)*((Personnel!$K$9:$K$100="")+(14&lt;=Personnel!$K$9:$K$100)&gt;0)*Personnel!$D$9:$D$100*(1-Personnel!$H$9:$H$100))+Staffing!R81)*Escalation!$B$15</f>
        <v>467973.62</v>
      </c>
      <c r="Q4" s="287" t="n">
        <f aca="false">(SUMPRODUCT((Personnel!$O$9:$O$100&lt;&gt;"")*(Personnel!$G$9:$G$100="Yes")*(15&gt;=Personnel!$E$9:$E$100)*((Personnel!$K$9:$K$100="")+(15&lt;=Personnel!$K$9:$K$100)&gt;0)*Personnel!$D$9:$D$100*(1-Personnel!$H$9:$H$100))+Staffing!S81)*Escalation!$B$16</f>
        <v>478598.62</v>
      </c>
      <c r="R4" s="287" t="n">
        <f aca="false">(SUMPRODUCT((Personnel!$O$9:$O$100&lt;&gt;"")*(Personnel!$G$9:$G$100="Yes")*(16&gt;=Personnel!$E$9:$E$100)*((Personnel!$K$9:$K$100="")+(16&lt;=Personnel!$K$9:$K$100)&gt;0)*Personnel!$D$9:$D$100*(1-Personnel!$H$9:$H$100))+Staffing!T81)*Escalation!$B$17</f>
        <v>489223.62</v>
      </c>
      <c r="S4" s="287" t="n">
        <f aca="false">(SUMPRODUCT((Personnel!$O$9:$O$100&lt;&gt;"")*(Personnel!$G$9:$G$100="Yes")*(17&gt;=Personnel!$E$9:$E$100)*((Personnel!$K$9:$K$100="")+(17&lt;=Personnel!$K$9:$K$100)&gt;0)*Personnel!$D$9:$D$100*(1-Personnel!$H$9:$H$100))+Staffing!U81)*Escalation!$B$18</f>
        <v>489223.62</v>
      </c>
      <c r="T4" s="287" t="n">
        <f aca="false">(SUMPRODUCT((Personnel!$O$9:$O$100&lt;&gt;"")*(Personnel!$G$9:$G$100="Yes")*(18&gt;=Personnel!$E$9:$E$100)*((Personnel!$K$9:$K$100="")+(18&lt;=Personnel!$K$9:$K$100)&gt;0)*Personnel!$D$9:$D$100*(1-Personnel!$H$9:$H$100))+Staffing!V81)*Escalation!$B$19</f>
        <v>489223.62</v>
      </c>
      <c r="U4" s="287" t="n">
        <f aca="false">(SUMPRODUCT((Personnel!$O$9:$O$100&lt;&gt;"")*(Personnel!$G$9:$G$100="Yes")*(19&gt;=Personnel!$E$9:$E$100)*((Personnel!$K$9:$K$100="")+(19&lt;=Personnel!$K$9:$K$100)&gt;0)*Personnel!$D$9:$D$100*(1-Personnel!$H$9:$H$100))+Staffing!W81)*Escalation!$B$20</f>
        <v>489223.62</v>
      </c>
      <c r="V4" s="287" t="n">
        <f aca="false">(SUMPRODUCT((Personnel!$O$9:$O$100&lt;&gt;"")*(Personnel!$G$9:$G$100="Yes")*(20&gt;=Personnel!$E$9:$E$100)*((Personnel!$K$9:$K$100="")+(20&lt;=Personnel!$K$9:$K$100)&gt;0)*Personnel!$D$9:$D$100*(1-Personnel!$H$9:$H$100))+Staffing!X81)*Escalation!$B$21</f>
        <v>489223.62</v>
      </c>
      <c r="W4" s="287" t="n">
        <f aca="false">(SUMPRODUCT((Personnel!$O$9:$O$100&lt;&gt;"")*(Personnel!$G$9:$G$100="Yes")*(21&gt;=Personnel!$E$9:$E$100)*((Personnel!$K$9:$K$100="")+(21&lt;=Personnel!$K$9:$K$100)&gt;0)*Personnel!$D$9:$D$100*(1-Personnel!$H$9:$H$100))+Staffing!Y81)*Escalation!$B$22</f>
        <v>489223.62</v>
      </c>
      <c r="X4" s="287" t="n">
        <f aca="false">(SUMPRODUCT((Personnel!$O$9:$O$100&lt;&gt;"")*(Personnel!$G$9:$G$100="Yes")*(22&gt;=Personnel!$E$9:$E$100)*((Personnel!$K$9:$K$100="")+(22&lt;=Personnel!$K$9:$K$100)&gt;0)*Personnel!$D$9:$D$100*(1-Personnel!$H$9:$H$100))+Staffing!Z81)*Escalation!$B$23</f>
        <v>478598.62</v>
      </c>
      <c r="Y4" s="287" t="n">
        <f aca="false">(SUMPRODUCT((Personnel!$O$9:$O$100&lt;&gt;"")*(Personnel!$G$9:$G$100="Yes")*(23&gt;=Personnel!$E$9:$E$100)*((Personnel!$K$9:$K$100="")+(23&lt;=Personnel!$K$9:$K$100)&gt;0)*Personnel!$D$9:$D$100*(1-Personnel!$H$9:$H$100))+Staffing!AA81)*Escalation!$B$24</f>
        <v>478598.62</v>
      </c>
      <c r="Z4" s="287" t="n">
        <f aca="false">(SUMPRODUCT((Personnel!$O$9:$O$100&lt;&gt;"")*(Personnel!$G$9:$G$100="Yes")*(24&gt;=Personnel!$E$9:$E$100)*((Personnel!$K$9:$K$100="")+(24&lt;=Personnel!$K$9:$K$100)&gt;0)*Personnel!$D$9:$D$100*(1-Personnel!$H$9:$H$100))+Staffing!AB81)*Escalation!$B$25</f>
        <v>471798.62</v>
      </c>
      <c r="AA4" s="287" t="n">
        <f aca="false">(SUMPRODUCT((Personnel!$O$9:$O$100&lt;&gt;"")*(Personnel!$G$9:$G$100="Yes")*(25&gt;=Personnel!$E$9:$E$100)*((Personnel!$K$9:$K$100="")+(25&lt;=Personnel!$K$9:$K$100)&gt;0)*Personnel!$D$9:$D$100*(1-Personnel!$H$9:$H$100))+Staffing!AC81)*Escalation!$B$26</f>
        <v>481234.5924</v>
      </c>
      <c r="AB4" s="287" t="n">
        <f aca="false">(SUMPRODUCT((Personnel!$O$9:$O$100&lt;&gt;"")*(Personnel!$G$9:$G$100="Yes")*(26&gt;=Personnel!$E$9:$E$100)*((Personnel!$K$9:$K$100="")+(26&lt;=Personnel!$K$9:$K$100)&gt;0)*Personnel!$D$9:$D$100*(1-Personnel!$H$9:$H$100))+Staffing!AD81)*Escalation!$B$27</f>
        <v>456525.0924</v>
      </c>
      <c r="AC4" s="287" t="n">
        <f aca="false">(SUMPRODUCT((Personnel!$O$9:$O$100&lt;&gt;"")*(Personnel!$G$9:$G$100="Yes")*(27&gt;=Personnel!$E$9:$E$100)*((Personnel!$K$9:$K$100="")+(27&lt;=Personnel!$K$9:$K$100)&gt;0)*Personnel!$D$9:$D$100*(1-Personnel!$H$9:$H$100))+Staffing!AE81)*Escalation!$B$28</f>
        <v>456525.0924</v>
      </c>
      <c r="AD4" s="287" t="n">
        <f aca="false">(SUMPRODUCT((Personnel!$O$9:$O$100&lt;&gt;"")*(Personnel!$G$9:$G$100="Yes")*(28&gt;=Personnel!$E$9:$E$100)*((Personnel!$K$9:$K$100="")+(28&lt;=Personnel!$K$9:$K$100)&gt;0)*Personnel!$D$9:$D$100*(1-Personnel!$H$9:$H$100))+Staffing!AF81)*Escalation!$B$29</f>
        <v>456525.0924</v>
      </c>
      <c r="AE4" s="287" t="n">
        <f aca="false">(SUMPRODUCT((Personnel!$O$9:$O$100&lt;&gt;"")*(Personnel!$G$9:$G$100="Yes")*(29&gt;=Personnel!$E$9:$E$100)*((Personnel!$K$9:$K$100="")+(29&lt;=Personnel!$K$9:$K$100)&gt;0)*Personnel!$D$9:$D$100*(1-Personnel!$H$9:$H$100))+Staffing!AG81)*Escalation!$B$30</f>
        <v>456525.0924</v>
      </c>
      <c r="AF4" s="287" t="n">
        <f aca="false">(SUMPRODUCT((Personnel!$O$9:$O$100&lt;&gt;"")*(Personnel!$G$9:$G$100="Yes")*(30&gt;=Personnel!$E$9:$E$100)*((Personnel!$K$9:$K$100="")+(30&lt;=Personnel!$K$9:$K$100)&gt;0)*Personnel!$D$9:$D$100*(1-Personnel!$H$9:$H$100))+Staffing!AH81)*Escalation!$B$31</f>
        <v>442653.0924</v>
      </c>
      <c r="AG4" s="287" t="n">
        <f aca="false">(SUMPRODUCT((Personnel!$O$9:$O$100&lt;&gt;"")*(Personnel!$G$9:$G$100="Yes")*(31&gt;=Personnel!$E$9:$E$100)*((Personnel!$K$9:$K$100="")+(31&lt;=Personnel!$K$9:$K$100)&gt;0)*Personnel!$D$9:$D$100*(1-Personnel!$H$9:$H$100))+Staffing!AI81)*Escalation!$B$32</f>
        <v>442653.0924</v>
      </c>
      <c r="AH4" s="287" t="n">
        <f aca="false">(SUMPRODUCT((Personnel!$O$9:$O$100&lt;&gt;"")*(Personnel!$G$9:$G$100="Yes")*(32&gt;=Personnel!$E$9:$E$100)*((Personnel!$K$9:$K$100="")+(32&lt;=Personnel!$K$9:$K$100)&gt;0)*Personnel!$D$9:$D$100*(1-Personnel!$H$9:$H$100))+Staffing!AJ81)*Escalation!$B$33</f>
        <v>442653.0924</v>
      </c>
      <c r="AI4" s="287" t="n">
        <f aca="false">(SUMPRODUCT((Personnel!$O$9:$O$100&lt;&gt;"")*(Personnel!$G$9:$G$100="Yes")*(33&gt;=Personnel!$E$9:$E$100)*((Personnel!$K$9:$K$100="")+(33&lt;=Personnel!$K$9:$K$100)&gt;0)*Personnel!$D$9:$D$100*(1-Personnel!$H$9:$H$100))+Staffing!AK81)*Escalation!$B$34</f>
        <v>442653.0924</v>
      </c>
      <c r="AJ4" s="287" t="n">
        <f aca="false">(SUMPRODUCT((Personnel!$O$9:$O$100&lt;&gt;"")*(Personnel!$G$9:$G$100="Yes")*(34&gt;=Personnel!$E$9:$E$100)*((Personnel!$K$9:$K$100="")+(34&lt;=Personnel!$K$9:$K$100)&gt;0)*Personnel!$D$9:$D$100*(1-Personnel!$H$9:$H$100))+Staffing!AL81)*Escalation!$B$35</f>
        <v>435717.0924</v>
      </c>
      <c r="AK4" s="287" t="n">
        <f aca="false">(SUMPRODUCT((Personnel!$O$9:$O$100&lt;&gt;"")*(Personnel!$G$9:$G$100="Yes")*(35&gt;=Personnel!$E$9:$E$100)*((Personnel!$K$9:$K$100="")+(35&lt;=Personnel!$K$9:$K$100)&gt;0)*Personnel!$D$9:$D$100*(1-Personnel!$H$9:$H$100))+Staffing!AM81)*Escalation!$B$36</f>
        <v>381096.0924</v>
      </c>
      <c r="AL4" s="287" t="n">
        <f aca="false">(SUMPRODUCT((Personnel!$O$9:$O$100&lt;&gt;"")*(Personnel!$G$9:$G$100="Yes")*(36&gt;=Personnel!$E$9:$E$100)*((Personnel!$K$9:$K$100="")+(36&lt;=Personnel!$K$9:$K$100)&gt;0)*Personnel!$D$9:$D$100*(1-Personnel!$H$9:$H$100))+Staffing!AN81)*Escalation!$B$37</f>
        <v>356386.5924</v>
      </c>
      <c r="AM4" s="287" t="n">
        <f aca="false">(SUMPRODUCT((Personnel!$O$9:$O$100&lt;&gt;"")*(Personnel!$G$9:$G$100="Yes")*(37&gt;=Personnel!$E$9:$E$100)*((Personnel!$K$9:$K$100="")+(37&lt;=Personnel!$K$9:$K$100)&gt;0)*Personnel!$D$9:$D$100*(1-Personnel!$H$9:$H$100))+Staffing!AO81)*Escalation!$B$38</f>
        <v>363514.324248</v>
      </c>
      <c r="AN4" s="287" t="n">
        <f aca="false">(SUMPRODUCT((Personnel!$O$9:$O$100&lt;&gt;"")*(Personnel!$G$9:$G$100="Yes")*(38&gt;=Personnel!$E$9:$E$100)*((Personnel!$K$9:$K$100="")+(38&lt;=Personnel!$K$9:$K$100)&gt;0)*Personnel!$D$9:$D$100*(1-Personnel!$H$9:$H$100))+Staffing!AP81)*Escalation!$B$39</f>
        <v>363514.324248</v>
      </c>
      <c r="AO4" s="287" t="n">
        <f aca="false">(SUMPRODUCT((Personnel!$O$9:$O$100&lt;&gt;"")*(Personnel!$G$9:$G$100="Yes")*(39&gt;=Personnel!$E$9:$E$100)*((Personnel!$K$9:$K$100="")+(39&lt;=Personnel!$K$9:$K$100)&gt;0)*Personnel!$D$9:$D$100*(1-Personnel!$H$9:$H$100))+Staffing!AQ81)*Escalation!$B$40</f>
        <v>340963.654248</v>
      </c>
      <c r="AP4" s="287" t="n">
        <f aca="false">(SUMPRODUCT((Personnel!$O$9:$O$100&lt;&gt;"")*(Personnel!$G$9:$G$100="Yes")*(40&gt;=Personnel!$E$9:$E$100)*((Personnel!$K$9:$K$100="")+(40&lt;=Personnel!$K$9:$K$100)&gt;0)*Personnel!$D$9:$D$100*(1-Personnel!$H$9:$H$100))+Staffing!AR81)*Escalation!$B$41</f>
        <v>340963.654248</v>
      </c>
      <c r="AQ4" s="287" t="n">
        <f aca="false">(SUMPRODUCT((Personnel!$O$9:$O$100&lt;&gt;"")*(Personnel!$G$9:$G$100="Yes")*(41&gt;=Personnel!$E$9:$E$100)*((Personnel!$K$9:$K$100="")+(41&lt;=Personnel!$K$9:$K$100)&gt;0)*Personnel!$D$9:$D$100*(1-Personnel!$H$9:$H$100))+Staffing!AS81)*Escalation!$B$42</f>
        <v>329909.404248</v>
      </c>
      <c r="AR4" s="287" t="n">
        <f aca="false">(SUMPRODUCT((Personnel!$O$9:$O$100&lt;&gt;"")*(Personnel!$G$9:$G$100="Yes")*(42&gt;=Personnel!$E$9:$E$100)*((Personnel!$K$9:$K$100="")+(42&lt;=Personnel!$K$9:$K$100)&gt;0)*Personnel!$D$9:$D$100*(1-Personnel!$H$9:$H$100))+Staffing!AT81)*Escalation!$B$43</f>
        <v>329909.404248</v>
      </c>
      <c r="AS4" s="287" t="n">
        <f aca="false">(SUMPRODUCT((Personnel!$O$9:$O$100&lt;&gt;"")*(Personnel!$G$9:$G$100="Yes")*(43&gt;=Personnel!$E$9:$E$100)*((Personnel!$K$9:$K$100="")+(43&lt;=Personnel!$K$9:$K$100)&gt;0)*Personnel!$D$9:$D$100*(1-Personnel!$H$9:$H$100))+Staffing!AU81)*Escalation!$B$44</f>
        <v>329909.404248</v>
      </c>
      <c r="AT4" s="287" t="n">
        <f aca="false">(SUMPRODUCT((Personnel!$O$9:$O$100&lt;&gt;"")*(Personnel!$G$9:$G$100="Yes")*(44&gt;=Personnel!$E$9:$E$100)*((Personnel!$K$9:$K$100="")+(44&lt;=Personnel!$K$9:$K$100)&gt;0)*Personnel!$D$9:$D$100*(1-Personnel!$H$9:$H$100))+Staffing!AV81)*Escalation!$B$45</f>
        <v>329909.404248</v>
      </c>
      <c r="AU4" s="287" t="n">
        <f aca="false">(SUMPRODUCT((Personnel!$O$9:$O$100&lt;&gt;"")*(Personnel!$G$9:$G$100="Yes")*(45&gt;=Personnel!$E$9:$E$100)*((Personnel!$K$9:$K$100="")+(45&lt;=Personnel!$K$9:$K$100)&gt;0)*Personnel!$D$9:$D$100*(1-Personnel!$H$9:$H$100))+Staffing!AW81)*Escalation!$B$46</f>
        <v>329909.404248</v>
      </c>
      <c r="AV4" s="287" t="n">
        <f aca="false">(SUMPRODUCT((Personnel!$O$9:$O$100&lt;&gt;"")*(Personnel!$G$9:$G$100="Yes")*(46&gt;=Personnel!$E$9:$E$100)*((Personnel!$K$9:$K$100="")+(46&lt;=Personnel!$K$9:$K$100)&gt;0)*Personnel!$D$9:$D$100*(1-Personnel!$H$9:$H$100))+Staffing!AX81)*Escalation!$B$47</f>
        <v>329909.404248</v>
      </c>
      <c r="AW4" s="287" t="n">
        <f aca="false">(SUMPRODUCT((Personnel!$O$9:$O$100&lt;&gt;"")*(Personnel!$G$9:$G$100="Yes")*(47&gt;=Personnel!$E$9:$E$100)*((Personnel!$K$9:$K$100="")+(47&lt;=Personnel!$K$9:$K$100)&gt;0)*Personnel!$D$9:$D$100*(1-Personnel!$H$9:$H$100))+Staffing!AY81)*Escalation!$B$48</f>
        <v>329909.404248</v>
      </c>
      <c r="AX4" s="287" t="n">
        <f aca="false">(SUMPRODUCT((Personnel!$O$9:$O$100&lt;&gt;"")*(Personnel!$G$9:$G$100="Yes")*(48&gt;=Personnel!$E$9:$E$100)*((Personnel!$K$9:$K$100="")+(48&lt;=Personnel!$K$9:$K$100)&gt;0)*Personnel!$D$9:$D$100*(1-Personnel!$H$9:$H$100))+Staffing!AZ81)*Escalation!$B$49</f>
        <v>329909.404248</v>
      </c>
      <c r="AY4" s="287" t="n">
        <f aca="false">(SUMPRODUCT((Personnel!$O$9:$O$100&lt;&gt;"")*(Personnel!$G$9:$G$100="Yes")*(49&gt;=Personnel!$E$9:$E$100)*((Personnel!$K$9:$K$100="")+(49&lt;=Personnel!$K$9:$K$100)&gt;0)*Personnel!$D$9:$D$100*(1-Personnel!$H$9:$H$100))+Staffing!BA81)*Escalation!$B$50</f>
        <v>336507.59233296</v>
      </c>
      <c r="AZ4" s="287" t="n">
        <f aca="false">(SUMPRODUCT((Personnel!$O$9:$O$100&lt;&gt;"")*(Personnel!$G$9:$G$100="Yes")*(50&gt;=Personnel!$E$9:$E$100)*((Personnel!$K$9:$K$100="")+(50&lt;=Personnel!$K$9:$K$100)&gt;0)*Personnel!$D$9:$D$100*(1-Personnel!$H$9:$H$100))+Staffing!BB81)*Escalation!$B$51</f>
        <v>336507.59233296</v>
      </c>
      <c r="BA4" s="287" t="n">
        <f aca="false">(SUMPRODUCT((Personnel!$O$9:$O$100&lt;&gt;"")*(Personnel!$G$9:$G$100="Yes")*(51&gt;=Personnel!$E$9:$E$100)*((Personnel!$K$9:$K$100="")+(51&lt;=Personnel!$K$9:$K$100)&gt;0)*Personnel!$D$9:$D$100*(1-Personnel!$H$9:$H$100))+Staffing!BC81)*Escalation!$B$52</f>
        <v>336507.59233296</v>
      </c>
      <c r="BB4" s="287" t="n">
        <f aca="false">(SUMPRODUCT((Personnel!$O$9:$O$100&lt;&gt;"")*(Personnel!$G$9:$G$100="Yes")*(52&gt;=Personnel!$E$9:$E$100)*((Personnel!$K$9:$K$100="")+(52&lt;=Personnel!$K$9:$K$100)&gt;0)*Personnel!$D$9:$D$100*(1-Personnel!$H$9:$H$100))+Staffing!BD81)*Escalation!$B$53</f>
        <v>336507.59233296</v>
      </c>
      <c r="BC4" s="287" t="n">
        <f aca="false">(SUMPRODUCT((Personnel!$O$9:$O$100&lt;&gt;"")*(Personnel!$G$9:$G$100="Yes")*(53&gt;=Personnel!$E$9:$E$100)*((Personnel!$K$9:$K$100="")+(53&lt;=Personnel!$K$9:$K$100)&gt;0)*Personnel!$D$9:$D$100*(1-Personnel!$H$9:$H$100))+Staffing!BE81)*Escalation!$B$54</f>
        <v>336507.59233296</v>
      </c>
      <c r="BD4" s="287" t="n">
        <f aca="false">(SUMPRODUCT((Personnel!$O$9:$O$100&lt;&gt;"")*(Personnel!$G$9:$G$100="Yes")*(54&gt;=Personnel!$E$9:$E$100)*((Personnel!$K$9:$K$100="")+(54&lt;=Personnel!$K$9:$K$100)&gt;0)*Personnel!$D$9:$D$100*(1-Personnel!$H$9:$H$100))+Staffing!BF81)*Escalation!$B$55</f>
        <v>336507.59233296</v>
      </c>
      <c r="BE4" s="287" t="n">
        <f aca="false">(SUMPRODUCT((Personnel!$O$9:$O$100&lt;&gt;"")*(Personnel!$G$9:$G$100="Yes")*(55&gt;=Personnel!$E$9:$E$100)*((Personnel!$K$9:$K$100="")+(55&lt;=Personnel!$K$9:$K$100)&gt;0)*Personnel!$D$9:$D$100*(1-Personnel!$H$9:$H$100))+Staffing!BG81)*Escalation!$B$56</f>
        <v>336507.59233296</v>
      </c>
      <c r="BF4" s="287" t="n">
        <f aca="false">(SUMPRODUCT((Personnel!$O$9:$O$100&lt;&gt;"")*(Personnel!$G$9:$G$100="Yes")*(56&gt;=Personnel!$E$9:$E$100)*((Personnel!$K$9:$K$100="")+(56&lt;=Personnel!$K$9:$K$100)&gt;0)*Personnel!$D$9:$D$100*(1-Personnel!$H$9:$H$100))+Staffing!BH81)*Escalation!$B$57</f>
        <v>336507.59233296</v>
      </c>
      <c r="BG4" s="287" t="n">
        <f aca="false">(SUMPRODUCT((Personnel!$O$9:$O$100&lt;&gt;"")*(Personnel!$G$9:$G$100="Yes")*(57&gt;=Personnel!$E$9:$E$100)*((Personnel!$K$9:$K$100="")+(57&lt;=Personnel!$K$9:$K$100)&gt;0)*Personnel!$D$9:$D$100*(1-Personnel!$H$9:$H$100))+Staffing!BI81)*Escalation!$B$58</f>
        <v>336507.59233296</v>
      </c>
      <c r="BH4" s="287" t="n">
        <f aca="false">(SUMPRODUCT((Personnel!$O$9:$O$100&lt;&gt;"")*(Personnel!$G$9:$G$100="Yes")*(58&gt;=Personnel!$E$9:$E$100)*((Personnel!$K$9:$K$100="")+(58&lt;=Personnel!$K$9:$K$100)&gt;0)*Personnel!$D$9:$D$100*(1-Personnel!$H$9:$H$100))+Staffing!BJ81)*Escalation!$B$59</f>
        <v>336507.59233296</v>
      </c>
      <c r="BI4" s="287" t="n">
        <f aca="false">(SUMPRODUCT((Personnel!$O$9:$O$100&lt;&gt;"")*(Personnel!$G$9:$G$100="Yes")*(59&gt;=Personnel!$E$9:$E$100)*((Personnel!$K$9:$K$100="")+(59&lt;=Personnel!$K$9:$K$100)&gt;0)*Personnel!$D$9:$D$100*(1-Personnel!$H$9:$H$100))+Staffing!BK81)*Escalation!$B$60</f>
        <v>336507.59233296</v>
      </c>
      <c r="BJ4" s="287" t="n">
        <f aca="false">(SUMPRODUCT((Personnel!$O$9:$O$100&lt;&gt;"")*(Personnel!$G$9:$G$100="Yes")*(60&gt;=Personnel!$E$9:$E$100)*((Personnel!$K$9:$K$100="")+(60&lt;=Personnel!$K$9:$K$100)&gt;0)*Personnel!$D$9:$D$100*(1-Personnel!$H$9:$H$100))+Staffing!BL81)*Escalation!$B$61</f>
        <v>336507.59233296</v>
      </c>
      <c r="BK4" s="287" t="n">
        <f aca="false">(SUMPRODUCT((Personnel!$O$9:$O$100&lt;&gt;"")*(Personnel!$G$9:$G$100="Yes")*(61&gt;=Personnel!$E$9:$E$100)*((Personnel!$K$9:$K$100="")+(61&lt;=Personnel!$K$9:$K$100)&gt;0)*Personnel!$D$9:$D$100*(1-Personnel!$H$9:$H$100))+Staffing!BM81)*Escalation!$B$62</f>
        <v>343237.744179619</v>
      </c>
      <c r="BL4" s="287" t="n">
        <f aca="false">(SUMPRODUCT((Personnel!$O$9:$O$100&lt;&gt;"")*(Personnel!$G$9:$G$100="Yes")*(62&gt;=Personnel!$E$9:$E$100)*((Personnel!$K$9:$K$100="")+(62&lt;=Personnel!$K$9:$K$100)&gt;0)*Personnel!$D$9:$D$100*(1-Personnel!$H$9:$H$100))+Staffing!BN81)*Escalation!$B$63</f>
        <v>343237.744179619</v>
      </c>
      <c r="BM4" s="287" t="n">
        <f aca="false">(SUMPRODUCT((Personnel!$O$9:$O$100&lt;&gt;"")*(Personnel!$G$9:$G$100="Yes")*(63&gt;=Personnel!$E$9:$E$100)*((Personnel!$K$9:$K$100="")+(63&lt;=Personnel!$K$9:$K$100)&gt;0)*Personnel!$D$9:$D$100*(1-Personnel!$H$9:$H$100))+Staffing!BO81)*Escalation!$B$64</f>
        <v>343237.744179619</v>
      </c>
      <c r="BN4" s="287" t="n">
        <f aca="false">(SUMPRODUCT((Personnel!$O$9:$O$100&lt;&gt;"")*(Personnel!$G$9:$G$100="Yes")*(64&gt;=Personnel!$E$9:$E$100)*((Personnel!$K$9:$K$100="")+(64&lt;=Personnel!$K$9:$K$100)&gt;0)*Personnel!$D$9:$D$100*(1-Personnel!$H$9:$H$100))+Staffing!BP81)*Escalation!$B$65</f>
        <v>343237.744179619</v>
      </c>
      <c r="BO4" s="287" t="n">
        <f aca="false">(SUMPRODUCT((Personnel!$O$9:$O$100&lt;&gt;"")*(Personnel!$G$9:$G$100="Yes")*(65&gt;=Personnel!$E$9:$E$100)*((Personnel!$K$9:$K$100="")+(65&lt;=Personnel!$K$9:$K$100)&gt;0)*Personnel!$D$9:$D$100*(1-Personnel!$H$9:$H$100))+Staffing!BQ81)*Escalation!$B$66</f>
        <v>343237.744179619</v>
      </c>
      <c r="BP4" s="287" t="n">
        <f aca="false">(SUMPRODUCT((Personnel!$O$9:$O$100&lt;&gt;"")*(Personnel!$G$9:$G$100="Yes")*(66&gt;=Personnel!$E$9:$E$100)*((Personnel!$K$9:$K$100="")+(66&lt;=Personnel!$K$9:$K$100)&gt;0)*Personnel!$D$9:$D$100*(1-Personnel!$H$9:$H$100))+Staffing!BR81)*Escalation!$B$67</f>
        <v>343237.744179619</v>
      </c>
      <c r="BQ4" s="287" t="n">
        <f aca="false">(SUMPRODUCT((Personnel!$O$9:$O$100&lt;&gt;"")*(Personnel!$G$9:$G$100="Yes")*(67&gt;=Personnel!$E$9:$E$100)*((Personnel!$K$9:$K$100="")+(67&lt;=Personnel!$K$9:$K$100)&gt;0)*Personnel!$D$9:$D$100*(1-Personnel!$H$9:$H$100))+Staffing!BS81)*Escalation!$B$68</f>
        <v>343237.744179619</v>
      </c>
      <c r="BR4" s="287" t="n">
        <f aca="false">(SUMPRODUCT((Personnel!$O$9:$O$100&lt;&gt;"")*(Personnel!$G$9:$G$100="Yes")*(68&gt;=Personnel!$E$9:$E$100)*((Personnel!$K$9:$K$100="")+(68&lt;=Personnel!$K$9:$K$100)&gt;0)*Personnel!$D$9:$D$100*(1-Personnel!$H$9:$H$100))+Staffing!BT81)*Escalation!$B$69</f>
        <v>343237.744179619</v>
      </c>
      <c r="BS4" s="287" t="n">
        <f aca="false">(SUMPRODUCT((Personnel!$O$9:$O$100&lt;&gt;"")*(Personnel!$G$9:$G$100="Yes")*(69&gt;=Personnel!$E$9:$E$100)*((Personnel!$K$9:$K$100="")+(69&lt;=Personnel!$K$9:$K$100)&gt;0)*Personnel!$D$9:$D$100*(1-Personnel!$H$9:$H$100))+Staffing!BU81)*Escalation!$B$70</f>
        <v>343237.744179619</v>
      </c>
      <c r="BT4" s="287" t="n">
        <f aca="false">(SUMPRODUCT((Personnel!$O$9:$O$100&lt;&gt;"")*(Personnel!$G$9:$G$100="Yes")*(70&gt;=Personnel!$E$9:$E$100)*((Personnel!$K$9:$K$100="")+(70&lt;=Personnel!$K$9:$K$100)&gt;0)*Personnel!$D$9:$D$100*(1-Personnel!$H$9:$H$100))+Staffing!BV81)*Escalation!$B$71</f>
        <v>343237.744179619</v>
      </c>
      <c r="BU4" s="287" t="n">
        <f aca="false">(SUMPRODUCT((Personnel!$O$9:$O$100&lt;&gt;"")*(Personnel!$G$9:$G$100="Yes")*(71&gt;=Personnel!$E$9:$E$100)*((Personnel!$K$9:$K$100="")+(71&lt;=Personnel!$K$9:$K$100)&gt;0)*Personnel!$D$9:$D$100*(1-Personnel!$H$9:$H$100))+Staffing!BW81)*Escalation!$B$72</f>
        <v>343237.744179619</v>
      </c>
      <c r="BV4" s="287" t="n">
        <f aca="false">(SUMPRODUCT((Personnel!$O$9:$O$100&lt;&gt;"")*(Personnel!$G$9:$G$100="Yes")*(72&gt;=Personnel!$E$9:$E$100)*((Personnel!$K$9:$K$100="")+(72&lt;=Personnel!$K$9:$K$100)&gt;0)*Personnel!$D$9:$D$100*(1-Personnel!$H$9:$H$100))+Staffing!BX81)*Escalation!$B$73</f>
        <v>343237.744179619</v>
      </c>
      <c r="BW4" s="287" t="n">
        <f aca="false">(SUMPRODUCT((Personnel!$O$9:$O$100&lt;&gt;"")*(Personnel!$G$9:$G$100="Yes")*(73&gt;=Personnel!$E$9:$E$100)*((Personnel!$K$9:$K$100="")+(73&lt;=Personnel!$K$9:$K$100)&gt;0)*Personnel!$D$9:$D$100*(1-Personnel!$H$9:$H$100))+Staffing!BY81)*Escalation!$B$74</f>
        <v>350102.499063212</v>
      </c>
      <c r="BX4" s="287" t="n">
        <f aca="false">(SUMPRODUCT((Personnel!$O$9:$O$100&lt;&gt;"")*(Personnel!$G$9:$G$100="Yes")*(74&gt;=Personnel!$E$9:$E$100)*((Personnel!$K$9:$K$100="")+(74&lt;=Personnel!$K$9:$K$100)&gt;0)*Personnel!$D$9:$D$100*(1-Personnel!$H$9:$H$100))+Staffing!BZ81)*Escalation!$B$75</f>
        <v>350102.499063212</v>
      </c>
      <c r="BY4" s="287" t="n">
        <f aca="false">(SUMPRODUCT((Personnel!$O$9:$O$100&lt;&gt;"")*(Personnel!$G$9:$G$100="Yes")*(75&gt;=Personnel!$E$9:$E$100)*((Personnel!$K$9:$K$100="")+(75&lt;=Personnel!$K$9:$K$100)&gt;0)*Personnel!$D$9:$D$100*(1-Personnel!$H$9:$H$100))+Staffing!CA81)*Escalation!$B$76</f>
        <v>350102.499063212</v>
      </c>
      <c r="BZ4" s="287" t="n">
        <f aca="false">(SUMPRODUCT((Personnel!$O$9:$O$100&lt;&gt;"")*(Personnel!$G$9:$G$100="Yes")*(76&gt;=Personnel!$E$9:$E$100)*((Personnel!$K$9:$K$100="")+(76&lt;=Personnel!$K$9:$K$100)&gt;0)*Personnel!$D$9:$D$100*(1-Personnel!$H$9:$H$100))+Staffing!CB81)*Escalation!$B$77</f>
        <v>350102.499063212</v>
      </c>
      <c r="CA4" s="287" t="n">
        <f aca="false">(SUMPRODUCT((Personnel!$O$9:$O$100&lt;&gt;"")*(Personnel!$G$9:$G$100="Yes")*(77&gt;=Personnel!$E$9:$E$100)*((Personnel!$K$9:$K$100="")+(77&lt;=Personnel!$K$9:$K$100)&gt;0)*Personnel!$D$9:$D$100*(1-Personnel!$H$9:$H$100))+Staffing!CC81)*Escalation!$B$78</f>
        <v>350102.499063212</v>
      </c>
      <c r="CB4" s="287" t="n">
        <f aca="false">(SUMPRODUCT((Personnel!$O$9:$O$100&lt;&gt;"")*(Personnel!$G$9:$G$100="Yes")*(78&gt;=Personnel!$E$9:$E$100)*((Personnel!$K$9:$K$100="")+(78&lt;=Personnel!$K$9:$K$100)&gt;0)*Personnel!$D$9:$D$100*(1-Personnel!$H$9:$H$100))+Staffing!CD81)*Escalation!$B$79</f>
        <v>350102.499063212</v>
      </c>
      <c r="CC4" s="287" t="n">
        <f aca="false">(SUMPRODUCT((Personnel!$O$9:$O$100&lt;&gt;"")*(Personnel!$G$9:$G$100="Yes")*(79&gt;=Personnel!$E$9:$E$100)*((Personnel!$K$9:$K$100="")+(79&lt;=Personnel!$K$9:$K$100)&gt;0)*Personnel!$D$9:$D$100*(1-Personnel!$H$9:$H$100))+Staffing!CE81)*Escalation!$B$80</f>
        <v>350102.499063212</v>
      </c>
      <c r="CD4" s="287" t="n">
        <f aca="false">(SUMPRODUCT((Personnel!$O$9:$O$100&lt;&gt;"")*(Personnel!$G$9:$G$100="Yes")*(80&gt;=Personnel!$E$9:$E$100)*((Personnel!$K$9:$K$100="")+(80&lt;=Personnel!$K$9:$K$100)&gt;0)*Personnel!$D$9:$D$100*(1-Personnel!$H$9:$H$100))+Staffing!CF81)*Escalation!$B$81</f>
        <v>350102.499063212</v>
      </c>
      <c r="CE4" s="287" t="n">
        <f aca="false">(SUMPRODUCT((Personnel!$O$9:$O$100&lt;&gt;"")*(Personnel!$G$9:$G$100="Yes")*(81&gt;=Personnel!$E$9:$E$100)*((Personnel!$K$9:$K$100="")+(81&lt;=Personnel!$K$9:$K$100)&gt;0)*Personnel!$D$9:$D$100*(1-Personnel!$H$9:$H$100))+Staffing!CG81)*Escalation!$B$82</f>
        <v>350102.499063212</v>
      </c>
      <c r="CF4" s="287" t="n">
        <f aca="false">(SUMPRODUCT((Personnel!$O$9:$O$100&lt;&gt;"")*(Personnel!$G$9:$G$100="Yes")*(82&gt;=Personnel!$E$9:$E$100)*((Personnel!$K$9:$K$100="")+(82&lt;=Personnel!$K$9:$K$100)&gt;0)*Personnel!$D$9:$D$100*(1-Personnel!$H$9:$H$100))+Staffing!CH81)*Escalation!$B$83</f>
        <v>350102.499063212</v>
      </c>
      <c r="CG4" s="287" t="n">
        <f aca="false">(SUMPRODUCT((Personnel!$O$9:$O$100&lt;&gt;"")*(Personnel!$G$9:$G$100="Yes")*(83&gt;=Personnel!$E$9:$E$100)*((Personnel!$K$9:$K$100="")+(83&lt;=Personnel!$K$9:$K$100)&gt;0)*Personnel!$D$9:$D$100*(1-Personnel!$H$9:$H$100))+Staffing!CI81)*Escalation!$B$84</f>
        <v>350102.499063212</v>
      </c>
      <c r="CH4" s="287" t="n">
        <f aca="false">(SUMPRODUCT((Personnel!$O$9:$O$100&lt;&gt;"")*(Personnel!$G$9:$G$100="Yes")*(84&gt;=Personnel!$E$9:$E$100)*((Personnel!$K$9:$K$100="")+(84&lt;=Personnel!$K$9:$K$100)&gt;0)*Personnel!$D$9:$D$100*(1-Personnel!$H$9:$H$100))+Staffing!CJ81)*Escalation!$B$85</f>
        <v>350102.499063212</v>
      </c>
      <c r="CI4" s="287" t="n">
        <f aca="false">(SUMPRODUCT((Personnel!$O$9:$O$100&lt;&gt;"")*(Personnel!$G$9:$G$100="Yes")*(85&gt;=Personnel!$E$9:$E$100)*((Personnel!$K$9:$K$100="")+(85&lt;=Personnel!$K$9:$K$100)&gt;0)*Personnel!$D$9:$D$100*(1-Personnel!$H$9:$H$100))+Staffing!CK81)*Escalation!$B$86</f>
        <v>357104.549044476</v>
      </c>
      <c r="CJ4" s="287" t="n">
        <f aca="false">(SUMPRODUCT((Personnel!$O$9:$O$100&lt;&gt;"")*(Personnel!$G$9:$G$100="Yes")*(86&gt;=Personnel!$E$9:$E$100)*((Personnel!$K$9:$K$100="")+(86&lt;=Personnel!$K$9:$K$100)&gt;0)*Personnel!$D$9:$D$100*(1-Personnel!$H$9:$H$100))+Staffing!CL81)*Escalation!$B$87</f>
        <v>357104.549044476</v>
      </c>
      <c r="CK4" s="287" t="n">
        <f aca="false">(SUMPRODUCT((Personnel!$O$9:$O$100&lt;&gt;"")*(Personnel!$G$9:$G$100="Yes")*(87&gt;=Personnel!$E$9:$E$100)*((Personnel!$K$9:$K$100="")+(87&lt;=Personnel!$K$9:$K$100)&gt;0)*Personnel!$D$9:$D$100*(1-Personnel!$H$9:$H$100))+Staffing!CM81)*Escalation!$B$88</f>
        <v>357104.549044476</v>
      </c>
      <c r="CL4" s="287" t="n">
        <f aca="false">(SUMPRODUCT((Personnel!$O$9:$O$100&lt;&gt;"")*(Personnel!$G$9:$G$100="Yes")*(88&gt;=Personnel!$E$9:$E$100)*((Personnel!$K$9:$K$100="")+(88&lt;=Personnel!$K$9:$K$100)&gt;0)*Personnel!$D$9:$D$100*(1-Personnel!$H$9:$H$100))+Staffing!CN81)*Escalation!$B$89</f>
        <v>357104.549044476</v>
      </c>
      <c r="CM4" s="287" t="n">
        <f aca="false">(SUMPRODUCT((Personnel!$O$9:$O$100&lt;&gt;"")*(Personnel!$G$9:$G$100="Yes")*(89&gt;=Personnel!$E$9:$E$100)*((Personnel!$K$9:$K$100="")+(89&lt;=Personnel!$K$9:$K$100)&gt;0)*Personnel!$D$9:$D$100*(1-Personnel!$H$9:$H$100))+Staffing!CO81)*Escalation!$B$90</f>
        <v>357104.549044476</v>
      </c>
      <c r="CN4" s="287" t="n">
        <f aca="false">(SUMPRODUCT((Personnel!$O$9:$O$100&lt;&gt;"")*(Personnel!$G$9:$G$100="Yes")*(90&gt;=Personnel!$E$9:$E$100)*((Personnel!$K$9:$K$100="")+(90&lt;=Personnel!$K$9:$K$100)&gt;0)*Personnel!$D$9:$D$100*(1-Personnel!$H$9:$H$100))+Staffing!CP81)*Escalation!$B$91</f>
        <v>357104.549044476</v>
      </c>
      <c r="CO4" s="287" t="n">
        <f aca="false">(SUMPRODUCT((Personnel!$O$9:$O$100&lt;&gt;"")*(Personnel!$G$9:$G$100="Yes")*(91&gt;=Personnel!$E$9:$E$100)*((Personnel!$K$9:$K$100="")+(91&lt;=Personnel!$K$9:$K$100)&gt;0)*Personnel!$D$9:$D$100*(1-Personnel!$H$9:$H$100))+Staffing!CQ81)*Escalation!$B$92</f>
        <v>357104.549044476</v>
      </c>
      <c r="CP4" s="287" t="n">
        <f aca="false">(SUMPRODUCT((Personnel!$O$9:$O$100&lt;&gt;"")*(Personnel!$G$9:$G$100="Yes")*(92&gt;=Personnel!$E$9:$E$100)*((Personnel!$K$9:$K$100="")+(92&lt;=Personnel!$K$9:$K$100)&gt;0)*Personnel!$D$9:$D$100*(1-Personnel!$H$9:$H$100))+Staffing!CR81)*Escalation!$B$93</f>
        <v>357104.549044476</v>
      </c>
      <c r="CQ4" s="28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1139</v>
      </c>
      <c r="C5" s="287" t="n">
        <f aca="false">(SUMPRODUCT((Personnel!$F$9:$F$100="SixPeak")*(Personnel!$G$9:$G$100="Yes")*(1&gt;=Personnel!$E$9:$E$100)*((Personnel!$K$9:$K$100="")+(1&lt;=Personnel!$K$9:$K$100)&gt;0)*Personnel!$D$9:$D$100*(1-Personnel!$H$9:$H$100)*(1-Personnel!$I$9:$I$100)))*Escalation!$B$2</f>
        <v>54166.6666666667</v>
      </c>
      <c r="D5" s="287" t="n">
        <f aca="false">(SUMPRODUCT((Personnel!$F$9:$F$100="SixPeak")*(Personnel!$G$9:$G$100="Yes")*(2&gt;=Personnel!$E$9:$E$100)*((Personnel!$K$9:$K$100="")+(2&lt;=Personnel!$K$9:$K$100)&gt;0)*Personnel!$D$9:$D$100*(1-Personnel!$H$9:$H$100)*(1-Personnel!$I$9:$I$100)))*Escalation!$B$3</f>
        <v>54166.6666666667</v>
      </c>
      <c r="E5" s="287" t="n">
        <f aca="false">(SUMPRODUCT((Personnel!$F$9:$F$100="SixPeak")*(Personnel!$G$9:$G$100="Yes")*(3&gt;=Personnel!$E$9:$E$100)*((Personnel!$K$9:$K$100="")+(3&lt;=Personnel!$K$9:$K$100)&gt;0)*Personnel!$D$9:$D$100*(1-Personnel!$H$9:$H$100)*(1-Personnel!$I$9:$I$100)))*Escalation!$B$4</f>
        <v>54166.6666666667</v>
      </c>
      <c r="F5" s="287" t="n">
        <f aca="false">(SUMPRODUCT((Personnel!$F$9:$F$100="SixPeak")*(Personnel!$G$9:$G$100="Yes")*(4&gt;=Personnel!$E$9:$E$100)*((Personnel!$K$9:$K$100="")+(4&lt;=Personnel!$K$9:$K$100)&gt;0)*Personnel!$D$9:$D$100*(1-Personnel!$H$9:$H$100)*(1-Personnel!$I$9:$I$100)))*Escalation!$B$5</f>
        <v>54166.6666666667</v>
      </c>
      <c r="G5" s="287" t="n">
        <f aca="false">(SUMPRODUCT((Personnel!$F$9:$F$100="SixPeak")*(Personnel!$G$9:$G$100="Yes")*(5&gt;=Personnel!$E$9:$E$100)*((Personnel!$K$9:$K$100="")+(5&lt;=Personnel!$K$9:$K$100)&gt;0)*Personnel!$D$9:$D$100*(1-Personnel!$H$9:$H$100)*(1-Personnel!$I$9:$I$100)))*Escalation!$B$6</f>
        <v>54166.6666666667</v>
      </c>
      <c r="H5" s="287" t="n">
        <f aca="false">(SUMPRODUCT((Personnel!$F$9:$F$100="SixPeak")*(Personnel!$G$9:$G$100="Yes")*(6&gt;=Personnel!$E$9:$E$100)*((Personnel!$K$9:$K$100="")+(6&lt;=Personnel!$K$9:$K$100)&gt;0)*Personnel!$D$9:$D$100*(1-Personnel!$H$9:$H$100)*(1-Personnel!$I$9:$I$100)))*Escalation!$B$7</f>
        <v>54166.6666666667</v>
      </c>
      <c r="I5" s="287" t="n">
        <f aca="false">(SUMPRODUCT((Personnel!$F$9:$F$100="SixPeak")*(Personnel!$G$9:$G$100="Yes")*(7&gt;=Personnel!$E$9:$E$100)*((Personnel!$K$9:$K$100="")+(7&lt;=Personnel!$K$9:$K$100)&gt;0)*Personnel!$D$9:$D$100*(1-Personnel!$H$9:$H$100)*(1-Personnel!$I$9:$I$100)))*Escalation!$B$8</f>
        <v>54166.6666666667</v>
      </c>
      <c r="J5" s="287" t="n">
        <f aca="false">(SUMPRODUCT((Personnel!$F$9:$F$100="SixPeak")*(Personnel!$G$9:$G$100="Yes")*(8&gt;=Personnel!$E$9:$E$100)*((Personnel!$K$9:$K$100="")+(8&lt;=Personnel!$K$9:$K$100)&gt;0)*Personnel!$D$9:$D$100*(1-Personnel!$H$9:$H$100)*(1-Personnel!$I$9:$I$100)))*Escalation!$B$9</f>
        <v>54166.6666666667</v>
      </c>
      <c r="K5" s="287" t="n">
        <f aca="false">(SUMPRODUCT((Personnel!$F$9:$F$100="SixPeak")*(Personnel!$G$9:$G$100="Yes")*(9&gt;=Personnel!$E$9:$E$100)*((Personnel!$K$9:$K$100="")+(9&lt;=Personnel!$K$9:$K$100)&gt;0)*Personnel!$D$9:$D$100*(1-Personnel!$H$9:$H$100)*(1-Personnel!$I$9:$I$100)))*Escalation!$B$10</f>
        <v>54166.6666666667</v>
      </c>
      <c r="L5" s="287" t="n">
        <f aca="false">(SUMPRODUCT((Personnel!$F$9:$F$100="SixPeak")*(Personnel!$G$9:$G$100="Yes")*(10&gt;=Personnel!$E$9:$E$100)*((Personnel!$K$9:$K$100="")+(10&lt;=Personnel!$K$9:$K$100)&gt;0)*Personnel!$D$9:$D$100*(1-Personnel!$H$9:$H$100)*(1-Personnel!$I$9:$I$100)))*Escalation!$B$11</f>
        <v>54166.6666666667</v>
      </c>
      <c r="M5" s="287" t="n">
        <f aca="false">(SUMPRODUCT((Personnel!$F$9:$F$100="SixPeak")*(Personnel!$G$9:$G$100="Yes")*(11&gt;=Personnel!$E$9:$E$100)*((Personnel!$K$9:$K$100="")+(11&lt;=Personnel!$K$9:$K$100)&gt;0)*Personnel!$D$9:$D$100*(1-Personnel!$H$9:$H$100)*(1-Personnel!$I$9:$I$100)))*Escalation!$B$12</f>
        <v>54166.6666666667</v>
      </c>
      <c r="N5" s="287" t="n">
        <f aca="false">(SUMPRODUCT((Personnel!$F$9:$F$100="SixPeak")*(Personnel!$G$9:$G$100="Yes")*(12&gt;=Personnel!$E$9:$E$100)*((Personnel!$K$9:$K$100="")+(12&lt;=Personnel!$K$9:$K$100)&gt;0)*Personnel!$D$9:$D$100*(1-Personnel!$H$9:$H$100)*(1-Personnel!$I$9:$I$100)))*Escalation!$B$13</f>
        <v>54166.6666666667</v>
      </c>
      <c r="O5" s="287" t="n">
        <f aca="false">(SUMPRODUCT((Personnel!$F$9:$F$100="SixPeak")*(Personnel!$G$9:$G$100="Yes")*(13&gt;=Personnel!$E$9:$E$100)*((Personnel!$K$9:$K$100="")+(13&lt;=Personnel!$K$9:$K$100)&gt;0)*Personnel!$D$9:$D$100*(1-Personnel!$H$9:$H$100)*(1-Personnel!$I$9:$I$100)))*Escalation!$B$14</f>
        <v>55250</v>
      </c>
      <c r="P5" s="287" t="n">
        <f aca="false">(SUMPRODUCT((Personnel!$F$9:$F$100="SixPeak")*(Personnel!$G$9:$G$100="Yes")*(14&gt;=Personnel!$E$9:$E$100)*((Personnel!$K$9:$K$100="")+(14&lt;=Personnel!$K$9:$K$100)&gt;0)*Personnel!$D$9:$D$100*(1-Personnel!$H$9:$H$100)*(1-Personnel!$I$9:$I$100)))*Escalation!$B$15</f>
        <v>55250</v>
      </c>
      <c r="Q5" s="287" t="n">
        <f aca="false">(SUMPRODUCT((Personnel!$F$9:$F$100="SixPeak")*(Personnel!$G$9:$G$100="Yes")*(15&gt;=Personnel!$E$9:$E$100)*((Personnel!$K$9:$K$100="")+(15&lt;=Personnel!$K$9:$K$100)&gt;0)*Personnel!$D$9:$D$100*(1-Personnel!$H$9:$H$100)*(1-Personnel!$I$9:$I$100)))*Escalation!$B$16</f>
        <v>55250</v>
      </c>
      <c r="R5" s="287" t="n">
        <f aca="false">(SUMPRODUCT((Personnel!$F$9:$F$100="SixPeak")*(Personnel!$G$9:$G$100="Yes")*(16&gt;=Personnel!$E$9:$E$100)*((Personnel!$K$9:$K$100="")+(16&lt;=Personnel!$K$9:$K$100)&gt;0)*Personnel!$D$9:$D$100*(1-Personnel!$H$9:$H$100)*(1-Personnel!$I$9:$I$100)))*Escalation!$B$17</f>
        <v>55250</v>
      </c>
      <c r="S5" s="287" t="n">
        <f aca="false">(SUMPRODUCT((Personnel!$F$9:$F$100="SixPeak")*(Personnel!$G$9:$G$100="Yes")*(17&gt;=Personnel!$E$9:$E$100)*((Personnel!$K$9:$K$100="")+(17&lt;=Personnel!$K$9:$K$100)&gt;0)*Personnel!$D$9:$D$100*(1-Personnel!$H$9:$H$100)*(1-Personnel!$I$9:$I$100)))*Escalation!$B$18</f>
        <v>55250</v>
      </c>
      <c r="T5" s="287" t="n">
        <f aca="false">(SUMPRODUCT((Personnel!$F$9:$F$100="SixPeak")*(Personnel!$G$9:$G$100="Yes")*(18&gt;=Personnel!$E$9:$E$100)*((Personnel!$K$9:$K$100="")+(18&lt;=Personnel!$K$9:$K$100)&gt;0)*Personnel!$D$9:$D$100*(1-Personnel!$H$9:$H$100)*(1-Personnel!$I$9:$I$100)))*Escalation!$B$19</f>
        <v>55250</v>
      </c>
      <c r="U5" s="287" t="n">
        <f aca="false">(SUMPRODUCT((Personnel!$F$9:$F$100="SixPeak")*(Personnel!$G$9:$G$100="Yes")*(19&gt;=Personnel!$E$9:$E$100)*((Personnel!$K$9:$K$100="")+(19&lt;=Personnel!$K$9:$K$100)&gt;0)*Personnel!$D$9:$D$100*(1-Personnel!$H$9:$H$100)*(1-Personnel!$I$9:$I$100)))*Escalation!$B$20</f>
        <v>55250</v>
      </c>
      <c r="V5" s="287" t="n">
        <f aca="false">(SUMPRODUCT((Personnel!$F$9:$F$100="SixPeak")*(Personnel!$G$9:$G$100="Yes")*(20&gt;=Personnel!$E$9:$E$100)*((Personnel!$K$9:$K$100="")+(20&lt;=Personnel!$K$9:$K$100)&gt;0)*Personnel!$D$9:$D$100*(1-Personnel!$H$9:$H$100)*(1-Personnel!$I$9:$I$100)))*Escalation!$B$21</f>
        <v>55250</v>
      </c>
      <c r="W5" s="287" t="n">
        <f aca="false">(SUMPRODUCT((Personnel!$F$9:$F$100="SixPeak")*(Personnel!$G$9:$G$100="Yes")*(21&gt;=Personnel!$E$9:$E$100)*((Personnel!$K$9:$K$100="")+(21&lt;=Personnel!$K$9:$K$100)&gt;0)*Personnel!$D$9:$D$100*(1-Personnel!$H$9:$H$100)*(1-Personnel!$I$9:$I$100)))*Escalation!$B$22</f>
        <v>55250</v>
      </c>
      <c r="X5" s="287" t="n">
        <f aca="false">(SUMPRODUCT((Personnel!$F$9:$F$100="SixPeak")*(Personnel!$G$9:$G$100="Yes")*(22&gt;=Personnel!$E$9:$E$100)*((Personnel!$K$9:$K$100="")+(22&lt;=Personnel!$K$9:$K$100)&gt;0)*Personnel!$D$9:$D$100*(1-Personnel!$H$9:$H$100)*(1-Personnel!$I$9:$I$100)))*Escalation!$B$23</f>
        <v>55250</v>
      </c>
      <c r="Y5" s="287" t="n">
        <f aca="false">(SUMPRODUCT((Personnel!$F$9:$F$100="SixPeak")*(Personnel!$G$9:$G$100="Yes")*(23&gt;=Personnel!$E$9:$E$100)*((Personnel!$K$9:$K$100="")+(23&lt;=Personnel!$K$9:$K$100)&gt;0)*Personnel!$D$9:$D$100*(1-Personnel!$H$9:$H$100)*(1-Personnel!$I$9:$I$100)))*Escalation!$B$24</f>
        <v>55250</v>
      </c>
      <c r="Z5" s="287" t="n">
        <f aca="false">(SUMPRODUCT((Personnel!$F$9:$F$100="SixPeak")*(Personnel!$G$9:$G$100="Yes")*(24&gt;=Personnel!$E$9:$E$100)*((Personnel!$K$9:$K$100="")+(24&lt;=Personnel!$K$9:$K$100)&gt;0)*Personnel!$D$9:$D$100*(1-Personnel!$H$9:$H$100)*(1-Personnel!$I$9:$I$100)))*Escalation!$B$25</f>
        <v>55250</v>
      </c>
      <c r="AA5" s="287" t="n">
        <f aca="false">(SUMPRODUCT((Personnel!$F$9:$F$100="SixPeak")*(Personnel!$G$9:$G$100="Yes")*(25&gt;=Personnel!$E$9:$E$100)*((Personnel!$K$9:$K$100="")+(25&lt;=Personnel!$K$9:$K$100)&gt;0)*Personnel!$D$9:$D$100*(1-Personnel!$H$9:$H$100)*(1-Personnel!$I$9:$I$100)))*Escalation!$B$26</f>
        <v>56355</v>
      </c>
      <c r="AB5" s="287" t="n">
        <f aca="false">(SUMPRODUCT((Personnel!$F$9:$F$100="SixPeak")*(Personnel!$G$9:$G$100="Yes")*(26&gt;=Personnel!$E$9:$E$100)*((Personnel!$K$9:$K$100="")+(26&lt;=Personnel!$K$9:$K$100)&gt;0)*Personnel!$D$9:$D$100*(1-Personnel!$H$9:$H$100)*(1-Personnel!$I$9:$I$100)))*Escalation!$B$27</f>
        <v>56355</v>
      </c>
      <c r="AC5" s="287" t="n">
        <f aca="false">(SUMPRODUCT((Personnel!$F$9:$F$100="SixPeak")*(Personnel!$G$9:$G$100="Yes")*(27&gt;=Personnel!$E$9:$E$100)*((Personnel!$K$9:$K$100="")+(27&lt;=Personnel!$K$9:$K$100)&gt;0)*Personnel!$D$9:$D$100*(1-Personnel!$H$9:$H$100)*(1-Personnel!$I$9:$I$100)))*Escalation!$B$28</f>
        <v>56355</v>
      </c>
      <c r="AD5" s="287" t="n">
        <f aca="false">(SUMPRODUCT((Personnel!$F$9:$F$100="SixPeak")*(Personnel!$G$9:$G$100="Yes")*(28&gt;=Personnel!$E$9:$E$100)*((Personnel!$K$9:$K$100="")+(28&lt;=Personnel!$K$9:$K$100)&gt;0)*Personnel!$D$9:$D$100*(1-Personnel!$H$9:$H$100)*(1-Personnel!$I$9:$I$100)))*Escalation!$B$29</f>
        <v>56355</v>
      </c>
      <c r="AE5" s="287" t="n">
        <f aca="false">(SUMPRODUCT((Personnel!$F$9:$F$100="SixPeak")*(Personnel!$G$9:$G$100="Yes")*(29&gt;=Personnel!$E$9:$E$100)*((Personnel!$K$9:$K$100="")+(29&lt;=Personnel!$K$9:$K$100)&gt;0)*Personnel!$D$9:$D$100*(1-Personnel!$H$9:$H$100)*(1-Personnel!$I$9:$I$100)))*Escalation!$B$30</f>
        <v>56355</v>
      </c>
      <c r="AF5" s="287" t="n">
        <f aca="false">(SUMPRODUCT((Personnel!$F$9:$F$100="SixPeak")*(Personnel!$G$9:$G$100="Yes")*(30&gt;=Personnel!$E$9:$E$100)*((Personnel!$K$9:$K$100="")+(30&lt;=Personnel!$K$9:$K$100)&gt;0)*Personnel!$D$9:$D$100*(1-Personnel!$H$9:$H$100)*(1-Personnel!$I$9:$I$100)))*Escalation!$B$31</f>
        <v>56355</v>
      </c>
      <c r="AG5" s="287" t="n">
        <f aca="false">(SUMPRODUCT((Personnel!$F$9:$F$100="SixPeak")*(Personnel!$G$9:$G$100="Yes")*(31&gt;=Personnel!$E$9:$E$100)*((Personnel!$K$9:$K$100="")+(31&lt;=Personnel!$K$9:$K$100)&gt;0)*Personnel!$D$9:$D$100*(1-Personnel!$H$9:$H$100)*(1-Personnel!$I$9:$I$100)))*Escalation!$B$32</f>
        <v>56355</v>
      </c>
      <c r="AH5" s="287" t="n">
        <f aca="false">(SUMPRODUCT((Personnel!$F$9:$F$100="SixPeak")*(Personnel!$G$9:$G$100="Yes")*(32&gt;=Personnel!$E$9:$E$100)*((Personnel!$K$9:$K$100="")+(32&lt;=Personnel!$K$9:$K$100)&gt;0)*Personnel!$D$9:$D$100*(1-Personnel!$H$9:$H$100)*(1-Personnel!$I$9:$I$100)))*Escalation!$B$33</f>
        <v>56355</v>
      </c>
      <c r="AI5" s="287" t="n">
        <f aca="false">(SUMPRODUCT((Personnel!$F$9:$F$100="SixPeak")*(Personnel!$G$9:$G$100="Yes")*(33&gt;=Personnel!$E$9:$E$100)*((Personnel!$K$9:$K$100="")+(33&lt;=Personnel!$K$9:$K$100)&gt;0)*Personnel!$D$9:$D$100*(1-Personnel!$H$9:$H$100)*(1-Personnel!$I$9:$I$100)))*Escalation!$B$34</f>
        <v>56355</v>
      </c>
      <c r="AJ5" s="287" t="n">
        <f aca="false">(SUMPRODUCT((Personnel!$F$9:$F$100="SixPeak")*(Personnel!$G$9:$G$100="Yes")*(34&gt;=Personnel!$E$9:$E$100)*((Personnel!$K$9:$K$100="")+(34&lt;=Personnel!$K$9:$K$100)&gt;0)*Personnel!$D$9:$D$100*(1-Personnel!$H$9:$H$100)*(1-Personnel!$I$9:$I$100)))*Escalation!$B$35</f>
        <v>56355</v>
      </c>
      <c r="AK5" s="287" t="n">
        <f aca="false">(SUMPRODUCT((Personnel!$F$9:$F$100="SixPeak")*(Personnel!$G$9:$G$100="Yes")*(35&gt;=Personnel!$E$9:$E$100)*((Personnel!$K$9:$K$100="")+(35&lt;=Personnel!$K$9:$K$100)&gt;0)*Personnel!$D$9:$D$100*(1-Personnel!$H$9:$H$100)*(1-Personnel!$I$9:$I$100)))*Escalation!$B$36</f>
        <v>56355</v>
      </c>
      <c r="AL5" s="287" t="n">
        <f aca="false">(SUMPRODUCT((Personnel!$F$9:$F$100="SixPeak")*(Personnel!$G$9:$G$100="Yes")*(36&gt;=Personnel!$E$9:$E$100)*((Personnel!$K$9:$K$100="")+(36&lt;=Personnel!$K$9:$K$100)&gt;0)*Personnel!$D$9:$D$100*(1-Personnel!$H$9:$H$100)*(1-Personnel!$I$9:$I$100)))*Escalation!$B$37</f>
        <v>56355</v>
      </c>
      <c r="AM5" s="287" t="n">
        <f aca="false">(SUMPRODUCT((Personnel!$F$9:$F$100="SixPeak")*(Personnel!$G$9:$G$100="Yes")*(37&gt;=Personnel!$E$9:$E$100)*((Personnel!$K$9:$K$100="")+(37&lt;=Personnel!$K$9:$K$100)&gt;0)*Personnel!$D$9:$D$100*(1-Personnel!$H$9:$H$100)*(1-Personnel!$I$9:$I$100)))*Escalation!$B$38</f>
        <v>57482.1</v>
      </c>
      <c r="AN5" s="287" t="n">
        <f aca="false">(SUMPRODUCT((Personnel!$F$9:$F$100="SixPeak")*(Personnel!$G$9:$G$100="Yes")*(38&gt;=Personnel!$E$9:$E$100)*((Personnel!$K$9:$K$100="")+(38&lt;=Personnel!$K$9:$K$100)&gt;0)*Personnel!$D$9:$D$100*(1-Personnel!$H$9:$H$100)*(1-Personnel!$I$9:$I$100)))*Escalation!$B$39</f>
        <v>57482.1</v>
      </c>
      <c r="AO5" s="287" t="n">
        <f aca="false">(SUMPRODUCT((Personnel!$F$9:$F$100="SixPeak")*(Personnel!$G$9:$G$100="Yes")*(39&gt;=Personnel!$E$9:$E$100)*((Personnel!$K$9:$K$100="")+(39&lt;=Personnel!$K$9:$K$100)&gt;0)*Personnel!$D$9:$D$100*(1-Personnel!$H$9:$H$100)*(1-Personnel!$I$9:$I$100)))*Escalation!$B$40</f>
        <v>57482.1</v>
      </c>
      <c r="AP5" s="287" t="n">
        <f aca="false">(SUMPRODUCT((Personnel!$F$9:$F$100="SixPeak")*(Personnel!$G$9:$G$100="Yes")*(40&gt;=Personnel!$E$9:$E$100)*((Personnel!$K$9:$K$100="")+(40&lt;=Personnel!$K$9:$K$100)&gt;0)*Personnel!$D$9:$D$100*(1-Personnel!$H$9:$H$100)*(1-Personnel!$I$9:$I$100)))*Escalation!$B$41</f>
        <v>57482.1</v>
      </c>
      <c r="AQ5" s="287" t="n">
        <f aca="false">(SUMPRODUCT((Personnel!$F$9:$F$100="SixPeak")*(Personnel!$G$9:$G$100="Yes")*(41&gt;=Personnel!$E$9:$E$100)*((Personnel!$K$9:$K$100="")+(41&lt;=Personnel!$K$9:$K$100)&gt;0)*Personnel!$D$9:$D$100*(1-Personnel!$H$9:$H$100)*(1-Personnel!$I$9:$I$100)))*Escalation!$B$42</f>
        <v>57482.1</v>
      </c>
      <c r="AR5" s="287" t="n">
        <f aca="false">(SUMPRODUCT((Personnel!$F$9:$F$100="SixPeak")*(Personnel!$G$9:$G$100="Yes")*(42&gt;=Personnel!$E$9:$E$100)*((Personnel!$K$9:$K$100="")+(42&lt;=Personnel!$K$9:$K$100)&gt;0)*Personnel!$D$9:$D$100*(1-Personnel!$H$9:$H$100)*(1-Personnel!$I$9:$I$100)))*Escalation!$B$43</f>
        <v>57482.1</v>
      </c>
      <c r="AS5" s="287" t="n">
        <f aca="false">(SUMPRODUCT((Personnel!$F$9:$F$100="SixPeak")*(Personnel!$G$9:$G$100="Yes")*(43&gt;=Personnel!$E$9:$E$100)*((Personnel!$K$9:$K$100="")+(43&lt;=Personnel!$K$9:$K$100)&gt;0)*Personnel!$D$9:$D$100*(1-Personnel!$H$9:$H$100)*(1-Personnel!$I$9:$I$100)))*Escalation!$B$44</f>
        <v>57482.1</v>
      </c>
      <c r="AT5" s="287" t="n">
        <f aca="false">(SUMPRODUCT((Personnel!$F$9:$F$100="SixPeak")*(Personnel!$G$9:$G$100="Yes")*(44&gt;=Personnel!$E$9:$E$100)*((Personnel!$K$9:$K$100="")+(44&lt;=Personnel!$K$9:$K$100)&gt;0)*Personnel!$D$9:$D$100*(1-Personnel!$H$9:$H$100)*(1-Personnel!$I$9:$I$100)))*Escalation!$B$45</f>
        <v>57482.1</v>
      </c>
      <c r="AU5" s="287" t="n">
        <f aca="false">(SUMPRODUCT((Personnel!$F$9:$F$100="SixPeak")*(Personnel!$G$9:$G$100="Yes")*(45&gt;=Personnel!$E$9:$E$100)*((Personnel!$K$9:$K$100="")+(45&lt;=Personnel!$K$9:$K$100)&gt;0)*Personnel!$D$9:$D$100*(1-Personnel!$H$9:$H$100)*(1-Personnel!$I$9:$I$100)))*Escalation!$B$46</f>
        <v>57482.1</v>
      </c>
      <c r="AV5" s="287" t="n">
        <f aca="false">(SUMPRODUCT((Personnel!$F$9:$F$100="SixPeak")*(Personnel!$G$9:$G$100="Yes")*(46&gt;=Personnel!$E$9:$E$100)*((Personnel!$K$9:$K$100="")+(46&lt;=Personnel!$K$9:$K$100)&gt;0)*Personnel!$D$9:$D$100*(1-Personnel!$H$9:$H$100)*(1-Personnel!$I$9:$I$100)))*Escalation!$B$47</f>
        <v>57482.1</v>
      </c>
      <c r="AW5" s="287" t="n">
        <f aca="false">(SUMPRODUCT((Personnel!$F$9:$F$100="SixPeak")*(Personnel!$G$9:$G$100="Yes")*(47&gt;=Personnel!$E$9:$E$100)*((Personnel!$K$9:$K$100="")+(47&lt;=Personnel!$K$9:$K$100)&gt;0)*Personnel!$D$9:$D$100*(1-Personnel!$H$9:$H$100)*(1-Personnel!$I$9:$I$100)))*Escalation!$B$48</f>
        <v>57482.1</v>
      </c>
      <c r="AX5" s="287" t="n">
        <f aca="false">(SUMPRODUCT((Personnel!$F$9:$F$100="SixPeak")*(Personnel!$G$9:$G$100="Yes")*(48&gt;=Personnel!$E$9:$E$100)*((Personnel!$K$9:$K$100="")+(48&lt;=Personnel!$K$9:$K$100)&gt;0)*Personnel!$D$9:$D$100*(1-Personnel!$H$9:$H$100)*(1-Personnel!$I$9:$I$100)))*Escalation!$B$49</f>
        <v>57482.1</v>
      </c>
      <c r="AY5" s="287" t="n">
        <f aca="false">(SUMPRODUCT((Personnel!$F$9:$F$100="SixPeak")*(Personnel!$G$9:$G$100="Yes")*(49&gt;=Personnel!$E$9:$E$100)*((Personnel!$K$9:$K$100="")+(49&lt;=Personnel!$K$9:$K$100)&gt;0)*Personnel!$D$9:$D$100*(1-Personnel!$H$9:$H$100)*(1-Personnel!$I$9:$I$100)))*Escalation!$B$50</f>
        <v>58631.742</v>
      </c>
      <c r="AZ5" s="287" t="n">
        <f aca="false">(SUMPRODUCT((Personnel!$F$9:$F$100="SixPeak")*(Personnel!$G$9:$G$100="Yes")*(50&gt;=Personnel!$E$9:$E$100)*((Personnel!$K$9:$K$100="")+(50&lt;=Personnel!$K$9:$K$100)&gt;0)*Personnel!$D$9:$D$100*(1-Personnel!$H$9:$H$100)*(1-Personnel!$I$9:$I$100)))*Escalation!$B$51</f>
        <v>58631.742</v>
      </c>
      <c r="BA5" s="287" t="n">
        <f aca="false">(SUMPRODUCT((Personnel!$F$9:$F$100="SixPeak")*(Personnel!$G$9:$G$100="Yes")*(51&gt;=Personnel!$E$9:$E$100)*((Personnel!$K$9:$K$100="")+(51&lt;=Personnel!$K$9:$K$100)&gt;0)*Personnel!$D$9:$D$100*(1-Personnel!$H$9:$H$100)*(1-Personnel!$I$9:$I$100)))*Escalation!$B$52</f>
        <v>58631.742</v>
      </c>
      <c r="BB5" s="287" t="n">
        <f aca="false">(SUMPRODUCT((Personnel!$F$9:$F$100="SixPeak")*(Personnel!$G$9:$G$100="Yes")*(52&gt;=Personnel!$E$9:$E$100)*((Personnel!$K$9:$K$100="")+(52&lt;=Personnel!$K$9:$K$100)&gt;0)*Personnel!$D$9:$D$100*(1-Personnel!$H$9:$H$100)*(1-Personnel!$I$9:$I$100)))*Escalation!$B$53</f>
        <v>58631.742</v>
      </c>
      <c r="BC5" s="287" t="n">
        <f aca="false">(SUMPRODUCT((Personnel!$F$9:$F$100="SixPeak")*(Personnel!$G$9:$G$100="Yes")*(53&gt;=Personnel!$E$9:$E$100)*((Personnel!$K$9:$K$100="")+(53&lt;=Personnel!$K$9:$K$100)&gt;0)*Personnel!$D$9:$D$100*(1-Personnel!$H$9:$H$100)*(1-Personnel!$I$9:$I$100)))*Escalation!$B$54</f>
        <v>58631.742</v>
      </c>
      <c r="BD5" s="287" t="n">
        <f aca="false">(SUMPRODUCT((Personnel!$F$9:$F$100="SixPeak")*(Personnel!$G$9:$G$100="Yes")*(54&gt;=Personnel!$E$9:$E$100)*((Personnel!$K$9:$K$100="")+(54&lt;=Personnel!$K$9:$K$100)&gt;0)*Personnel!$D$9:$D$100*(1-Personnel!$H$9:$H$100)*(1-Personnel!$I$9:$I$100)))*Escalation!$B$55</f>
        <v>58631.742</v>
      </c>
      <c r="BE5" s="287" t="n">
        <f aca="false">(SUMPRODUCT((Personnel!$F$9:$F$100="SixPeak")*(Personnel!$G$9:$G$100="Yes")*(55&gt;=Personnel!$E$9:$E$100)*((Personnel!$K$9:$K$100="")+(55&lt;=Personnel!$K$9:$K$100)&gt;0)*Personnel!$D$9:$D$100*(1-Personnel!$H$9:$H$100)*(1-Personnel!$I$9:$I$100)))*Escalation!$B$56</f>
        <v>58631.742</v>
      </c>
      <c r="BF5" s="287" t="n">
        <f aca="false">(SUMPRODUCT((Personnel!$F$9:$F$100="SixPeak")*(Personnel!$G$9:$G$100="Yes")*(56&gt;=Personnel!$E$9:$E$100)*((Personnel!$K$9:$K$100="")+(56&lt;=Personnel!$K$9:$K$100)&gt;0)*Personnel!$D$9:$D$100*(1-Personnel!$H$9:$H$100)*(1-Personnel!$I$9:$I$100)))*Escalation!$B$57</f>
        <v>58631.742</v>
      </c>
      <c r="BG5" s="287" t="n">
        <f aca="false">(SUMPRODUCT((Personnel!$F$9:$F$100="SixPeak")*(Personnel!$G$9:$G$100="Yes")*(57&gt;=Personnel!$E$9:$E$100)*((Personnel!$K$9:$K$100="")+(57&lt;=Personnel!$K$9:$K$100)&gt;0)*Personnel!$D$9:$D$100*(1-Personnel!$H$9:$H$100)*(1-Personnel!$I$9:$I$100)))*Escalation!$B$58</f>
        <v>58631.742</v>
      </c>
      <c r="BH5" s="287" t="n">
        <f aca="false">(SUMPRODUCT((Personnel!$F$9:$F$100="SixPeak")*(Personnel!$G$9:$G$100="Yes")*(58&gt;=Personnel!$E$9:$E$100)*((Personnel!$K$9:$K$100="")+(58&lt;=Personnel!$K$9:$K$100)&gt;0)*Personnel!$D$9:$D$100*(1-Personnel!$H$9:$H$100)*(1-Personnel!$I$9:$I$100)))*Escalation!$B$59</f>
        <v>58631.742</v>
      </c>
      <c r="BI5" s="287" t="n">
        <f aca="false">(SUMPRODUCT((Personnel!$F$9:$F$100="SixPeak")*(Personnel!$G$9:$G$100="Yes")*(59&gt;=Personnel!$E$9:$E$100)*((Personnel!$K$9:$K$100="")+(59&lt;=Personnel!$K$9:$K$100)&gt;0)*Personnel!$D$9:$D$100*(1-Personnel!$H$9:$H$100)*(1-Personnel!$I$9:$I$100)))*Escalation!$B$60</f>
        <v>58631.742</v>
      </c>
      <c r="BJ5" s="287" t="n">
        <f aca="false">(SUMPRODUCT((Personnel!$F$9:$F$100="SixPeak")*(Personnel!$G$9:$G$100="Yes")*(60&gt;=Personnel!$E$9:$E$100)*((Personnel!$K$9:$K$100="")+(60&lt;=Personnel!$K$9:$K$100)&gt;0)*Personnel!$D$9:$D$100*(1-Personnel!$H$9:$H$100)*(1-Personnel!$I$9:$I$100)))*Escalation!$B$61</f>
        <v>58631.742</v>
      </c>
      <c r="BK5" s="287" t="n">
        <f aca="false">(SUMPRODUCT((Personnel!$F$9:$F$100="SixPeak")*(Personnel!$G$9:$G$100="Yes")*(61&gt;=Personnel!$E$9:$E$100)*((Personnel!$K$9:$K$100="")+(61&lt;=Personnel!$K$9:$K$100)&gt;0)*Personnel!$D$9:$D$100*(1-Personnel!$H$9:$H$100)*(1-Personnel!$I$9:$I$100)))*Escalation!$B$62</f>
        <v>59804.37684</v>
      </c>
      <c r="BL5" s="287" t="n">
        <f aca="false">(SUMPRODUCT((Personnel!$F$9:$F$100="SixPeak")*(Personnel!$G$9:$G$100="Yes")*(62&gt;=Personnel!$E$9:$E$100)*((Personnel!$K$9:$K$100="")+(62&lt;=Personnel!$K$9:$K$100)&gt;0)*Personnel!$D$9:$D$100*(1-Personnel!$H$9:$H$100)*(1-Personnel!$I$9:$I$100)))*Escalation!$B$63</f>
        <v>59804.37684</v>
      </c>
      <c r="BM5" s="287" t="n">
        <f aca="false">(SUMPRODUCT((Personnel!$F$9:$F$100="SixPeak")*(Personnel!$G$9:$G$100="Yes")*(63&gt;=Personnel!$E$9:$E$100)*((Personnel!$K$9:$K$100="")+(63&lt;=Personnel!$K$9:$K$100)&gt;0)*Personnel!$D$9:$D$100*(1-Personnel!$H$9:$H$100)*(1-Personnel!$I$9:$I$100)))*Escalation!$B$64</f>
        <v>59804.37684</v>
      </c>
      <c r="BN5" s="287" t="n">
        <f aca="false">(SUMPRODUCT((Personnel!$F$9:$F$100="SixPeak")*(Personnel!$G$9:$G$100="Yes")*(64&gt;=Personnel!$E$9:$E$100)*((Personnel!$K$9:$K$100="")+(64&lt;=Personnel!$K$9:$K$100)&gt;0)*Personnel!$D$9:$D$100*(1-Personnel!$H$9:$H$100)*(1-Personnel!$I$9:$I$100)))*Escalation!$B$65</f>
        <v>59804.37684</v>
      </c>
      <c r="BO5" s="287" t="n">
        <f aca="false">(SUMPRODUCT((Personnel!$F$9:$F$100="SixPeak")*(Personnel!$G$9:$G$100="Yes")*(65&gt;=Personnel!$E$9:$E$100)*((Personnel!$K$9:$K$100="")+(65&lt;=Personnel!$K$9:$K$100)&gt;0)*Personnel!$D$9:$D$100*(1-Personnel!$H$9:$H$100)*(1-Personnel!$I$9:$I$100)))*Escalation!$B$66</f>
        <v>59804.37684</v>
      </c>
      <c r="BP5" s="287" t="n">
        <f aca="false">(SUMPRODUCT((Personnel!$F$9:$F$100="SixPeak")*(Personnel!$G$9:$G$100="Yes")*(66&gt;=Personnel!$E$9:$E$100)*((Personnel!$K$9:$K$100="")+(66&lt;=Personnel!$K$9:$K$100)&gt;0)*Personnel!$D$9:$D$100*(1-Personnel!$H$9:$H$100)*(1-Personnel!$I$9:$I$100)))*Escalation!$B$67</f>
        <v>59804.37684</v>
      </c>
      <c r="BQ5" s="287" t="n">
        <f aca="false">(SUMPRODUCT((Personnel!$F$9:$F$100="SixPeak")*(Personnel!$G$9:$G$100="Yes")*(67&gt;=Personnel!$E$9:$E$100)*((Personnel!$K$9:$K$100="")+(67&lt;=Personnel!$K$9:$K$100)&gt;0)*Personnel!$D$9:$D$100*(1-Personnel!$H$9:$H$100)*(1-Personnel!$I$9:$I$100)))*Escalation!$B$68</f>
        <v>59804.37684</v>
      </c>
      <c r="BR5" s="287" t="n">
        <f aca="false">(SUMPRODUCT((Personnel!$F$9:$F$100="SixPeak")*(Personnel!$G$9:$G$100="Yes")*(68&gt;=Personnel!$E$9:$E$100)*((Personnel!$K$9:$K$100="")+(68&lt;=Personnel!$K$9:$K$100)&gt;0)*Personnel!$D$9:$D$100*(1-Personnel!$H$9:$H$100)*(1-Personnel!$I$9:$I$100)))*Escalation!$B$69</f>
        <v>59804.37684</v>
      </c>
      <c r="BS5" s="287" t="n">
        <f aca="false">(SUMPRODUCT((Personnel!$F$9:$F$100="SixPeak")*(Personnel!$G$9:$G$100="Yes")*(69&gt;=Personnel!$E$9:$E$100)*((Personnel!$K$9:$K$100="")+(69&lt;=Personnel!$K$9:$K$100)&gt;0)*Personnel!$D$9:$D$100*(1-Personnel!$H$9:$H$100)*(1-Personnel!$I$9:$I$100)))*Escalation!$B$70</f>
        <v>59804.37684</v>
      </c>
      <c r="BT5" s="287" t="n">
        <f aca="false">(SUMPRODUCT((Personnel!$F$9:$F$100="SixPeak")*(Personnel!$G$9:$G$100="Yes")*(70&gt;=Personnel!$E$9:$E$100)*((Personnel!$K$9:$K$100="")+(70&lt;=Personnel!$K$9:$K$100)&gt;0)*Personnel!$D$9:$D$100*(1-Personnel!$H$9:$H$100)*(1-Personnel!$I$9:$I$100)))*Escalation!$B$71</f>
        <v>59804.37684</v>
      </c>
      <c r="BU5" s="287" t="n">
        <f aca="false">(SUMPRODUCT((Personnel!$F$9:$F$100="SixPeak")*(Personnel!$G$9:$G$100="Yes")*(71&gt;=Personnel!$E$9:$E$100)*((Personnel!$K$9:$K$100="")+(71&lt;=Personnel!$K$9:$K$100)&gt;0)*Personnel!$D$9:$D$100*(1-Personnel!$H$9:$H$100)*(1-Personnel!$I$9:$I$100)))*Escalation!$B$72</f>
        <v>59804.37684</v>
      </c>
      <c r="BV5" s="287" t="n">
        <f aca="false">(SUMPRODUCT((Personnel!$F$9:$F$100="SixPeak")*(Personnel!$G$9:$G$100="Yes")*(72&gt;=Personnel!$E$9:$E$100)*((Personnel!$K$9:$K$100="")+(72&lt;=Personnel!$K$9:$K$100)&gt;0)*Personnel!$D$9:$D$100*(1-Personnel!$H$9:$H$100)*(1-Personnel!$I$9:$I$100)))*Escalation!$B$73</f>
        <v>59804.37684</v>
      </c>
      <c r="BW5" s="287" t="n">
        <f aca="false">(SUMPRODUCT((Personnel!$F$9:$F$100="SixPeak")*(Personnel!$G$9:$G$100="Yes")*(73&gt;=Personnel!$E$9:$E$100)*((Personnel!$K$9:$K$100="")+(73&lt;=Personnel!$K$9:$K$100)&gt;0)*Personnel!$D$9:$D$100*(1-Personnel!$H$9:$H$100)*(1-Personnel!$I$9:$I$100)))*Escalation!$B$74</f>
        <v>61000.4643768</v>
      </c>
      <c r="BX5" s="287" t="n">
        <f aca="false">(SUMPRODUCT((Personnel!$F$9:$F$100="SixPeak")*(Personnel!$G$9:$G$100="Yes")*(74&gt;=Personnel!$E$9:$E$100)*((Personnel!$K$9:$K$100="")+(74&lt;=Personnel!$K$9:$K$100)&gt;0)*Personnel!$D$9:$D$100*(1-Personnel!$H$9:$H$100)*(1-Personnel!$I$9:$I$100)))*Escalation!$B$75</f>
        <v>61000.4643768</v>
      </c>
      <c r="BY5" s="287" t="n">
        <f aca="false">(SUMPRODUCT((Personnel!$F$9:$F$100="SixPeak")*(Personnel!$G$9:$G$100="Yes")*(75&gt;=Personnel!$E$9:$E$100)*((Personnel!$K$9:$K$100="")+(75&lt;=Personnel!$K$9:$K$100)&gt;0)*Personnel!$D$9:$D$100*(1-Personnel!$H$9:$H$100)*(1-Personnel!$I$9:$I$100)))*Escalation!$B$76</f>
        <v>61000.4643768</v>
      </c>
      <c r="BZ5" s="287" t="n">
        <f aca="false">(SUMPRODUCT((Personnel!$F$9:$F$100="SixPeak")*(Personnel!$G$9:$G$100="Yes")*(76&gt;=Personnel!$E$9:$E$100)*((Personnel!$K$9:$K$100="")+(76&lt;=Personnel!$K$9:$K$100)&gt;0)*Personnel!$D$9:$D$100*(1-Personnel!$H$9:$H$100)*(1-Personnel!$I$9:$I$100)))*Escalation!$B$77</f>
        <v>61000.4643768</v>
      </c>
      <c r="CA5" s="287" t="n">
        <f aca="false">(SUMPRODUCT((Personnel!$F$9:$F$100="SixPeak")*(Personnel!$G$9:$G$100="Yes")*(77&gt;=Personnel!$E$9:$E$100)*((Personnel!$K$9:$K$100="")+(77&lt;=Personnel!$K$9:$K$100)&gt;0)*Personnel!$D$9:$D$100*(1-Personnel!$H$9:$H$100)*(1-Personnel!$I$9:$I$100)))*Escalation!$B$78</f>
        <v>61000.4643768</v>
      </c>
      <c r="CB5" s="287" t="n">
        <f aca="false">(SUMPRODUCT((Personnel!$F$9:$F$100="SixPeak")*(Personnel!$G$9:$G$100="Yes")*(78&gt;=Personnel!$E$9:$E$100)*((Personnel!$K$9:$K$100="")+(78&lt;=Personnel!$K$9:$K$100)&gt;0)*Personnel!$D$9:$D$100*(1-Personnel!$H$9:$H$100)*(1-Personnel!$I$9:$I$100)))*Escalation!$B$79</f>
        <v>61000.4643768</v>
      </c>
      <c r="CC5" s="287" t="n">
        <f aca="false">(SUMPRODUCT((Personnel!$F$9:$F$100="SixPeak")*(Personnel!$G$9:$G$100="Yes")*(79&gt;=Personnel!$E$9:$E$100)*((Personnel!$K$9:$K$100="")+(79&lt;=Personnel!$K$9:$K$100)&gt;0)*Personnel!$D$9:$D$100*(1-Personnel!$H$9:$H$100)*(1-Personnel!$I$9:$I$100)))*Escalation!$B$80</f>
        <v>61000.4643768</v>
      </c>
      <c r="CD5" s="287" t="n">
        <f aca="false">(SUMPRODUCT((Personnel!$F$9:$F$100="SixPeak")*(Personnel!$G$9:$G$100="Yes")*(80&gt;=Personnel!$E$9:$E$100)*((Personnel!$K$9:$K$100="")+(80&lt;=Personnel!$K$9:$K$100)&gt;0)*Personnel!$D$9:$D$100*(1-Personnel!$H$9:$H$100)*(1-Personnel!$I$9:$I$100)))*Escalation!$B$81</f>
        <v>61000.4643768</v>
      </c>
      <c r="CE5" s="287" t="n">
        <f aca="false">(SUMPRODUCT((Personnel!$F$9:$F$100="SixPeak")*(Personnel!$G$9:$G$100="Yes")*(81&gt;=Personnel!$E$9:$E$100)*((Personnel!$K$9:$K$100="")+(81&lt;=Personnel!$K$9:$K$100)&gt;0)*Personnel!$D$9:$D$100*(1-Personnel!$H$9:$H$100)*(1-Personnel!$I$9:$I$100)))*Escalation!$B$82</f>
        <v>61000.4643768</v>
      </c>
      <c r="CF5" s="287" t="n">
        <f aca="false">(SUMPRODUCT((Personnel!$F$9:$F$100="SixPeak")*(Personnel!$G$9:$G$100="Yes")*(82&gt;=Personnel!$E$9:$E$100)*((Personnel!$K$9:$K$100="")+(82&lt;=Personnel!$K$9:$K$100)&gt;0)*Personnel!$D$9:$D$100*(1-Personnel!$H$9:$H$100)*(1-Personnel!$I$9:$I$100)))*Escalation!$B$83</f>
        <v>61000.4643768</v>
      </c>
      <c r="CG5" s="287" t="n">
        <f aca="false">(SUMPRODUCT((Personnel!$F$9:$F$100="SixPeak")*(Personnel!$G$9:$G$100="Yes")*(83&gt;=Personnel!$E$9:$E$100)*((Personnel!$K$9:$K$100="")+(83&lt;=Personnel!$K$9:$K$100)&gt;0)*Personnel!$D$9:$D$100*(1-Personnel!$H$9:$H$100)*(1-Personnel!$I$9:$I$100)))*Escalation!$B$84</f>
        <v>61000.4643768</v>
      </c>
      <c r="CH5" s="287" t="n">
        <f aca="false">(SUMPRODUCT((Personnel!$F$9:$F$100="SixPeak")*(Personnel!$G$9:$G$100="Yes")*(84&gt;=Personnel!$E$9:$E$100)*((Personnel!$K$9:$K$100="")+(84&lt;=Personnel!$K$9:$K$100)&gt;0)*Personnel!$D$9:$D$100*(1-Personnel!$H$9:$H$100)*(1-Personnel!$I$9:$I$100)))*Escalation!$B$85</f>
        <v>61000.4643768</v>
      </c>
      <c r="CI5" s="287" t="n">
        <f aca="false">(SUMPRODUCT((Personnel!$F$9:$F$100="SixPeak")*(Personnel!$G$9:$G$100="Yes")*(85&gt;=Personnel!$E$9:$E$100)*((Personnel!$K$9:$K$100="")+(85&lt;=Personnel!$K$9:$K$100)&gt;0)*Personnel!$D$9:$D$100*(1-Personnel!$H$9:$H$100)*(1-Personnel!$I$9:$I$100)))*Escalation!$B$86</f>
        <v>62220.473664336</v>
      </c>
      <c r="CJ5" s="287" t="n">
        <f aca="false">(SUMPRODUCT((Personnel!$F$9:$F$100="SixPeak")*(Personnel!$G$9:$G$100="Yes")*(86&gt;=Personnel!$E$9:$E$100)*((Personnel!$K$9:$K$100="")+(86&lt;=Personnel!$K$9:$K$100)&gt;0)*Personnel!$D$9:$D$100*(1-Personnel!$H$9:$H$100)*(1-Personnel!$I$9:$I$100)))*Escalation!$B$87</f>
        <v>62220.473664336</v>
      </c>
      <c r="CK5" s="287" t="n">
        <f aca="false">(SUMPRODUCT((Personnel!$F$9:$F$100="SixPeak")*(Personnel!$G$9:$G$100="Yes")*(87&gt;=Personnel!$E$9:$E$100)*((Personnel!$K$9:$K$100="")+(87&lt;=Personnel!$K$9:$K$100)&gt;0)*Personnel!$D$9:$D$100*(1-Personnel!$H$9:$H$100)*(1-Personnel!$I$9:$I$100)))*Escalation!$B$88</f>
        <v>62220.473664336</v>
      </c>
      <c r="CL5" s="287" t="n">
        <f aca="false">(SUMPRODUCT((Personnel!$F$9:$F$100="SixPeak")*(Personnel!$G$9:$G$100="Yes")*(88&gt;=Personnel!$E$9:$E$100)*((Personnel!$K$9:$K$100="")+(88&lt;=Personnel!$K$9:$K$100)&gt;0)*Personnel!$D$9:$D$100*(1-Personnel!$H$9:$H$100)*(1-Personnel!$I$9:$I$100)))*Escalation!$B$89</f>
        <v>62220.473664336</v>
      </c>
      <c r="CM5" s="287" t="n">
        <f aca="false">(SUMPRODUCT((Personnel!$F$9:$F$100="SixPeak")*(Personnel!$G$9:$G$100="Yes")*(89&gt;=Personnel!$E$9:$E$100)*((Personnel!$K$9:$K$100="")+(89&lt;=Personnel!$K$9:$K$100)&gt;0)*Personnel!$D$9:$D$100*(1-Personnel!$H$9:$H$100)*(1-Personnel!$I$9:$I$100)))*Escalation!$B$90</f>
        <v>62220.473664336</v>
      </c>
      <c r="CN5" s="287" t="n">
        <f aca="false">(SUMPRODUCT((Personnel!$F$9:$F$100="SixPeak")*(Personnel!$G$9:$G$100="Yes")*(90&gt;=Personnel!$E$9:$E$100)*((Personnel!$K$9:$K$100="")+(90&lt;=Personnel!$K$9:$K$100)&gt;0)*Personnel!$D$9:$D$100*(1-Personnel!$H$9:$H$100)*(1-Personnel!$I$9:$I$100)))*Escalation!$B$91</f>
        <v>62220.473664336</v>
      </c>
      <c r="CO5" s="287" t="n">
        <f aca="false">(SUMPRODUCT((Personnel!$F$9:$F$100="SixPeak")*(Personnel!$G$9:$G$100="Yes")*(91&gt;=Personnel!$E$9:$E$100)*((Personnel!$K$9:$K$100="")+(91&lt;=Personnel!$K$9:$K$100)&gt;0)*Personnel!$D$9:$D$100*(1-Personnel!$H$9:$H$100)*(1-Personnel!$I$9:$I$100)))*Escalation!$B$92</f>
        <v>62220.473664336</v>
      </c>
      <c r="CP5" s="287" t="n">
        <f aca="false">(SUMPRODUCT((Personnel!$F$9:$F$100="SixPeak")*(Personnel!$G$9:$G$100="Yes")*(92&gt;=Personnel!$E$9:$E$100)*((Personnel!$K$9:$K$100="")+(92&lt;=Personnel!$K$9:$K$100)&gt;0)*Personnel!$D$9:$D$100*(1-Personnel!$H$9:$H$100)*(1-Personnel!$I$9:$I$100)))*Escalation!$B$93</f>
        <v>62220.473664336</v>
      </c>
      <c r="CQ5" s="28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1" t="s">
        <v>1140</v>
      </c>
    </row>
    <row r="8" customFormat="false" ht="15" hidden="false" customHeight="true" outlineLevel="0" collapsed="false">
      <c r="A8" s="177" t="s">
        <v>9</v>
      </c>
      <c r="C8" s="287" t="n">
        <v>11187175.79</v>
      </c>
      <c r="D8" s="287" t="n">
        <v>10356493.69</v>
      </c>
      <c r="E8" s="287" t="n">
        <v>9450240.48</v>
      </c>
      <c r="F8" s="287" t="n">
        <v>8485833.11</v>
      </c>
      <c r="G8" s="287" t="n">
        <v>6546008.3</v>
      </c>
      <c r="H8" s="287" t="n">
        <v>5950977.14</v>
      </c>
      <c r="I8" s="287" t="n">
        <v>5403449.04</v>
      </c>
      <c r="J8" s="287" t="n">
        <v>4778618.53</v>
      </c>
      <c r="K8" s="287" t="n">
        <v>4012283.82</v>
      </c>
      <c r="L8" s="287" t="n">
        <v>3317496.87</v>
      </c>
      <c r="M8" s="287" t="n">
        <v>2693094.26</v>
      </c>
      <c r="N8" s="287" t="n">
        <v>1981609.96</v>
      </c>
      <c r="O8" s="287" t="n">
        <v>1250721.11</v>
      </c>
      <c r="P8" s="287" t="n">
        <v>661631.3</v>
      </c>
      <c r="Q8" s="287" t="n">
        <v>297802.14</v>
      </c>
      <c r="R8" s="287" t="n">
        <v>126194.42</v>
      </c>
      <c r="S8" s="287" t="n">
        <v>0</v>
      </c>
      <c r="T8" s="287" t="n">
        <v>0</v>
      </c>
      <c r="U8" s="287" t="n">
        <v>0</v>
      </c>
      <c r="V8" s="287" t="n">
        <v>0</v>
      </c>
      <c r="W8" s="287" t="n">
        <v>0</v>
      </c>
      <c r="X8" s="287" t="n">
        <v>0</v>
      </c>
      <c r="Y8" s="287" t="n">
        <v>0</v>
      </c>
      <c r="Z8" s="287" t="n">
        <v>0</v>
      </c>
      <c r="AA8" s="287" t="n">
        <v>0</v>
      </c>
      <c r="AB8" s="287" t="n">
        <v>0</v>
      </c>
      <c r="AC8" s="287" t="n">
        <v>0</v>
      </c>
      <c r="AD8" s="287" t="n">
        <v>0</v>
      </c>
      <c r="AE8" s="287" t="n">
        <v>0</v>
      </c>
      <c r="AF8" s="287" t="n">
        <v>0</v>
      </c>
      <c r="AG8" s="287" t="n">
        <v>0</v>
      </c>
      <c r="AH8" s="287" t="n">
        <v>0</v>
      </c>
      <c r="AI8" s="287" t="n">
        <v>0</v>
      </c>
      <c r="AJ8" s="287" t="n">
        <v>0</v>
      </c>
      <c r="AK8" s="287" t="n">
        <v>0</v>
      </c>
      <c r="AL8" s="287" t="n">
        <v>0</v>
      </c>
      <c r="AM8" s="287" t="n">
        <v>0</v>
      </c>
      <c r="AN8" s="287" t="n">
        <v>0</v>
      </c>
      <c r="AO8" s="287" t="n">
        <v>0</v>
      </c>
      <c r="AP8" s="287" t="n">
        <v>0</v>
      </c>
      <c r="AQ8" s="287" t="n">
        <v>0</v>
      </c>
      <c r="AR8" s="287" t="n">
        <v>0</v>
      </c>
      <c r="AS8" s="287" t="n">
        <v>0</v>
      </c>
      <c r="AT8" s="287" t="n">
        <v>0</v>
      </c>
      <c r="AU8" s="287" t="n">
        <v>0</v>
      </c>
      <c r="AV8" s="287" t="n">
        <v>0</v>
      </c>
      <c r="AW8" s="287" t="n">
        <v>0</v>
      </c>
      <c r="AX8" s="287" t="n">
        <v>0</v>
      </c>
      <c r="AY8" s="287" t="n">
        <v>0</v>
      </c>
      <c r="AZ8" s="287" t="n">
        <v>0</v>
      </c>
      <c r="BA8" s="287" t="n">
        <v>0</v>
      </c>
      <c r="BB8" s="287" t="n">
        <v>0</v>
      </c>
      <c r="BC8" s="287" t="n">
        <v>0</v>
      </c>
      <c r="BD8" s="287" t="n">
        <v>0</v>
      </c>
      <c r="BE8" s="287" t="n">
        <v>0</v>
      </c>
      <c r="BF8" s="287" t="n">
        <v>0</v>
      </c>
      <c r="BG8" s="287" t="n">
        <v>0</v>
      </c>
      <c r="BH8" s="287" t="n">
        <v>0</v>
      </c>
      <c r="BI8" s="287" t="n">
        <v>0</v>
      </c>
      <c r="BJ8" s="287" t="n">
        <v>0</v>
      </c>
      <c r="BK8" s="287" t="n">
        <v>0</v>
      </c>
      <c r="BL8" s="287" t="n">
        <v>0</v>
      </c>
      <c r="BM8" s="287" t="n">
        <v>0</v>
      </c>
      <c r="BN8" s="287" t="n">
        <v>0</v>
      </c>
      <c r="BO8" s="287" t="n">
        <v>0</v>
      </c>
      <c r="BP8" s="287" t="n">
        <v>0</v>
      </c>
      <c r="BQ8" s="287" t="n">
        <v>0</v>
      </c>
      <c r="BR8" s="287" t="n">
        <v>0</v>
      </c>
      <c r="BS8" s="287" t="n">
        <v>0</v>
      </c>
      <c r="BT8" s="287" t="n">
        <v>0</v>
      </c>
      <c r="BU8" s="287" t="n">
        <v>0</v>
      </c>
      <c r="BV8" s="287" t="n">
        <v>0</v>
      </c>
      <c r="BW8" s="287" t="n">
        <v>0</v>
      </c>
      <c r="BX8" s="287" t="n">
        <v>0</v>
      </c>
      <c r="BY8" s="287" t="n">
        <v>0</v>
      </c>
      <c r="BZ8" s="287" t="n">
        <v>0</v>
      </c>
      <c r="CA8" s="287" t="n">
        <v>0</v>
      </c>
      <c r="CB8" s="287" t="n">
        <v>0</v>
      </c>
      <c r="CC8" s="287" t="n">
        <v>0</v>
      </c>
      <c r="CD8" s="287" t="n">
        <v>0</v>
      </c>
      <c r="CE8" s="287" t="n">
        <v>0</v>
      </c>
      <c r="CF8" s="287" t="n">
        <v>0</v>
      </c>
      <c r="CG8" s="287" t="n">
        <v>0</v>
      </c>
      <c r="CH8" s="287" t="n">
        <v>0</v>
      </c>
      <c r="CI8" s="287" t="n">
        <v>0</v>
      </c>
      <c r="CJ8" s="287" t="n">
        <v>0</v>
      </c>
      <c r="CK8" s="287" t="n">
        <v>0</v>
      </c>
      <c r="CL8" s="287" t="n">
        <v>0</v>
      </c>
      <c r="CM8" s="287" t="n">
        <v>0</v>
      </c>
      <c r="CN8" s="287" t="n">
        <v>0</v>
      </c>
      <c r="CO8" s="287" t="n">
        <v>0</v>
      </c>
      <c r="CP8" s="287" t="n">
        <v>0</v>
      </c>
      <c r="CQ8" s="287" t="n">
        <v>0</v>
      </c>
    </row>
    <row r="9" customFormat="false" ht="15" hidden="false" customHeight="true" outlineLevel="0" collapsed="false">
      <c r="A9" s="177" t="s">
        <v>10</v>
      </c>
      <c r="C9" s="287" t="n">
        <v>13529664.56</v>
      </c>
      <c r="D9" s="287" t="n">
        <v>12525045.48</v>
      </c>
      <c r="E9" s="287" t="n">
        <v>11429031.43</v>
      </c>
      <c r="F9" s="287" t="n">
        <v>10262686.27</v>
      </c>
      <c r="G9" s="287" t="n">
        <v>9354156.4</v>
      </c>
      <c r="H9" s="287" t="n">
        <v>8576474.68</v>
      </c>
      <c r="I9" s="287" t="n">
        <v>7686708.76</v>
      </c>
      <c r="J9" s="287" t="n">
        <v>7003935.62</v>
      </c>
      <c r="K9" s="287" t="n">
        <v>6232412.67</v>
      </c>
      <c r="L9" s="287" t="n">
        <v>5543806.21</v>
      </c>
      <c r="M9" s="287" t="n">
        <v>4887352.83</v>
      </c>
      <c r="N9" s="287" t="n">
        <v>4294423.23</v>
      </c>
      <c r="O9" s="287" t="n">
        <v>3826241.58</v>
      </c>
      <c r="P9" s="287" t="n">
        <v>3410361.03</v>
      </c>
      <c r="Q9" s="287" t="n">
        <v>2510448.86</v>
      </c>
      <c r="R9" s="287" t="n">
        <v>1384588.44</v>
      </c>
      <c r="S9" s="287" t="n">
        <v>631341.78</v>
      </c>
      <c r="T9" s="287" t="n">
        <v>164743.84</v>
      </c>
      <c r="U9" s="287" t="n">
        <v>0</v>
      </c>
      <c r="V9" s="287" t="n">
        <v>0</v>
      </c>
      <c r="W9" s="287" t="n">
        <v>0</v>
      </c>
      <c r="X9" s="287" t="n">
        <v>0</v>
      </c>
      <c r="Y9" s="287" t="n">
        <v>0</v>
      </c>
      <c r="Z9" s="287" t="n">
        <v>0</v>
      </c>
      <c r="AA9" s="287" t="n">
        <v>0</v>
      </c>
      <c r="AB9" s="287" t="n">
        <v>0</v>
      </c>
      <c r="AC9" s="287" t="n">
        <v>0</v>
      </c>
      <c r="AD9" s="287" t="n">
        <v>0</v>
      </c>
      <c r="AE9" s="287" t="n">
        <v>0</v>
      </c>
      <c r="AF9" s="287" t="n">
        <v>0</v>
      </c>
      <c r="AG9" s="287" t="n">
        <v>0</v>
      </c>
      <c r="AH9" s="287" t="n">
        <v>0</v>
      </c>
      <c r="AI9" s="287" t="n">
        <v>0</v>
      </c>
      <c r="AJ9" s="287" t="n">
        <v>0</v>
      </c>
      <c r="AK9" s="287" t="n">
        <v>0</v>
      </c>
      <c r="AL9" s="287" t="n">
        <v>0</v>
      </c>
      <c r="AM9" s="287" t="n">
        <v>0</v>
      </c>
      <c r="AN9" s="287" t="n">
        <v>0</v>
      </c>
      <c r="AO9" s="287" t="n">
        <v>0</v>
      </c>
      <c r="AP9" s="287" t="n">
        <v>0</v>
      </c>
      <c r="AQ9" s="287" t="n">
        <v>0</v>
      </c>
      <c r="AR9" s="287" t="n">
        <v>0</v>
      </c>
      <c r="AS9" s="287" t="n">
        <v>0</v>
      </c>
      <c r="AT9" s="287" t="n">
        <v>0</v>
      </c>
      <c r="AU9" s="287" t="n">
        <v>0</v>
      </c>
      <c r="AV9" s="287" t="n">
        <v>0</v>
      </c>
      <c r="AW9" s="287" t="n">
        <v>0</v>
      </c>
      <c r="AX9" s="287" t="n">
        <v>0</v>
      </c>
      <c r="AY9" s="287" t="n">
        <v>0</v>
      </c>
      <c r="AZ9" s="287" t="n">
        <v>0</v>
      </c>
      <c r="BA9" s="287" t="n">
        <v>0</v>
      </c>
      <c r="BB9" s="287" t="n">
        <v>0</v>
      </c>
      <c r="BC9" s="287" t="n">
        <v>0</v>
      </c>
      <c r="BD9" s="287" t="n">
        <v>0</v>
      </c>
      <c r="BE9" s="287" t="n">
        <v>0</v>
      </c>
      <c r="BF9" s="287" t="n">
        <v>0</v>
      </c>
      <c r="BG9" s="287" t="n">
        <v>0</v>
      </c>
      <c r="BH9" s="287" t="n">
        <v>0</v>
      </c>
      <c r="BI9" s="287" t="n">
        <v>0</v>
      </c>
      <c r="BJ9" s="287" t="n">
        <v>0</v>
      </c>
      <c r="BK9" s="287" t="n">
        <v>0</v>
      </c>
      <c r="BL9" s="287" t="n">
        <v>0</v>
      </c>
      <c r="BM9" s="287" t="n">
        <v>0</v>
      </c>
      <c r="BN9" s="287" t="n">
        <v>0</v>
      </c>
      <c r="BO9" s="287" t="n">
        <v>0</v>
      </c>
      <c r="BP9" s="287" t="n">
        <v>0</v>
      </c>
      <c r="BQ9" s="287" t="n">
        <v>0</v>
      </c>
      <c r="BR9" s="287" t="n">
        <v>0</v>
      </c>
      <c r="BS9" s="287" t="n">
        <v>0</v>
      </c>
      <c r="BT9" s="287" t="n">
        <v>0</v>
      </c>
      <c r="BU9" s="287" t="n">
        <v>0</v>
      </c>
      <c r="BV9" s="287" t="n">
        <v>0</v>
      </c>
      <c r="BW9" s="287" t="n">
        <v>0</v>
      </c>
      <c r="BX9" s="287" t="n">
        <v>0</v>
      </c>
      <c r="BY9" s="287" t="n">
        <v>0</v>
      </c>
      <c r="BZ9" s="287" t="n">
        <v>0</v>
      </c>
      <c r="CA9" s="287" t="n">
        <v>0</v>
      </c>
      <c r="CB9" s="287" t="n">
        <v>0</v>
      </c>
      <c r="CC9" s="287" t="n">
        <v>0</v>
      </c>
      <c r="CD9" s="287" t="n">
        <v>0</v>
      </c>
      <c r="CE9" s="287" t="n">
        <v>0</v>
      </c>
      <c r="CF9" s="287" t="n">
        <v>0</v>
      </c>
      <c r="CG9" s="287" t="n">
        <v>0</v>
      </c>
      <c r="CH9" s="287" t="n">
        <v>0</v>
      </c>
      <c r="CI9" s="287" t="n">
        <v>0</v>
      </c>
      <c r="CJ9" s="287" t="n">
        <v>0</v>
      </c>
      <c r="CK9" s="287" t="n">
        <v>0</v>
      </c>
      <c r="CL9" s="287" t="n">
        <v>0</v>
      </c>
      <c r="CM9" s="287" t="n">
        <v>0</v>
      </c>
      <c r="CN9" s="287" t="n">
        <v>0</v>
      </c>
      <c r="CO9" s="287" t="n">
        <v>0</v>
      </c>
      <c r="CP9" s="287" t="n">
        <v>0</v>
      </c>
      <c r="CQ9" s="287" t="n">
        <v>0</v>
      </c>
    </row>
    <row r="10" customFormat="false" ht="15" hidden="false" customHeight="true" outlineLevel="0" collapsed="false">
      <c r="A10" s="177" t="s">
        <v>12</v>
      </c>
      <c r="C10" s="287" t="n">
        <v>0</v>
      </c>
      <c r="D10" s="287" t="n">
        <v>0</v>
      </c>
      <c r="E10" s="287" t="n">
        <v>0</v>
      </c>
      <c r="F10" s="287" t="n">
        <v>0</v>
      </c>
      <c r="G10" s="287" t="n">
        <v>42418193.38</v>
      </c>
      <c r="H10" s="287" t="n">
        <v>41557159.51</v>
      </c>
      <c r="I10" s="287" t="n">
        <v>40347746.5</v>
      </c>
      <c r="J10" s="287" t="n">
        <v>39561567.49</v>
      </c>
      <c r="K10" s="287" t="n">
        <v>38972367.12</v>
      </c>
      <c r="L10" s="287" t="n">
        <v>38221747.38</v>
      </c>
      <c r="M10" s="287" t="n">
        <v>37614512.89</v>
      </c>
      <c r="N10" s="287" t="n">
        <v>36881872.23</v>
      </c>
      <c r="O10" s="287" t="n">
        <v>36263088.93</v>
      </c>
      <c r="P10" s="287" t="n">
        <v>35502601.32</v>
      </c>
      <c r="Q10" s="287" t="n">
        <v>34787831.07</v>
      </c>
      <c r="R10" s="287" t="n">
        <v>33505756.49</v>
      </c>
      <c r="S10" s="287" t="n">
        <v>32686448.68</v>
      </c>
      <c r="T10" s="287" t="n">
        <v>30243213.22</v>
      </c>
      <c r="U10" s="287" t="n">
        <v>28699798.34</v>
      </c>
      <c r="V10" s="287" t="n">
        <v>25529541</v>
      </c>
      <c r="W10" s="287" t="n">
        <v>23704130.61</v>
      </c>
      <c r="X10" s="287" t="n">
        <v>20828303.45</v>
      </c>
      <c r="Y10" s="287" t="n">
        <v>18426892.45</v>
      </c>
      <c r="Z10" s="287" t="n">
        <v>16789882.88</v>
      </c>
      <c r="AA10" s="287" t="n">
        <v>15753895.35</v>
      </c>
      <c r="AB10" s="287" t="n">
        <v>14527106.83</v>
      </c>
      <c r="AC10" s="287" t="n">
        <v>13375707.75</v>
      </c>
      <c r="AD10" s="287" t="n">
        <v>11951889.75</v>
      </c>
      <c r="AE10" s="287" t="n">
        <v>9479263.81</v>
      </c>
      <c r="AF10" s="287" t="n">
        <v>7184499.57</v>
      </c>
      <c r="AG10" s="287" t="n">
        <v>4941005.43</v>
      </c>
      <c r="AH10" s="287" t="n">
        <v>3716991.2</v>
      </c>
      <c r="AI10" s="287" t="n">
        <v>2700888.54</v>
      </c>
      <c r="AJ10" s="287" t="n">
        <v>1565814.84</v>
      </c>
      <c r="AK10" s="287" t="n">
        <v>331958.4</v>
      </c>
      <c r="AL10" s="287" t="n">
        <v>0</v>
      </c>
      <c r="AM10" s="287" t="n">
        <v>0</v>
      </c>
      <c r="AN10" s="287" t="n">
        <v>0</v>
      </c>
      <c r="AO10" s="287" t="n">
        <v>0</v>
      </c>
      <c r="AP10" s="287" t="n">
        <v>0</v>
      </c>
      <c r="AQ10" s="287" t="n">
        <v>0</v>
      </c>
      <c r="AR10" s="287" t="n">
        <v>0</v>
      </c>
      <c r="AS10" s="287" t="n">
        <v>0</v>
      </c>
      <c r="AT10" s="287" t="n">
        <v>0</v>
      </c>
      <c r="AU10" s="287" t="n">
        <v>0</v>
      </c>
      <c r="AV10" s="287" t="n">
        <v>0</v>
      </c>
      <c r="AW10" s="287" t="n">
        <v>0</v>
      </c>
      <c r="AX10" s="287" t="n">
        <v>0</v>
      </c>
      <c r="AY10" s="287" t="n">
        <v>0</v>
      </c>
      <c r="AZ10" s="287" t="n">
        <v>0</v>
      </c>
      <c r="BA10" s="287" t="n">
        <v>0</v>
      </c>
      <c r="BB10" s="287" t="n">
        <v>0</v>
      </c>
      <c r="BC10" s="287" t="n">
        <v>0</v>
      </c>
      <c r="BD10" s="287" t="n">
        <v>0</v>
      </c>
      <c r="BE10" s="287" t="n">
        <v>0</v>
      </c>
      <c r="BF10" s="287" t="n">
        <v>0</v>
      </c>
      <c r="BG10" s="287" t="n">
        <v>0</v>
      </c>
      <c r="BH10" s="287" t="n">
        <v>0</v>
      </c>
      <c r="BI10" s="287" t="n">
        <v>0</v>
      </c>
      <c r="BJ10" s="287" t="n">
        <v>0</v>
      </c>
      <c r="BK10" s="287" t="n">
        <v>0</v>
      </c>
      <c r="BL10" s="287" t="n">
        <v>0</v>
      </c>
      <c r="BM10" s="287" t="n">
        <v>0</v>
      </c>
      <c r="BN10" s="287" t="n">
        <v>0</v>
      </c>
      <c r="BO10" s="287" t="n">
        <v>0</v>
      </c>
      <c r="BP10" s="287" t="n">
        <v>0</v>
      </c>
      <c r="BQ10" s="287" t="n">
        <v>0</v>
      </c>
      <c r="BR10" s="287" t="n">
        <v>0</v>
      </c>
      <c r="BS10" s="287" t="n">
        <v>0</v>
      </c>
      <c r="BT10" s="287" t="n">
        <v>0</v>
      </c>
      <c r="BU10" s="287" t="n">
        <v>0</v>
      </c>
      <c r="BV10" s="287" t="n">
        <v>0</v>
      </c>
      <c r="BW10" s="287" t="n">
        <v>0</v>
      </c>
      <c r="BX10" s="287" t="n">
        <v>0</v>
      </c>
      <c r="BY10" s="287" t="n">
        <v>0</v>
      </c>
      <c r="BZ10" s="287" t="n">
        <v>0</v>
      </c>
      <c r="CA10" s="287" t="n">
        <v>0</v>
      </c>
      <c r="CB10" s="287" t="n">
        <v>0</v>
      </c>
      <c r="CC10" s="287" t="n">
        <v>0</v>
      </c>
      <c r="CD10" s="287" t="n">
        <v>0</v>
      </c>
      <c r="CE10" s="287" t="n">
        <v>0</v>
      </c>
      <c r="CF10" s="287" t="n">
        <v>0</v>
      </c>
      <c r="CG10" s="287" t="n">
        <v>0</v>
      </c>
      <c r="CH10" s="287" t="n">
        <v>0</v>
      </c>
      <c r="CI10" s="287" t="n">
        <v>0</v>
      </c>
      <c r="CJ10" s="287" t="n">
        <v>0</v>
      </c>
      <c r="CK10" s="287" t="n">
        <v>0</v>
      </c>
      <c r="CL10" s="287" t="n">
        <v>0</v>
      </c>
      <c r="CM10" s="287" t="n">
        <v>0</v>
      </c>
      <c r="CN10" s="287" t="n">
        <v>0</v>
      </c>
      <c r="CO10" s="287" t="n">
        <v>0</v>
      </c>
      <c r="CP10" s="287" t="n">
        <v>0</v>
      </c>
      <c r="CQ10" s="287" t="n">
        <v>0</v>
      </c>
    </row>
    <row r="11" customFormat="false" ht="15" hidden="false" customHeight="true" outlineLevel="0" collapsed="false">
      <c r="A11" s="177" t="s">
        <v>13</v>
      </c>
      <c r="C11" s="287" t="n">
        <f aca="false">IF(AND(Projects!$G$8="Yes",Projects!$F$8="Yes",1&gt;=Projects!$C$8,1&lt;Projects!$C$8+Projects!$D$8),Projects!$B$8*(1-SUMPRODUCT((Curves!$B$4:$AO$4)*(COLUMN(Curves!$B$4:$AO$4)-COLUMN(Curves!$B$4)+1&lt;=1-Projects!$C$8+1))),0)</f>
        <v>0</v>
      </c>
      <c r="D11" s="287" t="n">
        <f aca="false">IF(AND(Projects!$G$8="Yes",Projects!$F$8="Yes",2&gt;=Projects!$C$8,2&lt;Projects!$C$8+Projects!$D$8),Projects!$B$8*(1-SUMPRODUCT((Curves!$B$4:$AO$4)*(COLUMN(Curves!$B$4:$AO$4)-COLUMN(Curves!$B$4)+1&lt;=2-Projects!$C$8+1))),0)</f>
        <v>0</v>
      </c>
      <c r="E11" s="287" t="n">
        <f aca="false">IF(AND(Projects!$G$8="Yes",Projects!$F$8="Yes",3&gt;=Projects!$C$8,3&lt;Projects!$C$8+Projects!$D$8),Projects!$B$8*(1-SUMPRODUCT((Curves!$B$4:$AO$4)*(COLUMN(Curves!$B$4:$AO$4)-COLUMN(Curves!$B$4)+1&lt;=3-Projects!$C$8+1))),0)</f>
        <v>0</v>
      </c>
      <c r="F11" s="287" t="n">
        <f aca="false">IF(AND(Projects!$G$8="Yes",Projects!$F$8="Yes",4&gt;=Projects!$C$8,4&lt;Projects!$C$8+Projects!$D$8),Projects!$B$8*(1-SUMPRODUCT((Curves!$B$4:$AO$4)*(COLUMN(Curves!$B$4:$AO$4)-COLUMN(Curves!$B$4)+1&lt;=4-Projects!$C$8+1))),0)</f>
        <v>0</v>
      </c>
      <c r="G11" s="287" t="n">
        <f aca="false">IF(AND(Projects!$G$8="Yes",Projects!$F$8="Yes",5&gt;=Projects!$C$8,5&lt;Projects!$C$8+Projects!$D$8),Projects!$B$8*(1-SUMPRODUCT((Curves!$B$4:$AO$4)*(COLUMN(Curves!$B$4:$AO$4)-COLUMN(Curves!$B$4)+1&lt;=5-Projects!$C$8+1))),0)</f>
        <v>0</v>
      </c>
      <c r="H11" s="287" t="n">
        <f aca="false">IF(AND(Projects!$G$8="Yes",Projects!$F$8="Yes",6&gt;=Projects!$C$8,6&lt;Projects!$C$8+Projects!$D$8),Projects!$B$8*(1-SUMPRODUCT((Curves!$B$4:$AO$4)*(COLUMN(Curves!$B$4:$AO$4)-COLUMN(Curves!$B$4)+1&lt;=6-Projects!$C$8+1))),0)</f>
        <v>12649220.0904822</v>
      </c>
      <c r="I11" s="287" t="n">
        <f aca="false">IF(AND(Projects!$G$8="Yes",Projects!$F$8="Yes",7&gt;=Projects!$C$8,7&lt;Projects!$C$8+Projects!$D$8),Projects!$B$8*(1-SUMPRODUCT((Curves!$B$4:$AO$4)*(COLUMN(Curves!$B$4:$AO$4)-COLUMN(Curves!$B$4)+1&lt;=7-Projects!$C$8+1))),0)</f>
        <v>12223530.9933081</v>
      </c>
      <c r="J11" s="287" t="n">
        <f aca="false">IF(AND(Projects!$G$8="Yes",Projects!$F$8="Yes",8&gt;=Projects!$C$8,8&lt;Projects!$C$8+Projects!$D$8),Projects!$B$8*(1-SUMPRODUCT((Curves!$B$4:$AO$4)*(COLUMN(Curves!$B$4:$AO$4)-COLUMN(Curves!$B$4)+1&lt;=8-Projects!$C$8+1))),0)</f>
        <v>11710510.727302</v>
      </c>
      <c r="K11" s="287" t="n">
        <f aca="false">IF(AND(Projects!$G$8="Yes",Projects!$F$8="Yes",9&gt;=Projects!$C$8,9&lt;Projects!$C$8+Projects!$D$8),Projects!$B$8*(1-SUMPRODUCT((Curves!$B$4:$AO$4)*(COLUMN(Curves!$B$4:$AO$4)-COLUMN(Curves!$B$4)+1&lt;=9-Projects!$C$8+1))),0)</f>
        <v>11107443.5932694</v>
      </c>
      <c r="L11" s="287" t="n">
        <f aca="false">IF(AND(Projects!$G$8="Yes",Projects!$F$8="Yes",10&gt;=Projects!$C$8,10&lt;Projects!$C$8+Projects!$D$8),Projects!$B$8*(1-SUMPRODUCT((Curves!$B$4:$AO$4)*(COLUMN(Curves!$B$4:$AO$4)-COLUMN(Curves!$B$4)+1&lt;=10-Projects!$C$8+1))),0)</f>
        <v>10415940.8194405</v>
      </c>
      <c r="M11" s="287" t="n">
        <f aca="false">IF(AND(Projects!$G$8="Yes",Projects!$F$8="Yes",11&gt;=Projects!$C$8,11&lt;Projects!$C$8+Projects!$D$8),Projects!$B$8*(1-SUMPRODUCT((Curves!$B$4:$AO$4)*(COLUMN(Curves!$B$4:$AO$4)-COLUMN(Curves!$B$4)+1&lt;=11-Projects!$C$8+1))),0)</f>
        <v>9642525.2813924</v>
      </c>
      <c r="N11" s="287" t="n">
        <f aca="false">IF(AND(Projects!$G$8="Yes",Projects!$F$8="Yes",12&gt;=Projects!$C$8,12&lt;Projects!$C$8+Projects!$D$8),Projects!$B$8*(1-SUMPRODUCT((Curves!$B$4:$AO$4)*(COLUMN(Curves!$B$4:$AO$4)-COLUMN(Curves!$B$4)+1&lt;=12-Projects!$C$8+1))),0)</f>
        <v>8798748.44603355</v>
      </c>
      <c r="O11" s="287" t="n">
        <f aca="false">IF(AND(Projects!$G$8="Yes",Projects!$F$8="Yes",13&gt;=Projects!$C$8,13&lt;Projects!$C$8+Projects!$D$8),Projects!$B$8*(1-SUMPRODUCT((Curves!$B$4:$AO$4)*(COLUMN(Curves!$B$4:$AO$4)-COLUMN(Curves!$B$4)+1&lt;=13-Projects!$C$8+1))),0)</f>
        <v>7900826.54587435</v>
      </c>
      <c r="P11" s="287" t="n">
        <f aca="false">IF(AND(Projects!$G$8="Yes",Projects!$F$8="Yes",14&gt;=Projects!$C$8,14&lt;Projects!$C$8+Projects!$D$8),Projects!$B$8*(1-SUMPRODUCT((Curves!$B$4:$AO$4)*(COLUMN(Curves!$B$4:$AO$4)-COLUMN(Curves!$B$4)+1&lt;=14-Projects!$C$8+1))),0)</f>
        <v>6968757.00225575</v>
      </c>
      <c r="Q11" s="287" t="n">
        <f aca="false">IF(AND(Projects!$G$8="Yes",Projects!$F$8="Yes",15&gt;=Projects!$C$8,15&lt;Projects!$C$8+Projects!$D$8),Projects!$B$8*(1-SUMPRODUCT((Curves!$B$4:$AO$4)*(COLUMN(Curves!$B$4:$AO$4)-COLUMN(Curves!$B$4)+1&lt;=15-Projects!$C$8+1))),0)</f>
        <v>6025019.04774425</v>
      </c>
      <c r="R11" s="287" t="n">
        <f aca="false">IF(AND(Projects!$G$8="Yes",Projects!$F$8="Yes",16&gt;=Projects!$C$8,16&lt;Projects!$C$8+Projects!$D$8),Projects!$B$8*(1-SUMPRODUCT((Curves!$B$4:$AO$4)*(COLUMN(Curves!$B$4:$AO$4)-COLUMN(Curves!$B$4)+1&lt;=16-Projects!$C$8+1))),0)</f>
        <v>5092949.50412565</v>
      </c>
      <c r="S11" s="287" t="n">
        <f aca="false">IF(AND(Projects!$G$8="Yes",Projects!$F$8="Yes",17&gt;=Projects!$C$8,17&lt;Projects!$C$8+Projects!$D$8),Projects!$B$8*(1-SUMPRODUCT((Curves!$B$4:$AO$4)*(COLUMN(Curves!$B$4:$AO$4)-COLUMN(Curves!$B$4)+1&lt;=17-Projects!$C$8+1))),0)</f>
        <v>4195027.60396645</v>
      </c>
      <c r="T11" s="287" t="n">
        <f aca="false">IF(AND(Projects!$G$8="Yes",Projects!$F$8="Yes",18&gt;=Projects!$C$8,18&lt;Projects!$C$8+Projects!$D$8),Projects!$B$8*(1-SUMPRODUCT((Curves!$B$4:$AO$4)*(COLUMN(Curves!$B$4:$AO$4)-COLUMN(Curves!$B$4)+1&lt;=18-Projects!$C$8+1))),0)</f>
        <v>3351250.7686076</v>
      </c>
      <c r="U11" s="287" t="n">
        <f aca="false">IF(AND(Projects!$G$8="Yes",Projects!$F$8="Yes",19&gt;=Projects!$C$8,19&lt;Projects!$C$8+Projects!$D$8),Projects!$B$8*(1-SUMPRODUCT((Curves!$B$4:$AO$4)*(COLUMN(Curves!$B$4:$AO$4)-COLUMN(Curves!$B$4)+1&lt;=19-Projects!$C$8+1))),0)</f>
        <v>2577835.2305595</v>
      </c>
      <c r="V11" s="287" t="n">
        <f aca="false">IF(AND(Projects!$G$8="Yes",Projects!$F$8="Yes",20&gt;=Projects!$C$8,20&lt;Projects!$C$8+Projects!$D$8),Projects!$B$8*(1-SUMPRODUCT((Curves!$B$4:$AO$4)*(COLUMN(Curves!$B$4:$AO$4)-COLUMN(Curves!$B$4)+1&lt;=20-Projects!$C$8+1))),0)</f>
        <v>1886332.4567306</v>
      </c>
      <c r="W11" s="287" t="n">
        <f aca="false">IF(AND(Projects!$G$8="Yes",Projects!$F$8="Yes",21&gt;=Projects!$C$8,21&lt;Projects!$C$8+Projects!$D$8),Projects!$B$8*(1-SUMPRODUCT((Curves!$B$4:$AO$4)*(COLUMN(Curves!$B$4:$AO$4)-COLUMN(Curves!$B$4)+1&lt;=21-Projects!$C$8+1))),0)</f>
        <v>1283265.322698</v>
      </c>
      <c r="X11" s="287" t="n">
        <f aca="false">IF(AND(Projects!$G$8="Yes",Projects!$F$8="Yes",22&gt;=Projects!$C$8,22&lt;Projects!$C$8+Projects!$D$8),Projects!$B$8*(1-SUMPRODUCT((Curves!$B$4:$AO$4)*(COLUMN(Curves!$B$4:$AO$4)-COLUMN(Curves!$B$4)+1&lt;=22-Projects!$C$8+1))),0)</f>
        <v>770245.056691899</v>
      </c>
      <c r="Y11" s="287" t="n">
        <f aca="false">IF(AND(Projects!$G$8="Yes",Projects!$F$8="Yes",23&gt;=Projects!$C$8,23&lt;Projects!$C$8+Projects!$D$8),Projects!$B$8*(1-SUMPRODUCT((Curves!$B$4:$AO$4)*(COLUMN(Curves!$B$4:$AO$4)-COLUMN(Curves!$B$4)+1&lt;=23-Projects!$C$8+1))),0)</f>
        <v>344555.95951785</v>
      </c>
      <c r="Z11" s="287" t="n">
        <f aca="false">IF(AND(Projects!$G$8="Yes",Projects!$F$8="Yes",24&gt;=Projects!$C$8,24&lt;Projects!$C$8+Projects!$D$8),Projects!$B$8*(1-SUMPRODUCT((Curves!$B$4:$AO$4)*(COLUMN(Curves!$B$4:$AO$4)-COLUMN(Curves!$B$4)+1&lt;=24-Projects!$C$8+1))),0)</f>
        <v>0</v>
      </c>
      <c r="AA11" s="287" t="n">
        <f aca="false">IF(AND(Projects!$G$8="Yes",Projects!$F$8="Yes",25&gt;=Projects!$C$8,25&lt;Projects!$C$8+Projects!$D$8),Projects!$B$8*(1-SUMPRODUCT((Curves!$B$4:$AO$4)*(COLUMN(Curves!$B$4:$AO$4)-COLUMN(Curves!$B$4)+1&lt;=25-Projects!$C$8+1))),0)</f>
        <v>0</v>
      </c>
      <c r="AB11" s="287" t="n">
        <f aca="false">IF(AND(Projects!$G$8="Yes",Projects!$F$8="Yes",26&gt;=Projects!$C$8,26&lt;Projects!$C$8+Projects!$D$8),Projects!$B$8*(1-SUMPRODUCT((Curves!$B$4:$AO$4)*(COLUMN(Curves!$B$4:$AO$4)-COLUMN(Curves!$B$4)+1&lt;=26-Projects!$C$8+1))),0)</f>
        <v>0</v>
      </c>
      <c r="AC11" s="287" t="n">
        <f aca="false">IF(AND(Projects!$G$8="Yes",Projects!$F$8="Yes",27&gt;=Projects!$C$8,27&lt;Projects!$C$8+Projects!$D$8),Projects!$B$8*(1-SUMPRODUCT((Curves!$B$4:$AO$4)*(COLUMN(Curves!$B$4:$AO$4)-COLUMN(Curves!$B$4)+1&lt;=27-Projects!$C$8+1))),0)</f>
        <v>0</v>
      </c>
      <c r="AD11" s="287" t="n">
        <f aca="false">IF(AND(Projects!$G$8="Yes",Projects!$F$8="Yes",28&gt;=Projects!$C$8,28&lt;Projects!$C$8+Projects!$D$8),Projects!$B$8*(1-SUMPRODUCT((Curves!$B$4:$AO$4)*(COLUMN(Curves!$B$4:$AO$4)-COLUMN(Curves!$B$4)+1&lt;=28-Projects!$C$8+1))),0)</f>
        <v>0</v>
      </c>
      <c r="AE11" s="287" t="n">
        <f aca="false">IF(AND(Projects!$G$8="Yes",Projects!$F$8="Yes",29&gt;=Projects!$C$8,29&lt;Projects!$C$8+Projects!$D$8),Projects!$B$8*(1-SUMPRODUCT((Curves!$B$4:$AO$4)*(COLUMN(Curves!$B$4:$AO$4)-COLUMN(Curves!$B$4)+1&lt;=29-Projects!$C$8+1))),0)</f>
        <v>0</v>
      </c>
      <c r="AF11" s="287" t="n">
        <f aca="false">IF(AND(Projects!$G$8="Yes",Projects!$F$8="Yes",30&gt;=Projects!$C$8,30&lt;Projects!$C$8+Projects!$D$8),Projects!$B$8*(1-SUMPRODUCT((Curves!$B$4:$AO$4)*(COLUMN(Curves!$B$4:$AO$4)-COLUMN(Curves!$B$4)+1&lt;=30-Projects!$C$8+1))),0)</f>
        <v>0</v>
      </c>
      <c r="AG11" s="287" t="n">
        <f aca="false">IF(AND(Projects!$G$8="Yes",Projects!$F$8="Yes",31&gt;=Projects!$C$8,31&lt;Projects!$C$8+Projects!$D$8),Projects!$B$8*(1-SUMPRODUCT((Curves!$B$4:$AO$4)*(COLUMN(Curves!$B$4:$AO$4)-COLUMN(Curves!$B$4)+1&lt;=31-Projects!$C$8+1))),0)</f>
        <v>0</v>
      </c>
      <c r="AH11" s="287" t="n">
        <f aca="false">IF(AND(Projects!$G$8="Yes",Projects!$F$8="Yes",32&gt;=Projects!$C$8,32&lt;Projects!$C$8+Projects!$D$8),Projects!$B$8*(1-SUMPRODUCT((Curves!$B$4:$AO$4)*(COLUMN(Curves!$B$4:$AO$4)-COLUMN(Curves!$B$4)+1&lt;=32-Projects!$C$8+1))),0)</f>
        <v>0</v>
      </c>
      <c r="AI11" s="287" t="n">
        <f aca="false">IF(AND(Projects!$G$8="Yes",Projects!$F$8="Yes",33&gt;=Projects!$C$8,33&lt;Projects!$C$8+Projects!$D$8),Projects!$B$8*(1-SUMPRODUCT((Curves!$B$4:$AO$4)*(COLUMN(Curves!$B$4:$AO$4)-COLUMN(Curves!$B$4)+1&lt;=33-Projects!$C$8+1))),0)</f>
        <v>0</v>
      </c>
      <c r="AJ11" s="287" t="n">
        <f aca="false">IF(AND(Projects!$G$8="Yes",Projects!$F$8="Yes",34&gt;=Projects!$C$8,34&lt;Projects!$C$8+Projects!$D$8),Projects!$B$8*(1-SUMPRODUCT((Curves!$B$4:$AO$4)*(COLUMN(Curves!$B$4:$AO$4)-COLUMN(Curves!$B$4)+1&lt;=34-Projects!$C$8+1))),0)</f>
        <v>0</v>
      </c>
      <c r="AK11" s="287" t="n">
        <f aca="false">IF(AND(Projects!$G$8="Yes",Projects!$F$8="Yes",35&gt;=Projects!$C$8,35&lt;Projects!$C$8+Projects!$D$8),Projects!$B$8*(1-SUMPRODUCT((Curves!$B$4:$AO$4)*(COLUMN(Curves!$B$4:$AO$4)-COLUMN(Curves!$B$4)+1&lt;=35-Projects!$C$8+1))),0)</f>
        <v>0</v>
      </c>
      <c r="AL11" s="287" t="n">
        <f aca="false">IF(AND(Projects!$G$8="Yes",Projects!$F$8="Yes",36&gt;=Projects!$C$8,36&lt;Projects!$C$8+Projects!$D$8),Projects!$B$8*(1-SUMPRODUCT((Curves!$B$4:$AO$4)*(COLUMN(Curves!$B$4:$AO$4)-COLUMN(Curves!$B$4)+1&lt;=36-Projects!$C$8+1))),0)</f>
        <v>0</v>
      </c>
      <c r="AM11" s="287" t="n">
        <f aca="false">IF(AND(Projects!$G$8="Yes",Projects!$F$8="Yes",37&gt;=Projects!$C$8,37&lt;Projects!$C$8+Projects!$D$8),Projects!$B$8*(1-SUMPRODUCT((Curves!$B$4:$AO$4)*(COLUMN(Curves!$B$4:$AO$4)-COLUMN(Curves!$B$4)+1&lt;=37-Projects!$C$8+1))),0)</f>
        <v>0</v>
      </c>
      <c r="AN11" s="287" t="n">
        <f aca="false">IF(AND(Projects!$G$8="Yes",Projects!$F$8="Yes",38&gt;=Projects!$C$8,38&lt;Projects!$C$8+Projects!$D$8),Projects!$B$8*(1-SUMPRODUCT((Curves!$B$4:$AO$4)*(COLUMN(Curves!$B$4:$AO$4)-COLUMN(Curves!$B$4)+1&lt;=38-Projects!$C$8+1))),0)</f>
        <v>0</v>
      </c>
      <c r="AO11" s="287" t="n">
        <f aca="false">IF(AND(Projects!$G$8="Yes",Projects!$F$8="Yes",39&gt;=Projects!$C$8,39&lt;Projects!$C$8+Projects!$D$8),Projects!$B$8*(1-SUMPRODUCT((Curves!$B$4:$AO$4)*(COLUMN(Curves!$B$4:$AO$4)-COLUMN(Curves!$B$4)+1&lt;=39-Projects!$C$8+1))),0)</f>
        <v>0</v>
      </c>
      <c r="AP11" s="287" t="n">
        <f aca="false">IF(AND(Projects!$G$8="Yes",Projects!$F$8="Yes",40&gt;=Projects!$C$8,40&lt;Projects!$C$8+Projects!$D$8),Projects!$B$8*(1-SUMPRODUCT((Curves!$B$4:$AO$4)*(COLUMN(Curves!$B$4:$AO$4)-COLUMN(Curves!$B$4)+1&lt;=40-Projects!$C$8+1))),0)</f>
        <v>0</v>
      </c>
      <c r="AQ11" s="287" t="n">
        <f aca="false">IF(AND(Projects!$G$8="Yes",Projects!$F$8="Yes",41&gt;=Projects!$C$8,41&lt;Projects!$C$8+Projects!$D$8),Projects!$B$8*(1-SUMPRODUCT((Curves!$B$4:$AO$4)*(COLUMN(Curves!$B$4:$AO$4)-COLUMN(Curves!$B$4)+1&lt;=41-Projects!$C$8+1))),0)</f>
        <v>0</v>
      </c>
      <c r="AR11" s="287" t="n">
        <f aca="false">IF(AND(Projects!$G$8="Yes",Projects!$F$8="Yes",42&gt;=Projects!$C$8,42&lt;Projects!$C$8+Projects!$D$8),Projects!$B$8*(1-SUMPRODUCT((Curves!$B$4:$AO$4)*(COLUMN(Curves!$B$4:$AO$4)-COLUMN(Curves!$B$4)+1&lt;=42-Projects!$C$8+1))),0)</f>
        <v>0</v>
      </c>
      <c r="AS11" s="287" t="n">
        <f aca="false">IF(AND(Projects!$G$8="Yes",Projects!$F$8="Yes",43&gt;=Projects!$C$8,43&lt;Projects!$C$8+Projects!$D$8),Projects!$B$8*(1-SUMPRODUCT((Curves!$B$4:$AO$4)*(COLUMN(Curves!$B$4:$AO$4)-COLUMN(Curves!$B$4)+1&lt;=43-Projects!$C$8+1))),0)</f>
        <v>0</v>
      </c>
      <c r="AT11" s="287" t="n">
        <f aca="false">IF(AND(Projects!$G$8="Yes",Projects!$F$8="Yes",44&gt;=Projects!$C$8,44&lt;Projects!$C$8+Projects!$D$8),Projects!$B$8*(1-SUMPRODUCT((Curves!$B$4:$AO$4)*(COLUMN(Curves!$B$4:$AO$4)-COLUMN(Curves!$B$4)+1&lt;=44-Projects!$C$8+1))),0)</f>
        <v>0</v>
      </c>
      <c r="AU11" s="287" t="n">
        <f aca="false">IF(AND(Projects!$G$8="Yes",Projects!$F$8="Yes",45&gt;=Projects!$C$8,45&lt;Projects!$C$8+Projects!$D$8),Projects!$B$8*(1-SUMPRODUCT((Curves!$B$4:$AO$4)*(COLUMN(Curves!$B$4:$AO$4)-COLUMN(Curves!$B$4)+1&lt;=45-Projects!$C$8+1))),0)</f>
        <v>0</v>
      </c>
      <c r="AV11" s="287" t="n">
        <f aca="false">IF(AND(Projects!$G$8="Yes",Projects!$F$8="Yes",46&gt;=Projects!$C$8,46&lt;Projects!$C$8+Projects!$D$8),Projects!$B$8*(1-SUMPRODUCT((Curves!$B$4:$AO$4)*(COLUMN(Curves!$B$4:$AO$4)-COLUMN(Curves!$B$4)+1&lt;=46-Projects!$C$8+1))),0)</f>
        <v>0</v>
      </c>
      <c r="AW11" s="287" t="n">
        <f aca="false">IF(AND(Projects!$G$8="Yes",Projects!$F$8="Yes",47&gt;=Projects!$C$8,47&lt;Projects!$C$8+Projects!$D$8),Projects!$B$8*(1-SUMPRODUCT((Curves!$B$4:$AO$4)*(COLUMN(Curves!$B$4:$AO$4)-COLUMN(Curves!$B$4)+1&lt;=47-Projects!$C$8+1))),0)</f>
        <v>0</v>
      </c>
      <c r="AX11" s="287" t="n">
        <f aca="false">IF(AND(Projects!$G$8="Yes",Projects!$F$8="Yes",48&gt;=Projects!$C$8,48&lt;Projects!$C$8+Projects!$D$8),Projects!$B$8*(1-SUMPRODUCT((Curves!$B$4:$AO$4)*(COLUMN(Curves!$B$4:$AO$4)-COLUMN(Curves!$B$4)+1&lt;=48-Projects!$C$8+1))),0)</f>
        <v>0</v>
      </c>
      <c r="AY11" s="287" t="n">
        <f aca="false">IF(AND(Projects!$G$8="Yes",Projects!$F$8="Yes",49&gt;=Projects!$C$8,49&lt;Projects!$C$8+Projects!$D$8),Projects!$B$8*(1-SUMPRODUCT((Curves!$B$4:$AO$4)*(COLUMN(Curves!$B$4:$AO$4)-COLUMN(Curves!$B$4)+1&lt;=49-Projects!$C$8+1))),0)</f>
        <v>0</v>
      </c>
      <c r="AZ11" s="287" t="n">
        <f aca="false">IF(AND(Projects!$G$8="Yes",Projects!$F$8="Yes",50&gt;=Projects!$C$8,50&lt;Projects!$C$8+Projects!$D$8),Projects!$B$8*(1-SUMPRODUCT((Curves!$B$4:$AO$4)*(COLUMN(Curves!$B$4:$AO$4)-COLUMN(Curves!$B$4)+1&lt;=50-Projects!$C$8+1))),0)</f>
        <v>0</v>
      </c>
      <c r="BA11" s="287" t="n">
        <f aca="false">IF(AND(Projects!$G$8="Yes",Projects!$F$8="Yes",51&gt;=Projects!$C$8,51&lt;Projects!$C$8+Projects!$D$8),Projects!$B$8*(1-SUMPRODUCT((Curves!$B$4:$AO$4)*(COLUMN(Curves!$B$4:$AO$4)-COLUMN(Curves!$B$4)+1&lt;=51-Projects!$C$8+1))),0)</f>
        <v>0</v>
      </c>
      <c r="BB11" s="287" t="n">
        <f aca="false">IF(AND(Projects!$G$8="Yes",Projects!$F$8="Yes",52&gt;=Projects!$C$8,52&lt;Projects!$C$8+Projects!$D$8),Projects!$B$8*(1-SUMPRODUCT((Curves!$B$4:$AO$4)*(COLUMN(Curves!$B$4:$AO$4)-COLUMN(Curves!$B$4)+1&lt;=52-Projects!$C$8+1))),0)</f>
        <v>0</v>
      </c>
      <c r="BC11" s="287" t="n">
        <f aca="false">IF(AND(Projects!$G$8="Yes",Projects!$F$8="Yes",53&gt;=Projects!$C$8,53&lt;Projects!$C$8+Projects!$D$8),Projects!$B$8*(1-SUMPRODUCT((Curves!$B$4:$AO$4)*(COLUMN(Curves!$B$4:$AO$4)-COLUMN(Curves!$B$4)+1&lt;=53-Projects!$C$8+1))),0)</f>
        <v>0</v>
      </c>
      <c r="BD11" s="287" t="n">
        <f aca="false">IF(AND(Projects!$G$8="Yes",Projects!$F$8="Yes",54&gt;=Projects!$C$8,54&lt;Projects!$C$8+Projects!$D$8),Projects!$B$8*(1-SUMPRODUCT((Curves!$B$4:$AO$4)*(COLUMN(Curves!$B$4:$AO$4)-COLUMN(Curves!$B$4)+1&lt;=54-Projects!$C$8+1))),0)</f>
        <v>0</v>
      </c>
      <c r="BE11" s="287" t="n">
        <f aca="false">IF(AND(Projects!$G$8="Yes",Projects!$F$8="Yes",55&gt;=Projects!$C$8,55&lt;Projects!$C$8+Projects!$D$8),Projects!$B$8*(1-SUMPRODUCT((Curves!$B$4:$AO$4)*(COLUMN(Curves!$B$4:$AO$4)-COLUMN(Curves!$B$4)+1&lt;=55-Projects!$C$8+1))),0)</f>
        <v>0</v>
      </c>
      <c r="BF11" s="287" t="n">
        <f aca="false">IF(AND(Projects!$G$8="Yes",Projects!$F$8="Yes",56&gt;=Projects!$C$8,56&lt;Projects!$C$8+Projects!$D$8),Projects!$B$8*(1-SUMPRODUCT((Curves!$B$4:$AO$4)*(COLUMN(Curves!$B$4:$AO$4)-COLUMN(Curves!$B$4)+1&lt;=56-Projects!$C$8+1))),0)</f>
        <v>0</v>
      </c>
      <c r="BG11" s="287" t="n">
        <f aca="false">IF(AND(Projects!$G$8="Yes",Projects!$F$8="Yes",57&gt;=Projects!$C$8,57&lt;Projects!$C$8+Projects!$D$8),Projects!$B$8*(1-SUMPRODUCT((Curves!$B$4:$AO$4)*(COLUMN(Curves!$B$4:$AO$4)-COLUMN(Curves!$B$4)+1&lt;=57-Projects!$C$8+1))),0)</f>
        <v>0</v>
      </c>
      <c r="BH11" s="287" t="n">
        <f aca="false">IF(AND(Projects!$G$8="Yes",Projects!$F$8="Yes",58&gt;=Projects!$C$8,58&lt;Projects!$C$8+Projects!$D$8),Projects!$B$8*(1-SUMPRODUCT((Curves!$B$4:$AO$4)*(COLUMN(Curves!$B$4:$AO$4)-COLUMN(Curves!$B$4)+1&lt;=58-Projects!$C$8+1))),0)</f>
        <v>0</v>
      </c>
      <c r="BI11" s="287" t="n">
        <f aca="false">IF(AND(Projects!$G$8="Yes",Projects!$F$8="Yes",59&gt;=Projects!$C$8,59&lt;Projects!$C$8+Projects!$D$8),Projects!$B$8*(1-SUMPRODUCT((Curves!$B$4:$AO$4)*(COLUMN(Curves!$B$4:$AO$4)-COLUMN(Curves!$B$4)+1&lt;=59-Projects!$C$8+1))),0)</f>
        <v>0</v>
      </c>
      <c r="BJ11" s="287" t="n">
        <f aca="false">IF(AND(Projects!$G$8="Yes",Projects!$F$8="Yes",60&gt;=Projects!$C$8,60&lt;Projects!$C$8+Projects!$D$8),Projects!$B$8*(1-SUMPRODUCT((Curves!$B$4:$AO$4)*(COLUMN(Curves!$B$4:$AO$4)-COLUMN(Curves!$B$4)+1&lt;=60-Projects!$C$8+1))),0)</f>
        <v>0</v>
      </c>
      <c r="BK11" s="287" t="n">
        <f aca="false">IF(AND(Projects!$G$8="Yes",Projects!$F$8="Yes",61&gt;=Projects!$C$8,61&lt;Projects!$C$8+Projects!$D$8),Projects!$B$8*(1-SUMPRODUCT((Curves!$B$4:$AO$4)*(COLUMN(Curves!$B$4:$AO$4)-COLUMN(Curves!$B$4)+1&lt;=61-Projects!$C$8+1))),0)</f>
        <v>0</v>
      </c>
      <c r="BL11" s="287" t="n">
        <f aca="false">IF(AND(Projects!$G$8="Yes",Projects!$F$8="Yes",62&gt;=Projects!$C$8,62&lt;Projects!$C$8+Projects!$D$8),Projects!$B$8*(1-SUMPRODUCT((Curves!$B$4:$AO$4)*(COLUMN(Curves!$B$4:$AO$4)-COLUMN(Curves!$B$4)+1&lt;=62-Projects!$C$8+1))),0)</f>
        <v>0</v>
      </c>
      <c r="BM11" s="287" t="n">
        <f aca="false">IF(AND(Projects!$G$8="Yes",Projects!$F$8="Yes",63&gt;=Projects!$C$8,63&lt;Projects!$C$8+Projects!$D$8),Projects!$B$8*(1-SUMPRODUCT((Curves!$B$4:$AO$4)*(COLUMN(Curves!$B$4:$AO$4)-COLUMN(Curves!$B$4)+1&lt;=63-Projects!$C$8+1))),0)</f>
        <v>0</v>
      </c>
      <c r="BN11" s="287" t="n">
        <f aca="false">IF(AND(Projects!$G$8="Yes",Projects!$F$8="Yes",64&gt;=Projects!$C$8,64&lt;Projects!$C$8+Projects!$D$8),Projects!$B$8*(1-SUMPRODUCT((Curves!$B$4:$AO$4)*(COLUMN(Curves!$B$4:$AO$4)-COLUMN(Curves!$B$4)+1&lt;=64-Projects!$C$8+1))),0)</f>
        <v>0</v>
      </c>
      <c r="BO11" s="287" t="n">
        <f aca="false">IF(AND(Projects!$G$8="Yes",Projects!$F$8="Yes",65&gt;=Projects!$C$8,65&lt;Projects!$C$8+Projects!$D$8),Projects!$B$8*(1-SUMPRODUCT((Curves!$B$4:$AO$4)*(COLUMN(Curves!$B$4:$AO$4)-COLUMN(Curves!$B$4)+1&lt;=65-Projects!$C$8+1))),0)</f>
        <v>0</v>
      </c>
      <c r="BP11" s="287" t="n">
        <f aca="false">IF(AND(Projects!$G$8="Yes",Projects!$F$8="Yes",66&gt;=Projects!$C$8,66&lt;Projects!$C$8+Projects!$D$8),Projects!$B$8*(1-SUMPRODUCT((Curves!$B$4:$AO$4)*(COLUMN(Curves!$B$4:$AO$4)-COLUMN(Curves!$B$4)+1&lt;=66-Projects!$C$8+1))),0)</f>
        <v>0</v>
      </c>
      <c r="BQ11" s="287" t="n">
        <f aca="false">IF(AND(Projects!$G$8="Yes",Projects!$F$8="Yes",67&gt;=Projects!$C$8,67&lt;Projects!$C$8+Projects!$D$8),Projects!$B$8*(1-SUMPRODUCT((Curves!$B$4:$AO$4)*(COLUMN(Curves!$B$4:$AO$4)-COLUMN(Curves!$B$4)+1&lt;=67-Projects!$C$8+1))),0)</f>
        <v>0</v>
      </c>
      <c r="BR11" s="287" t="n">
        <f aca="false">IF(AND(Projects!$G$8="Yes",Projects!$F$8="Yes",68&gt;=Projects!$C$8,68&lt;Projects!$C$8+Projects!$D$8),Projects!$B$8*(1-SUMPRODUCT((Curves!$B$4:$AO$4)*(COLUMN(Curves!$B$4:$AO$4)-COLUMN(Curves!$B$4)+1&lt;=68-Projects!$C$8+1))),0)</f>
        <v>0</v>
      </c>
      <c r="BS11" s="287" t="n">
        <f aca="false">IF(AND(Projects!$G$8="Yes",Projects!$F$8="Yes",69&gt;=Projects!$C$8,69&lt;Projects!$C$8+Projects!$D$8),Projects!$B$8*(1-SUMPRODUCT((Curves!$B$4:$AO$4)*(COLUMN(Curves!$B$4:$AO$4)-COLUMN(Curves!$B$4)+1&lt;=69-Projects!$C$8+1))),0)</f>
        <v>0</v>
      </c>
      <c r="BT11" s="287" t="n">
        <f aca="false">IF(AND(Projects!$G$8="Yes",Projects!$F$8="Yes",70&gt;=Projects!$C$8,70&lt;Projects!$C$8+Projects!$D$8),Projects!$B$8*(1-SUMPRODUCT((Curves!$B$4:$AO$4)*(COLUMN(Curves!$B$4:$AO$4)-COLUMN(Curves!$B$4)+1&lt;=70-Projects!$C$8+1))),0)</f>
        <v>0</v>
      </c>
      <c r="BU11" s="287" t="n">
        <f aca="false">IF(AND(Projects!$G$8="Yes",Projects!$F$8="Yes",71&gt;=Projects!$C$8,71&lt;Projects!$C$8+Projects!$D$8),Projects!$B$8*(1-SUMPRODUCT((Curves!$B$4:$AO$4)*(COLUMN(Curves!$B$4:$AO$4)-COLUMN(Curves!$B$4)+1&lt;=71-Projects!$C$8+1))),0)</f>
        <v>0</v>
      </c>
      <c r="BV11" s="287" t="n">
        <f aca="false">IF(AND(Projects!$G$8="Yes",Projects!$F$8="Yes",72&gt;=Projects!$C$8,72&lt;Projects!$C$8+Projects!$D$8),Projects!$B$8*(1-SUMPRODUCT((Curves!$B$4:$AO$4)*(COLUMN(Curves!$B$4:$AO$4)-COLUMN(Curves!$B$4)+1&lt;=72-Projects!$C$8+1))),0)</f>
        <v>0</v>
      </c>
      <c r="BW11" s="287" t="n">
        <f aca="false">IF(AND(Projects!$G$8="Yes",Projects!$F$8="Yes",73&gt;=Projects!$C$8,73&lt;Projects!$C$8+Projects!$D$8),Projects!$B$8*(1-SUMPRODUCT((Curves!$B$4:$AO$4)*(COLUMN(Curves!$B$4:$AO$4)-COLUMN(Curves!$B$4)+1&lt;=73-Projects!$C$8+1))),0)</f>
        <v>0</v>
      </c>
      <c r="BX11" s="287" t="n">
        <f aca="false">IF(AND(Projects!$G$8="Yes",Projects!$F$8="Yes",74&gt;=Projects!$C$8,74&lt;Projects!$C$8+Projects!$D$8),Projects!$B$8*(1-SUMPRODUCT((Curves!$B$4:$AO$4)*(COLUMN(Curves!$B$4:$AO$4)-COLUMN(Curves!$B$4)+1&lt;=74-Projects!$C$8+1))),0)</f>
        <v>0</v>
      </c>
      <c r="BY11" s="287" t="n">
        <f aca="false">IF(AND(Projects!$G$8="Yes",Projects!$F$8="Yes",75&gt;=Projects!$C$8,75&lt;Projects!$C$8+Projects!$D$8),Projects!$B$8*(1-SUMPRODUCT((Curves!$B$4:$AO$4)*(COLUMN(Curves!$B$4:$AO$4)-COLUMN(Curves!$B$4)+1&lt;=75-Projects!$C$8+1))),0)</f>
        <v>0</v>
      </c>
      <c r="BZ11" s="287" t="n">
        <f aca="false">IF(AND(Projects!$G$8="Yes",Projects!$F$8="Yes",76&gt;=Projects!$C$8,76&lt;Projects!$C$8+Projects!$D$8),Projects!$B$8*(1-SUMPRODUCT((Curves!$B$4:$AO$4)*(COLUMN(Curves!$B$4:$AO$4)-COLUMN(Curves!$B$4)+1&lt;=76-Projects!$C$8+1))),0)</f>
        <v>0</v>
      </c>
      <c r="CA11" s="287" t="n">
        <f aca="false">IF(AND(Projects!$G$8="Yes",Projects!$F$8="Yes",77&gt;=Projects!$C$8,77&lt;Projects!$C$8+Projects!$D$8),Projects!$B$8*(1-SUMPRODUCT((Curves!$B$4:$AO$4)*(COLUMN(Curves!$B$4:$AO$4)-COLUMN(Curves!$B$4)+1&lt;=77-Projects!$C$8+1))),0)</f>
        <v>0</v>
      </c>
      <c r="CB11" s="287" t="n">
        <f aca="false">IF(AND(Projects!$G$8="Yes",Projects!$F$8="Yes",78&gt;=Projects!$C$8,78&lt;Projects!$C$8+Projects!$D$8),Projects!$B$8*(1-SUMPRODUCT((Curves!$B$4:$AO$4)*(COLUMN(Curves!$B$4:$AO$4)-COLUMN(Curves!$B$4)+1&lt;=78-Projects!$C$8+1))),0)</f>
        <v>0</v>
      </c>
      <c r="CC11" s="287" t="n">
        <f aca="false">IF(AND(Projects!$G$8="Yes",Projects!$F$8="Yes",79&gt;=Projects!$C$8,79&lt;Projects!$C$8+Projects!$D$8),Projects!$B$8*(1-SUMPRODUCT((Curves!$B$4:$AO$4)*(COLUMN(Curves!$B$4:$AO$4)-COLUMN(Curves!$B$4)+1&lt;=79-Projects!$C$8+1))),0)</f>
        <v>0</v>
      </c>
      <c r="CD11" s="287" t="n">
        <f aca="false">IF(AND(Projects!$G$8="Yes",Projects!$F$8="Yes",80&gt;=Projects!$C$8,80&lt;Projects!$C$8+Projects!$D$8),Projects!$B$8*(1-SUMPRODUCT((Curves!$B$4:$AO$4)*(COLUMN(Curves!$B$4:$AO$4)-COLUMN(Curves!$B$4)+1&lt;=80-Projects!$C$8+1))),0)</f>
        <v>0</v>
      </c>
      <c r="CE11" s="287" t="n">
        <f aca="false">IF(AND(Projects!$G$8="Yes",Projects!$F$8="Yes",81&gt;=Projects!$C$8,81&lt;Projects!$C$8+Projects!$D$8),Projects!$B$8*(1-SUMPRODUCT((Curves!$B$4:$AO$4)*(COLUMN(Curves!$B$4:$AO$4)-COLUMN(Curves!$B$4)+1&lt;=81-Projects!$C$8+1))),0)</f>
        <v>0</v>
      </c>
      <c r="CF11" s="287" t="n">
        <f aca="false">IF(AND(Projects!$G$8="Yes",Projects!$F$8="Yes",82&gt;=Projects!$C$8,82&lt;Projects!$C$8+Projects!$D$8),Projects!$B$8*(1-SUMPRODUCT((Curves!$B$4:$AO$4)*(COLUMN(Curves!$B$4:$AO$4)-COLUMN(Curves!$B$4)+1&lt;=82-Projects!$C$8+1))),0)</f>
        <v>0</v>
      </c>
      <c r="CG11" s="287" t="n">
        <f aca="false">IF(AND(Projects!$G$8="Yes",Projects!$F$8="Yes",83&gt;=Projects!$C$8,83&lt;Projects!$C$8+Projects!$D$8),Projects!$B$8*(1-SUMPRODUCT((Curves!$B$4:$AO$4)*(COLUMN(Curves!$B$4:$AO$4)-COLUMN(Curves!$B$4)+1&lt;=83-Projects!$C$8+1))),0)</f>
        <v>0</v>
      </c>
      <c r="CH11" s="287" t="n">
        <f aca="false">IF(AND(Projects!$G$8="Yes",Projects!$F$8="Yes",84&gt;=Projects!$C$8,84&lt;Projects!$C$8+Projects!$D$8),Projects!$B$8*(1-SUMPRODUCT((Curves!$B$4:$AO$4)*(COLUMN(Curves!$B$4:$AO$4)-COLUMN(Curves!$B$4)+1&lt;=84-Projects!$C$8+1))),0)</f>
        <v>0</v>
      </c>
      <c r="CI11" s="287" t="n">
        <f aca="false">IF(AND(Projects!$G$8="Yes",Projects!$F$8="Yes",85&gt;=Projects!$C$8,85&lt;Projects!$C$8+Projects!$D$8),Projects!$B$8*(1-SUMPRODUCT((Curves!$B$4:$AO$4)*(COLUMN(Curves!$B$4:$AO$4)-COLUMN(Curves!$B$4)+1&lt;=85-Projects!$C$8+1))),0)</f>
        <v>0</v>
      </c>
      <c r="CJ11" s="287" t="n">
        <f aca="false">IF(AND(Projects!$G$8="Yes",Projects!$F$8="Yes",86&gt;=Projects!$C$8,86&lt;Projects!$C$8+Projects!$D$8),Projects!$B$8*(1-SUMPRODUCT((Curves!$B$4:$AO$4)*(COLUMN(Curves!$B$4:$AO$4)-COLUMN(Curves!$B$4)+1&lt;=86-Projects!$C$8+1))),0)</f>
        <v>0</v>
      </c>
      <c r="CK11" s="287" t="n">
        <f aca="false">IF(AND(Projects!$G$8="Yes",Projects!$F$8="Yes",87&gt;=Projects!$C$8,87&lt;Projects!$C$8+Projects!$D$8),Projects!$B$8*(1-SUMPRODUCT((Curves!$B$4:$AO$4)*(COLUMN(Curves!$B$4:$AO$4)-COLUMN(Curves!$B$4)+1&lt;=87-Projects!$C$8+1))),0)</f>
        <v>0</v>
      </c>
      <c r="CL11" s="287" t="n">
        <f aca="false">IF(AND(Projects!$G$8="Yes",Projects!$F$8="Yes",88&gt;=Projects!$C$8,88&lt;Projects!$C$8+Projects!$D$8),Projects!$B$8*(1-SUMPRODUCT((Curves!$B$4:$AO$4)*(COLUMN(Curves!$B$4:$AO$4)-COLUMN(Curves!$B$4)+1&lt;=88-Projects!$C$8+1))),0)</f>
        <v>0</v>
      </c>
      <c r="CM11" s="287" t="n">
        <f aca="false">IF(AND(Projects!$G$8="Yes",Projects!$F$8="Yes",89&gt;=Projects!$C$8,89&lt;Projects!$C$8+Projects!$D$8),Projects!$B$8*(1-SUMPRODUCT((Curves!$B$4:$AO$4)*(COLUMN(Curves!$B$4:$AO$4)-COLUMN(Curves!$B$4)+1&lt;=89-Projects!$C$8+1))),0)</f>
        <v>0</v>
      </c>
      <c r="CN11" s="287" t="n">
        <f aca="false">IF(AND(Projects!$G$8="Yes",Projects!$F$8="Yes",90&gt;=Projects!$C$8,90&lt;Projects!$C$8+Projects!$D$8),Projects!$B$8*(1-SUMPRODUCT((Curves!$B$4:$AO$4)*(COLUMN(Curves!$B$4:$AO$4)-COLUMN(Curves!$B$4)+1&lt;=90-Projects!$C$8+1))),0)</f>
        <v>0</v>
      </c>
      <c r="CO11" s="287" t="n">
        <f aca="false">IF(AND(Projects!$G$8="Yes",Projects!$F$8="Yes",91&gt;=Projects!$C$8,91&lt;Projects!$C$8+Projects!$D$8),Projects!$B$8*(1-SUMPRODUCT((Curves!$B$4:$AO$4)*(COLUMN(Curves!$B$4:$AO$4)-COLUMN(Curves!$B$4)+1&lt;=91-Projects!$C$8+1))),0)</f>
        <v>0</v>
      </c>
      <c r="CP11" s="287" t="n">
        <f aca="false">IF(AND(Projects!$G$8="Yes",Projects!$F$8="Yes",92&gt;=Projects!$C$8,92&lt;Projects!$C$8+Projects!$D$8),Projects!$B$8*(1-SUMPRODUCT((Curves!$B$4:$AO$4)*(COLUMN(Curves!$B$4:$AO$4)-COLUMN(Curves!$B$4)+1&lt;=92-Projects!$C$8+1))),0)</f>
        <v>0</v>
      </c>
      <c r="CQ11" s="287"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7" t="n">
        <f aca="false">IF(AND(Projects!$G$9="Yes",Projects!$F$9="Yes",1&gt;=Projects!$C$9,1&lt;Projects!$C$9+Projects!$D$9),Projects!$B$9*(1-SUMPRODUCT((Curves!$B$2:$AO$2)*(COLUMN(Curves!$B$2:$AO$2)-COLUMN(Curves!$B$2)+1&lt;=1-Projects!$C$9+1))),0)</f>
        <v>0</v>
      </c>
      <c r="D12" s="287" t="n">
        <f aca="false">IF(AND(Projects!$G$9="Yes",Projects!$F$9="Yes",2&gt;=Projects!$C$9,2&lt;Projects!$C$9+Projects!$D$9),Projects!$B$9*(1-SUMPRODUCT((Curves!$B$2:$AO$2)*(COLUMN(Curves!$B$2:$AO$2)-COLUMN(Curves!$B$2)+1&lt;=2-Projects!$C$9+1))),0)</f>
        <v>0</v>
      </c>
      <c r="E12" s="287" t="n">
        <f aca="false">IF(AND(Projects!$G$9="Yes",Projects!$F$9="Yes",3&gt;=Projects!$C$9,3&lt;Projects!$C$9+Projects!$D$9),Projects!$B$9*(1-SUMPRODUCT((Curves!$B$2:$AO$2)*(COLUMN(Curves!$B$2:$AO$2)-COLUMN(Curves!$B$2)+1&lt;=3-Projects!$C$9+1))),0)</f>
        <v>0</v>
      </c>
      <c r="F12" s="287" t="n">
        <f aca="false">IF(AND(Projects!$G$9="Yes",Projects!$F$9="Yes",4&gt;=Projects!$C$9,4&lt;Projects!$C$9+Projects!$D$9),Projects!$B$9*(1-SUMPRODUCT((Curves!$B$2:$AO$2)*(COLUMN(Curves!$B$2:$AO$2)-COLUMN(Curves!$B$2)+1&lt;=4-Projects!$C$9+1))),0)</f>
        <v>0</v>
      </c>
      <c r="G12" s="287" t="n">
        <f aca="false">IF(AND(Projects!$G$9="Yes",Projects!$F$9="Yes",5&gt;=Projects!$C$9,5&lt;Projects!$C$9+Projects!$D$9),Projects!$B$9*(1-SUMPRODUCT((Curves!$B$2:$AO$2)*(COLUMN(Curves!$B$2:$AO$2)-COLUMN(Curves!$B$2)+1&lt;=5-Projects!$C$9+1))),0)</f>
        <v>14106170.5891092</v>
      </c>
      <c r="H12" s="287" t="n">
        <f aca="false">IF(AND(Projects!$G$9="Yes",Projects!$F$9="Yes",6&gt;=Projects!$C$9,6&lt;Projects!$C$9+Projects!$D$9),Projects!$B$9*(1-SUMPRODUCT((Curves!$B$2:$AO$2)*(COLUMN(Curves!$B$2:$AO$2)-COLUMN(Curves!$B$2)+1&lt;=6-Projects!$C$9+1))),0)</f>
        <v>13840677.8231148</v>
      </c>
      <c r="I12" s="287" t="n">
        <f aca="false">IF(AND(Projects!$G$9="Yes",Projects!$F$9="Yes",7&gt;=Projects!$C$9,7&lt;Projects!$C$9+Projects!$D$9),Projects!$B$9*(1-SUMPRODUCT((Curves!$B$2:$AO$2)*(COLUMN(Curves!$B$2:$AO$2)-COLUMN(Curves!$B$2)+1&lt;=7-Projects!$C$9+1))),0)</f>
        <v>13538353.2763752</v>
      </c>
      <c r="J12" s="287" t="n">
        <f aca="false">IF(AND(Projects!$G$9="Yes",Projects!$F$9="Yes",8&gt;=Projects!$C$9,8&lt;Projects!$C$9+Projects!$D$9),Projects!$B$9*(1-SUMPRODUCT((Curves!$B$2:$AO$2)*(COLUMN(Curves!$B$2:$AO$2)-COLUMN(Curves!$B$2)+1&lt;=8-Projects!$C$9+1))),0)</f>
        <v>13197519.5186268</v>
      </c>
      <c r="K12" s="287" t="n">
        <f aca="false">IF(AND(Projects!$G$9="Yes",Projects!$F$9="Yes",9&gt;=Projects!$C$9,9&lt;Projects!$C$9+Projects!$D$9),Projects!$B$9*(1-SUMPRODUCT((Curves!$B$2:$AO$2)*(COLUMN(Curves!$B$2:$AO$2)-COLUMN(Curves!$B$2)+1&lt;=9-Projects!$C$9+1))),0)</f>
        <v>12817086.9370488</v>
      </c>
      <c r="L12" s="287" t="n">
        <f aca="false">IF(AND(Projects!$G$9="Yes",Projects!$F$9="Yes",10&gt;=Projects!$C$9,10&lt;Projects!$C$9+Projects!$D$9),Projects!$B$9*(1-SUMPRODUCT((Curves!$B$2:$AO$2)*(COLUMN(Curves!$B$2:$AO$2)-COLUMN(Curves!$B$2)+1&lt;=10-Projects!$C$9+1))),0)</f>
        <v>12396682.7693604</v>
      </c>
      <c r="M12" s="287" t="n">
        <f aca="false">IF(AND(Projects!$G$9="Yes",Projects!$F$9="Yes",11&gt;=Projects!$C$9,11&lt;Projects!$C$9+Projects!$D$9),Projects!$B$9*(1-SUMPRODUCT((Curves!$B$2:$AO$2)*(COLUMN(Curves!$B$2:$AO$2)-COLUMN(Curves!$B$2)+1&lt;=11-Projects!$C$9+1))),0)</f>
        <v>11936722.7888748</v>
      </c>
      <c r="N12" s="287" t="n">
        <f aca="false">IF(AND(Projects!$G$9="Yes",Projects!$F$9="Yes",12&gt;=Projects!$C$9,12&lt;Projects!$C$9+Projects!$D$9),Projects!$B$9*(1-SUMPRODUCT((Curves!$B$2:$AO$2)*(COLUMN(Curves!$B$2:$AO$2)-COLUMN(Curves!$B$2)+1&lt;=12-Projects!$C$9+1))),0)</f>
        <v>11438482.9895532</v>
      </c>
      <c r="O12" s="287" t="n">
        <f aca="false">IF(AND(Projects!$G$9="Yes",Projects!$F$9="Yes",13&gt;=Projects!$C$9,13&lt;Projects!$C$9+Projects!$D$9),Projects!$B$9*(1-SUMPRODUCT((Curves!$B$2:$AO$2)*(COLUMN(Curves!$B$2:$AO$2)-COLUMN(Curves!$B$2)+1&lt;=13-Projects!$C$9+1))),0)</f>
        <v>10904156.934048</v>
      </c>
      <c r="P12" s="287" t="n">
        <f aca="false">IF(AND(Projects!$G$9="Yes",Projects!$F$9="Yes",14&gt;=Projects!$C$9,14&lt;Projects!$C$9+Projects!$D$9),Projects!$B$9*(1-SUMPRODUCT((Curves!$B$2:$AO$2)*(COLUMN(Curves!$B$2:$AO$2)-COLUMN(Curves!$B$2)+1&lt;=14-Projects!$C$9+1))),0)</f>
        <v>10336812.7426704</v>
      </c>
      <c r="Q12" s="287" t="n">
        <f aca="false">IF(AND(Projects!$G$9="Yes",Projects!$F$9="Yes",15&gt;=Projects!$C$9,15&lt;Projects!$C$9+Projects!$D$9),Projects!$B$9*(1-SUMPRODUCT((Curves!$B$2:$AO$2)*(COLUMN(Curves!$B$2:$AO$2)-COLUMN(Curves!$B$2)+1&lt;=15-Projects!$C$9+1))),0)</f>
        <v>9740407.4304012</v>
      </c>
      <c r="R12" s="287" t="n">
        <f aca="false">IF(AND(Projects!$G$9="Yes",Projects!$F$9="Yes",16&gt;=Projects!$C$9,16&lt;Projects!$C$9+Projects!$D$9),Projects!$B$9*(1-SUMPRODUCT((Curves!$B$2:$AO$2)*(COLUMN(Curves!$B$2:$AO$2)-COLUMN(Curves!$B$2)+1&lt;=16-Projects!$C$9+1))),0)</f>
        <v>9119686.5478152</v>
      </c>
      <c r="S12" s="287" t="n">
        <f aca="false">IF(AND(Projects!$G$9="Yes",Projects!$F$9="Yes",17&gt;=Projects!$C$9,17&lt;Projects!$C$9+Projects!$D$9),Projects!$B$9*(1-SUMPRODUCT((Curves!$B$2:$AO$2)*(COLUMN(Curves!$B$2:$AO$2)-COLUMN(Curves!$B$2)+1&lt;=17-Projects!$C$9+1))),0)</f>
        <v>8480069.4849948</v>
      </c>
      <c r="T12" s="287" t="n">
        <f aca="false">IF(AND(Projects!$G$9="Yes",Projects!$F$9="Yes",18&gt;=Projects!$C$9,18&lt;Projects!$C$9+Projects!$D$9),Projects!$B$9*(1-SUMPRODUCT((Curves!$B$2:$AO$2)*(COLUMN(Curves!$B$2:$AO$2)-COLUMN(Curves!$B$2)+1&lt;=18-Projects!$C$9+1))),0)</f>
        <v>7827549.1124544</v>
      </c>
      <c r="U12" s="287" t="n">
        <f aca="false">IF(AND(Projects!$G$9="Yes",Projects!$F$9="Yes",19&gt;=Projects!$C$9,19&lt;Projects!$C$9+Projects!$D$9),Projects!$B$9*(1-SUMPRODUCT((Curves!$B$2:$AO$2)*(COLUMN(Curves!$B$2:$AO$2)-COLUMN(Curves!$B$2)+1&lt;=19-Projects!$C$9+1))),0)</f>
        <v>7168476.7259784</v>
      </c>
      <c r="V12" s="287" t="n">
        <f aca="false">IF(AND(Projects!$G$9="Yes",Projects!$F$9="Yes",20&gt;=Projects!$C$9,20&lt;Projects!$C$9+Projects!$D$9),Projects!$B$9*(1-SUMPRODUCT((Curves!$B$2:$AO$2)*(COLUMN(Curves!$B$2:$AO$2)-COLUMN(Curves!$B$2)+1&lt;=20-Projects!$C$9+1))),0)</f>
        <v>6509404.3395024</v>
      </c>
      <c r="W12" s="287" t="n">
        <f aca="false">IF(AND(Projects!$G$9="Yes",Projects!$F$9="Yes",21&gt;=Projects!$C$9,21&lt;Projects!$C$9+Projects!$D$9),Projects!$B$9*(1-SUMPRODUCT((Curves!$B$2:$AO$2)*(COLUMN(Curves!$B$2:$AO$2)-COLUMN(Curves!$B$2)+1&lt;=21-Projects!$C$9+1))),0)</f>
        <v>5856883.966962</v>
      </c>
      <c r="X12" s="287" t="n">
        <f aca="false">IF(AND(Projects!$G$9="Yes",Projects!$F$9="Yes",22&gt;=Projects!$C$9,22&lt;Projects!$C$9+Projects!$D$9),Projects!$B$9*(1-SUMPRODUCT((Curves!$B$2:$AO$2)*(COLUMN(Curves!$B$2:$AO$2)-COLUMN(Curves!$B$2)+1&lt;=22-Projects!$C$9+1))),0)</f>
        <v>5217266.9041416</v>
      </c>
      <c r="Y12" s="287" t="n">
        <f aca="false">IF(AND(Projects!$G$9="Yes",Projects!$F$9="Yes",23&gt;=Projects!$C$9,23&lt;Projects!$C$9+Projects!$D$9),Projects!$B$9*(1-SUMPRODUCT((Curves!$B$2:$AO$2)*(COLUMN(Curves!$B$2:$AO$2)-COLUMN(Curves!$B$2)+1&lt;=23-Projects!$C$9+1))),0)</f>
        <v>4596546.0215556</v>
      </c>
      <c r="Z12" s="287" t="n">
        <f aca="false">IF(AND(Projects!$G$9="Yes",Projects!$F$9="Yes",24&gt;=Projects!$C$9,24&lt;Projects!$C$9+Projects!$D$9),Projects!$B$9*(1-SUMPRODUCT((Curves!$B$2:$AO$2)*(COLUMN(Curves!$B$2:$AO$2)-COLUMN(Curves!$B$2)+1&lt;=24-Projects!$C$9+1))),0)</f>
        <v>0</v>
      </c>
      <c r="AA12" s="287" t="n">
        <f aca="false">IF(AND(Projects!$G$9="Yes",Projects!$F$9="Yes",25&gt;=Projects!$C$9,25&lt;Projects!$C$9+Projects!$D$9),Projects!$B$9*(1-SUMPRODUCT((Curves!$B$2:$AO$2)*(COLUMN(Curves!$B$2:$AO$2)-COLUMN(Curves!$B$2)+1&lt;=25-Projects!$C$9+1))),0)</f>
        <v>0</v>
      </c>
      <c r="AB12" s="287" t="n">
        <f aca="false">IF(AND(Projects!$G$9="Yes",Projects!$F$9="Yes",26&gt;=Projects!$C$9,26&lt;Projects!$C$9+Projects!$D$9),Projects!$B$9*(1-SUMPRODUCT((Curves!$B$2:$AO$2)*(COLUMN(Curves!$B$2:$AO$2)-COLUMN(Curves!$B$2)+1&lt;=26-Projects!$C$9+1))),0)</f>
        <v>0</v>
      </c>
      <c r="AC12" s="287" t="n">
        <f aca="false">IF(AND(Projects!$G$9="Yes",Projects!$F$9="Yes",27&gt;=Projects!$C$9,27&lt;Projects!$C$9+Projects!$D$9),Projects!$B$9*(1-SUMPRODUCT((Curves!$B$2:$AO$2)*(COLUMN(Curves!$B$2:$AO$2)-COLUMN(Curves!$B$2)+1&lt;=27-Projects!$C$9+1))),0)</f>
        <v>0</v>
      </c>
      <c r="AD12" s="287" t="n">
        <f aca="false">IF(AND(Projects!$G$9="Yes",Projects!$F$9="Yes",28&gt;=Projects!$C$9,28&lt;Projects!$C$9+Projects!$D$9),Projects!$B$9*(1-SUMPRODUCT((Curves!$B$2:$AO$2)*(COLUMN(Curves!$B$2:$AO$2)-COLUMN(Curves!$B$2)+1&lt;=28-Projects!$C$9+1))),0)</f>
        <v>0</v>
      </c>
      <c r="AE12" s="287" t="n">
        <f aca="false">IF(AND(Projects!$G$9="Yes",Projects!$F$9="Yes",29&gt;=Projects!$C$9,29&lt;Projects!$C$9+Projects!$D$9),Projects!$B$9*(1-SUMPRODUCT((Curves!$B$2:$AO$2)*(COLUMN(Curves!$B$2:$AO$2)-COLUMN(Curves!$B$2)+1&lt;=29-Projects!$C$9+1))),0)</f>
        <v>0</v>
      </c>
      <c r="AF12" s="287" t="n">
        <f aca="false">IF(AND(Projects!$G$9="Yes",Projects!$F$9="Yes",30&gt;=Projects!$C$9,30&lt;Projects!$C$9+Projects!$D$9),Projects!$B$9*(1-SUMPRODUCT((Curves!$B$2:$AO$2)*(COLUMN(Curves!$B$2:$AO$2)-COLUMN(Curves!$B$2)+1&lt;=30-Projects!$C$9+1))),0)</f>
        <v>0</v>
      </c>
      <c r="AG12" s="287" t="n">
        <f aca="false">IF(AND(Projects!$G$9="Yes",Projects!$F$9="Yes",31&gt;=Projects!$C$9,31&lt;Projects!$C$9+Projects!$D$9),Projects!$B$9*(1-SUMPRODUCT((Curves!$B$2:$AO$2)*(COLUMN(Curves!$B$2:$AO$2)-COLUMN(Curves!$B$2)+1&lt;=31-Projects!$C$9+1))),0)</f>
        <v>0</v>
      </c>
      <c r="AH12" s="287" t="n">
        <f aca="false">IF(AND(Projects!$G$9="Yes",Projects!$F$9="Yes",32&gt;=Projects!$C$9,32&lt;Projects!$C$9+Projects!$D$9),Projects!$B$9*(1-SUMPRODUCT((Curves!$B$2:$AO$2)*(COLUMN(Curves!$B$2:$AO$2)-COLUMN(Curves!$B$2)+1&lt;=32-Projects!$C$9+1))),0)</f>
        <v>0</v>
      </c>
      <c r="AI12" s="287" t="n">
        <f aca="false">IF(AND(Projects!$G$9="Yes",Projects!$F$9="Yes",33&gt;=Projects!$C$9,33&lt;Projects!$C$9+Projects!$D$9),Projects!$B$9*(1-SUMPRODUCT((Curves!$B$2:$AO$2)*(COLUMN(Curves!$B$2:$AO$2)-COLUMN(Curves!$B$2)+1&lt;=33-Projects!$C$9+1))),0)</f>
        <v>0</v>
      </c>
      <c r="AJ12" s="287" t="n">
        <f aca="false">IF(AND(Projects!$G$9="Yes",Projects!$F$9="Yes",34&gt;=Projects!$C$9,34&lt;Projects!$C$9+Projects!$D$9),Projects!$B$9*(1-SUMPRODUCT((Curves!$B$2:$AO$2)*(COLUMN(Curves!$B$2:$AO$2)-COLUMN(Curves!$B$2)+1&lt;=34-Projects!$C$9+1))),0)</f>
        <v>0</v>
      </c>
      <c r="AK12" s="287" t="n">
        <f aca="false">IF(AND(Projects!$G$9="Yes",Projects!$F$9="Yes",35&gt;=Projects!$C$9,35&lt;Projects!$C$9+Projects!$D$9),Projects!$B$9*(1-SUMPRODUCT((Curves!$B$2:$AO$2)*(COLUMN(Curves!$B$2:$AO$2)-COLUMN(Curves!$B$2)+1&lt;=35-Projects!$C$9+1))),0)</f>
        <v>0</v>
      </c>
      <c r="AL12" s="287" t="n">
        <f aca="false">IF(AND(Projects!$G$9="Yes",Projects!$F$9="Yes",36&gt;=Projects!$C$9,36&lt;Projects!$C$9+Projects!$D$9),Projects!$B$9*(1-SUMPRODUCT((Curves!$B$2:$AO$2)*(COLUMN(Curves!$B$2:$AO$2)-COLUMN(Curves!$B$2)+1&lt;=36-Projects!$C$9+1))),0)</f>
        <v>0</v>
      </c>
      <c r="AM12" s="287" t="n">
        <f aca="false">IF(AND(Projects!$G$9="Yes",Projects!$F$9="Yes",37&gt;=Projects!$C$9,37&lt;Projects!$C$9+Projects!$D$9),Projects!$B$9*(1-SUMPRODUCT((Curves!$B$2:$AO$2)*(COLUMN(Curves!$B$2:$AO$2)-COLUMN(Curves!$B$2)+1&lt;=37-Projects!$C$9+1))),0)</f>
        <v>0</v>
      </c>
      <c r="AN12" s="287" t="n">
        <f aca="false">IF(AND(Projects!$G$9="Yes",Projects!$F$9="Yes",38&gt;=Projects!$C$9,38&lt;Projects!$C$9+Projects!$D$9),Projects!$B$9*(1-SUMPRODUCT((Curves!$B$2:$AO$2)*(COLUMN(Curves!$B$2:$AO$2)-COLUMN(Curves!$B$2)+1&lt;=38-Projects!$C$9+1))),0)</f>
        <v>0</v>
      </c>
      <c r="AO12" s="287" t="n">
        <f aca="false">IF(AND(Projects!$G$9="Yes",Projects!$F$9="Yes",39&gt;=Projects!$C$9,39&lt;Projects!$C$9+Projects!$D$9),Projects!$B$9*(1-SUMPRODUCT((Curves!$B$2:$AO$2)*(COLUMN(Curves!$B$2:$AO$2)-COLUMN(Curves!$B$2)+1&lt;=39-Projects!$C$9+1))),0)</f>
        <v>0</v>
      </c>
      <c r="AP12" s="287" t="n">
        <f aca="false">IF(AND(Projects!$G$9="Yes",Projects!$F$9="Yes",40&gt;=Projects!$C$9,40&lt;Projects!$C$9+Projects!$D$9),Projects!$B$9*(1-SUMPRODUCT((Curves!$B$2:$AO$2)*(COLUMN(Curves!$B$2:$AO$2)-COLUMN(Curves!$B$2)+1&lt;=40-Projects!$C$9+1))),0)</f>
        <v>0</v>
      </c>
      <c r="AQ12" s="287" t="n">
        <f aca="false">IF(AND(Projects!$G$9="Yes",Projects!$F$9="Yes",41&gt;=Projects!$C$9,41&lt;Projects!$C$9+Projects!$D$9),Projects!$B$9*(1-SUMPRODUCT((Curves!$B$2:$AO$2)*(COLUMN(Curves!$B$2:$AO$2)-COLUMN(Curves!$B$2)+1&lt;=41-Projects!$C$9+1))),0)</f>
        <v>0</v>
      </c>
      <c r="AR12" s="287" t="n">
        <f aca="false">IF(AND(Projects!$G$9="Yes",Projects!$F$9="Yes",42&gt;=Projects!$C$9,42&lt;Projects!$C$9+Projects!$D$9),Projects!$B$9*(1-SUMPRODUCT((Curves!$B$2:$AO$2)*(COLUMN(Curves!$B$2:$AO$2)-COLUMN(Curves!$B$2)+1&lt;=42-Projects!$C$9+1))),0)</f>
        <v>0</v>
      </c>
      <c r="AS12" s="287" t="n">
        <f aca="false">IF(AND(Projects!$G$9="Yes",Projects!$F$9="Yes",43&gt;=Projects!$C$9,43&lt;Projects!$C$9+Projects!$D$9),Projects!$B$9*(1-SUMPRODUCT((Curves!$B$2:$AO$2)*(COLUMN(Curves!$B$2:$AO$2)-COLUMN(Curves!$B$2)+1&lt;=43-Projects!$C$9+1))),0)</f>
        <v>0</v>
      </c>
      <c r="AT12" s="287" t="n">
        <f aca="false">IF(AND(Projects!$G$9="Yes",Projects!$F$9="Yes",44&gt;=Projects!$C$9,44&lt;Projects!$C$9+Projects!$D$9),Projects!$B$9*(1-SUMPRODUCT((Curves!$B$2:$AO$2)*(COLUMN(Curves!$B$2:$AO$2)-COLUMN(Curves!$B$2)+1&lt;=44-Projects!$C$9+1))),0)</f>
        <v>0</v>
      </c>
      <c r="AU12" s="287" t="n">
        <f aca="false">IF(AND(Projects!$G$9="Yes",Projects!$F$9="Yes",45&gt;=Projects!$C$9,45&lt;Projects!$C$9+Projects!$D$9),Projects!$B$9*(1-SUMPRODUCT((Curves!$B$2:$AO$2)*(COLUMN(Curves!$B$2:$AO$2)-COLUMN(Curves!$B$2)+1&lt;=45-Projects!$C$9+1))),0)</f>
        <v>0</v>
      </c>
      <c r="AV12" s="287" t="n">
        <f aca="false">IF(AND(Projects!$G$9="Yes",Projects!$F$9="Yes",46&gt;=Projects!$C$9,46&lt;Projects!$C$9+Projects!$D$9),Projects!$B$9*(1-SUMPRODUCT((Curves!$B$2:$AO$2)*(COLUMN(Curves!$B$2:$AO$2)-COLUMN(Curves!$B$2)+1&lt;=46-Projects!$C$9+1))),0)</f>
        <v>0</v>
      </c>
      <c r="AW12" s="287" t="n">
        <f aca="false">IF(AND(Projects!$G$9="Yes",Projects!$F$9="Yes",47&gt;=Projects!$C$9,47&lt;Projects!$C$9+Projects!$D$9),Projects!$B$9*(1-SUMPRODUCT((Curves!$B$2:$AO$2)*(COLUMN(Curves!$B$2:$AO$2)-COLUMN(Curves!$B$2)+1&lt;=47-Projects!$C$9+1))),0)</f>
        <v>0</v>
      </c>
      <c r="AX12" s="287" t="n">
        <f aca="false">IF(AND(Projects!$G$9="Yes",Projects!$F$9="Yes",48&gt;=Projects!$C$9,48&lt;Projects!$C$9+Projects!$D$9),Projects!$B$9*(1-SUMPRODUCT((Curves!$B$2:$AO$2)*(COLUMN(Curves!$B$2:$AO$2)-COLUMN(Curves!$B$2)+1&lt;=48-Projects!$C$9+1))),0)</f>
        <v>0</v>
      </c>
      <c r="AY12" s="287" t="n">
        <f aca="false">IF(AND(Projects!$G$9="Yes",Projects!$F$9="Yes",49&gt;=Projects!$C$9,49&lt;Projects!$C$9+Projects!$D$9),Projects!$B$9*(1-SUMPRODUCT((Curves!$B$2:$AO$2)*(COLUMN(Curves!$B$2:$AO$2)-COLUMN(Curves!$B$2)+1&lt;=49-Projects!$C$9+1))),0)</f>
        <v>0</v>
      </c>
      <c r="AZ12" s="287" t="n">
        <f aca="false">IF(AND(Projects!$G$9="Yes",Projects!$F$9="Yes",50&gt;=Projects!$C$9,50&lt;Projects!$C$9+Projects!$D$9),Projects!$B$9*(1-SUMPRODUCT((Curves!$B$2:$AO$2)*(COLUMN(Curves!$B$2:$AO$2)-COLUMN(Curves!$B$2)+1&lt;=50-Projects!$C$9+1))),0)</f>
        <v>0</v>
      </c>
      <c r="BA12" s="287" t="n">
        <f aca="false">IF(AND(Projects!$G$9="Yes",Projects!$F$9="Yes",51&gt;=Projects!$C$9,51&lt;Projects!$C$9+Projects!$D$9),Projects!$B$9*(1-SUMPRODUCT((Curves!$B$2:$AO$2)*(COLUMN(Curves!$B$2:$AO$2)-COLUMN(Curves!$B$2)+1&lt;=51-Projects!$C$9+1))),0)</f>
        <v>0</v>
      </c>
      <c r="BB12" s="287" t="n">
        <f aca="false">IF(AND(Projects!$G$9="Yes",Projects!$F$9="Yes",52&gt;=Projects!$C$9,52&lt;Projects!$C$9+Projects!$D$9),Projects!$B$9*(1-SUMPRODUCT((Curves!$B$2:$AO$2)*(COLUMN(Curves!$B$2:$AO$2)-COLUMN(Curves!$B$2)+1&lt;=52-Projects!$C$9+1))),0)</f>
        <v>0</v>
      </c>
      <c r="BC12" s="287" t="n">
        <f aca="false">IF(AND(Projects!$G$9="Yes",Projects!$F$9="Yes",53&gt;=Projects!$C$9,53&lt;Projects!$C$9+Projects!$D$9),Projects!$B$9*(1-SUMPRODUCT((Curves!$B$2:$AO$2)*(COLUMN(Curves!$B$2:$AO$2)-COLUMN(Curves!$B$2)+1&lt;=53-Projects!$C$9+1))),0)</f>
        <v>0</v>
      </c>
      <c r="BD12" s="287" t="n">
        <f aca="false">IF(AND(Projects!$G$9="Yes",Projects!$F$9="Yes",54&gt;=Projects!$C$9,54&lt;Projects!$C$9+Projects!$D$9),Projects!$B$9*(1-SUMPRODUCT((Curves!$B$2:$AO$2)*(COLUMN(Curves!$B$2:$AO$2)-COLUMN(Curves!$B$2)+1&lt;=54-Projects!$C$9+1))),0)</f>
        <v>0</v>
      </c>
      <c r="BE12" s="287" t="n">
        <f aca="false">IF(AND(Projects!$G$9="Yes",Projects!$F$9="Yes",55&gt;=Projects!$C$9,55&lt;Projects!$C$9+Projects!$D$9),Projects!$B$9*(1-SUMPRODUCT((Curves!$B$2:$AO$2)*(COLUMN(Curves!$B$2:$AO$2)-COLUMN(Curves!$B$2)+1&lt;=55-Projects!$C$9+1))),0)</f>
        <v>0</v>
      </c>
      <c r="BF12" s="287" t="n">
        <f aca="false">IF(AND(Projects!$G$9="Yes",Projects!$F$9="Yes",56&gt;=Projects!$C$9,56&lt;Projects!$C$9+Projects!$D$9),Projects!$B$9*(1-SUMPRODUCT((Curves!$B$2:$AO$2)*(COLUMN(Curves!$B$2:$AO$2)-COLUMN(Curves!$B$2)+1&lt;=56-Projects!$C$9+1))),0)</f>
        <v>0</v>
      </c>
      <c r="BG12" s="287" t="n">
        <f aca="false">IF(AND(Projects!$G$9="Yes",Projects!$F$9="Yes",57&gt;=Projects!$C$9,57&lt;Projects!$C$9+Projects!$D$9),Projects!$B$9*(1-SUMPRODUCT((Curves!$B$2:$AO$2)*(COLUMN(Curves!$B$2:$AO$2)-COLUMN(Curves!$B$2)+1&lt;=57-Projects!$C$9+1))),0)</f>
        <v>0</v>
      </c>
      <c r="BH12" s="287" t="n">
        <f aca="false">IF(AND(Projects!$G$9="Yes",Projects!$F$9="Yes",58&gt;=Projects!$C$9,58&lt;Projects!$C$9+Projects!$D$9),Projects!$B$9*(1-SUMPRODUCT((Curves!$B$2:$AO$2)*(COLUMN(Curves!$B$2:$AO$2)-COLUMN(Curves!$B$2)+1&lt;=58-Projects!$C$9+1))),0)</f>
        <v>0</v>
      </c>
      <c r="BI12" s="287" t="n">
        <f aca="false">IF(AND(Projects!$G$9="Yes",Projects!$F$9="Yes",59&gt;=Projects!$C$9,59&lt;Projects!$C$9+Projects!$D$9),Projects!$B$9*(1-SUMPRODUCT((Curves!$B$2:$AO$2)*(COLUMN(Curves!$B$2:$AO$2)-COLUMN(Curves!$B$2)+1&lt;=59-Projects!$C$9+1))),0)</f>
        <v>0</v>
      </c>
      <c r="BJ12" s="287" t="n">
        <f aca="false">IF(AND(Projects!$G$9="Yes",Projects!$F$9="Yes",60&gt;=Projects!$C$9,60&lt;Projects!$C$9+Projects!$D$9),Projects!$B$9*(1-SUMPRODUCT((Curves!$B$2:$AO$2)*(COLUMN(Curves!$B$2:$AO$2)-COLUMN(Curves!$B$2)+1&lt;=60-Projects!$C$9+1))),0)</f>
        <v>0</v>
      </c>
      <c r="BK12" s="287" t="n">
        <f aca="false">IF(AND(Projects!$G$9="Yes",Projects!$F$9="Yes",61&gt;=Projects!$C$9,61&lt;Projects!$C$9+Projects!$D$9),Projects!$B$9*(1-SUMPRODUCT((Curves!$B$2:$AO$2)*(COLUMN(Curves!$B$2:$AO$2)-COLUMN(Curves!$B$2)+1&lt;=61-Projects!$C$9+1))),0)</f>
        <v>0</v>
      </c>
      <c r="BL12" s="287" t="n">
        <f aca="false">IF(AND(Projects!$G$9="Yes",Projects!$F$9="Yes",62&gt;=Projects!$C$9,62&lt;Projects!$C$9+Projects!$D$9),Projects!$B$9*(1-SUMPRODUCT((Curves!$B$2:$AO$2)*(COLUMN(Curves!$B$2:$AO$2)-COLUMN(Curves!$B$2)+1&lt;=62-Projects!$C$9+1))),0)</f>
        <v>0</v>
      </c>
      <c r="BM12" s="287" t="n">
        <f aca="false">IF(AND(Projects!$G$9="Yes",Projects!$F$9="Yes",63&gt;=Projects!$C$9,63&lt;Projects!$C$9+Projects!$D$9),Projects!$B$9*(1-SUMPRODUCT((Curves!$B$2:$AO$2)*(COLUMN(Curves!$B$2:$AO$2)-COLUMN(Curves!$B$2)+1&lt;=63-Projects!$C$9+1))),0)</f>
        <v>0</v>
      </c>
      <c r="BN12" s="287" t="n">
        <f aca="false">IF(AND(Projects!$G$9="Yes",Projects!$F$9="Yes",64&gt;=Projects!$C$9,64&lt;Projects!$C$9+Projects!$D$9),Projects!$B$9*(1-SUMPRODUCT((Curves!$B$2:$AO$2)*(COLUMN(Curves!$B$2:$AO$2)-COLUMN(Curves!$B$2)+1&lt;=64-Projects!$C$9+1))),0)</f>
        <v>0</v>
      </c>
      <c r="BO12" s="287" t="n">
        <f aca="false">IF(AND(Projects!$G$9="Yes",Projects!$F$9="Yes",65&gt;=Projects!$C$9,65&lt;Projects!$C$9+Projects!$D$9),Projects!$B$9*(1-SUMPRODUCT((Curves!$B$2:$AO$2)*(COLUMN(Curves!$B$2:$AO$2)-COLUMN(Curves!$B$2)+1&lt;=65-Projects!$C$9+1))),0)</f>
        <v>0</v>
      </c>
      <c r="BP12" s="287" t="n">
        <f aca="false">IF(AND(Projects!$G$9="Yes",Projects!$F$9="Yes",66&gt;=Projects!$C$9,66&lt;Projects!$C$9+Projects!$D$9),Projects!$B$9*(1-SUMPRODUCT((Curves!$B$2:$AO$2)*(COLUMN(Curves!$B$2:$AO$2)-COLUMN(Curves!$B$2)+1&lt;=66-Projects!$C$9+1))),0)</f>
        <v>0</v>
      </c>
      <c r="BQ12" s="287" t="n">
        <f aca="false">IF(AND(Projects!$G$9="Yes",Projects!$F$9="Yes",67&gt;=Projects!$C$9,67&lt;Projects!$C$9+Projects!$D$9),Projects!$B$9*(1-SUMPRODUCT((Curves!$B$2:$AO$2)*(COLUMN(Curves!$B$2:$AO$2)-COLUMN(Curves!$B$2)+1&lt;=67-Projects!$C$9+1))),0)</f>
        <v>0</v>
      </c>
      <c r="BR12" s="287" t="n">
        <f aca="false">IF(AND(Projects!$G$9="Yes",Projects!$F$9="Yes",68&gt;=Projects!$C$9,68&lt;Projects!$C$9+Projects!$D$9),Projects!$B$9*(1-SUMPRODUCT((Curves!$B$2:$AO$2)*(COLUMN(Curves!$B$2:$AO$2)-COLUMN(Curves!$B$2)+1&lt;=68-Projects!$C$9+1))),0)</f>
        <v>0</v>
      </c>
      <c r="BS12" s="287" t="n">
        <f aca="false">IF(AND(Projects!$G$9="Yes",Projects!$F$9="Yes",69&gt;=Projects!$C$9,69&lt;Projects!$C$9+Projects!$D$9),Projects!$B$9*(1-SUMPRODUCT((Curves!$B$2:$AO$2)*(COLUMN(Curves!$B$2:$AO$2)-COLUMN(Curves!$B$2)+1&lt;=69-Projects!$C$9+1))),0)</f>
        <v>0</v>
      </c>
      <c r="BT12" s="287" t="n">
        <f aca="false">IF(AND(Projects!$G$9="Yes",Projects!$F$9="Yes",70&gt;=Projects!$C$9,70&lt;Projects!$C$9+Projects!$D$9),Projects!$B$9*(1-SUMPRODUCT((Curves!$B$2:$AO$2)*(COLUMN(Curves!$B$2:$AO$2)-COLUMN(Curves!$B$2)+1&lt;=70-Projects!$C$9+1))),0)</f>
        <v>0</v>
      </c>
      <c r="BU12" s="287" t="n">
        <f aca="false">IF(AND(Projects!$G$9="Yes",Projects!$F$9="Yes",71&gt;=Projects!$C$9,71&lt;Projects!$C$9+Projects!$D$9),Projects!$B$9*(1-SUMPRODUCT((Curves!$B$2:$AO$2)*(COLUMN(Curves!$B$2:$AO$2)-COLUMN(Curves!$B$2)+1&lt;=71-Projects!$C$9+1))),0)</f>
        <v>0</v>
      </c>
      <c r="BV12" s="287" t="n">
        <f aca="false">IF(AND(Projects!$G$9="Yes",Projects!$F$9="Yes",72&gt;=Projects!$C$9,72&lt;Projects!$C$9+Projects!$D$9),Projects!$B$9*(1-SUMPRODUCT((Curves!$B$2:$AO$2)*(COLUMN(Curves!$B$2:$AO$2)-COLUMN(Curves!$B$2)+1&lt;=72-Projects!$C$9+1))),0)</f>
        <v>0</v>
      </c>
      <c r="BW12" s="287" t="n">
        <f aca="false">IF(AND(Projects!$G$9="Yes",Projects!$F$9="Yes",73&gt;=Projects!$C$9,73&lt;Projects!$C$9+Projects!$D$9),Projects!$B$9*(1-SUMPRODUCT((Curves!$B$2:$AO$2)*(COLUMN(Curves!$B$2:$AO$2)-COLUMN(Curves!$B$2)+1&lt;=73-Projects!$C$9+1))),0)</f>
        <v>0</v>
      </c>
      <c r="BX12" s="287" t="n">
        <f aca="false">IF(AND(Projects!$G$9="Yes",Projects!$F$9="Yes",74&gt;=Projects!$C$9,74&lt;Projects!$C$9+Projects!$D$9),Projects!$B$9*(1-SUMPRODUCT((Curves!$B$2:$AO$2)*(COLUMN(Curves!$B$2:$AO$2)-COLUMN(Curves!$B$2)+1&lt;=74-Projects!$C$9+1))),0)</f>
        <v>0</v>
      </c>
      <c r="BY12" s="287" t="n">
        <f aca="false">IF(AND(Projects!$G$9="Yes",Projects!$F$9="Yes",75&gt;=Projects!$C$9,75&lt;Projects!$C$9+Projects!$D$9),Projects!$B$9*(1-SUMPRODUCT((Curves!$B$2:$AO$2)*(COLUMN(Curves!$B$2:$AO$2)-COLUMN(Curves!$B$2)+1&lt;=75-Projects!$C$9+1))),0)</f>
        <v>0</v>
      </c>
      <c r="BZ12" s="287" t="n">
        <f aca="false">IF(AND(Projects!$G$9="Yes",Projects!$F$9="Yes",76&gt;=Projects!$C$9,76&lt;Projects!$C$9+Projects!$D$9),Projects!$B$9*(1-SUMPRODUCT((Curves!$B$2:$AO$2)*(COLUMN(Curves!$B$2:$AO$2)-COLUMN(Curves!$B$2)+1&lt;=76-Projects!$C$9+1))),0)</f>
        <v>0</v>
      </c>
      <c r="CA12" s="287" t="n">
        <f aca="false">IF(AND(Projects!$G$9="Yes",Projects!$F$9="Yes",77&gt;=Projects!$C$9,77&lt;Projects!$C$9+Projects!$D$9),Projects!$B$9*(1-SUMPRODUCT((Curves!$B$2:$AO$2)*(COLUMN(Curves!$B$2:$AO$2)-COLUMN(Curves!$B$2)+1&lt;=77-Projects!$C$9+1))),0)</f>
        <v>0</v>
      </c>
      <c r="CB12" s="287" t="n">
        <f aca="false">IF(AND(Projects!$G$9="Yes",Projects!$F$9="Yes",78&gt;=Projects!$C$9,78&lt;Projects!$C$9+Projects!$D$9),Projects!$B$9*(1-SUMPRODUCT((Curves!$B$2:$AO$2)*(COLUMN(Curves!$B$2:$AO$2)-COLUMN(Curves!$B$2)+1&lt;=78-Projects!$C$9+1))),0)</f>
        <v>0</v>
      </c>
      <c r="CC12" s="287" t="n">
        <f aca="false">IF(AND(Projects!$G$9="Yes",Projects!$F$9="Yes",79&gt;=Projects!$C$9,79&lt;Projects!$C$9+Projects!$D$9),Projects!$B$9*(1-SUMPRODUCT((Curves!$B$2:$AO$2)*(COLUMN(Curves!$B$2:$AO$2)-COLUMN(Curves!$B$2)+1&lt;=79-Projects!$C$9+1))),0)</f>
        <v>0</v>
      </c>
      <c r="CD12" s="287" t="n">
        <f aca="false">IF(AND(Projects!$G$9="Yes",Projects!$F$9="Yes",80&gt;=Projects!$C$9,80&lt;Projects!$C$9+Projects!$D$9),Projects!$B$9*(1-SUMPRODUCT((Curves!$B$2:$AO$2)*(COLUMN(Curves!$B$2:$AO$2)-COLUMN(Curves!$B$2)+1&lt;=80-Projects!$C$9+1))),0)</f>
        <v>0</v>
      </c>
      <c r="CE12" s="287" t="n">
        <f aca="false">IF(AND(Projects!$G$9="Yes",Projects!$F$9="Yes",81&gt;=Projects!$C$9,81&lt;Projects!$C$9+Projects!$D$9),Projects!$B$9*(1-SUMPRODUCT((Curves!$B$2:$AO$2)*(COLUMN(Curves!$B$2:$AO$2)-COLUMN(Curves!$B$2)+1&lt;=81-Projects!$C$9+1))),0)</f>
        <v>0</v>
      </c>
      <c r="CF12" s="287" t="n">
        <f aca="false">IF(AND(Projects!$G$9="Yes",Projects!$F$9="Yes",82&gt;=Projects!$C$9,82&lt;Projects!$C$9+Projects!$D$9),Projects!$B$9*(1-SUMPRODUCT((Curves!$B$2:$AO$2)*(COLUMN(Curves!$B$2:$AO$2)-COLUMN(Curves!$B$2)+1&lt;=82-Projects!$C$9+1))),0)</f>
        <v>0</v>
      </c>
      <c r="CG12" s="287" t="n">
        <f aca="false">IF(AND(Projects!$G$9="Yes",Projects!$F$9="Yes",83&gt;=Projects!$C$9,83&lt;Projects!$C$9+Projects!$D$9),Projects!$B$9*(1-SUMPRODUCT((Curves!$B$2:$AO$2)*(COLUMN(Curves!$B$2:$AO$2)-COLUMN(Curves!$B$2)+1&lt;=83-Projects!$C$9+1))),0)</f>
        <v>0</v>
      </c>
      <c r="CH12" s="287" t="n">
        <f aca="false">IF(AND(Projects!$G$9="Yes",Projects!$F$9="Yes",84&gt;=Projects!$C$9,84&lt;Projects!$C$9+Projects!$D$9),Projects!$B$9*(1-SUMPRODUCT((Curves!$B$2:$AO$2)*(COLUMN(Curves!$B$2:$AO$2)-COLUMN(Curves!$B$2)+1&lt;=84-Projects!$C$9+1))),0)</f>
        <v>0</v>
      </c>
      <c r="CI12" s="287" t="n">
        <f aca="false">IF(AND(Projects!$G$9="Yes",Projects!$F$9="Yes",85&gt;=Projects!$C$9,85&lt;Projects!$C$9+Projects!$D$9),Projects!$B$9*(1-SUMPRODUCT((Curves!$B$2:$AO$2)*(COLUMN(Curves!$B$2:$AO$2)-COLUMN(Curves!$B$2)+1&lt;=85-Projects!$C$9+1))),0)</f>
        <v>0</v>
      </c>
      <c r="CJ12" s="287" t="n">
        <f aca="false">IF(AND(Projects!$G$9="Yes",Projects!$F$9="Yes",86&gt;=Projects!$C$9,86&lt;Projects!$C$9+Projects!$D$9),Projects!$B$9*(1-SUMPRODUCT((Curves!$B$2:$AO$2)*(COLUMN(Curves!$B$2:$AO$2)-COLUMN(Curves!$B$2)+1&lt;=86-Projects!$C$9+1))),0)</f>
        <v>0</v>
      </c>
      <c r="CK12" s="287" t="n">
        <f aca="false">IF(AND(Projects!$G$9="Yes",Projects!$F$9="Yes",87&gt;=Projects!$C$9,87&lt;Projects!$C$9+Projects!$D$9),Projects!$B$9*(1-SUMPRODUCT((Curves!$B$2:$AO$2)*(COLUMN(Curves!$B$2:$AO$2)-COLUMN(Curves!$B$2)+1&lt;=87-Projects!$C$9+1))),0)</f>
        <v>0</v>
      </c>
      <c r="CL12" s="287" t="n">
        <f aca="false">IF(AND(Projects!$G$9="Yes",Projects!$F$9="Yes",88&gt;=Projects!$C$9,88&lt;Projects!$C$9+Projects!$D$9),Projects!$B$9*(1-SUMPRODUCT((Curves!$B$2:$AO$2)*(COLUMN(Curves!$B$2:$AO$2)-COLUMN(Curves!$B$2)+1&lt;=88-Projects!$C$9+1))),0)</f>
        <v>0</v>
      </c>
      <c r="CM12" s="287" t="n">
        <f aca="false">IF(AND(Projects!$G$9="Yes",Projects!$F$9="Yes",89&gt;=Projects!$C$9,89&lt;Projects!$C$9+Projects!$D$9),Projects!$B$9*(1-SUMPRODUCT((Curves!$B$2:$AO$2)*(COLUMN(Curves!$B$2:$AO$2)-COLUMN(Curves!$B$2)+1&lt;=89-Projects!$C$9+1))),0)</f>
        <v>0</v>
      </c>
      <c r="CN12" s="287" t="n">
        <f aca="false">IF(AND(Projects!$G$9="Yes",Projects!$F$9="Yes",90&gt;=Projects!$C$9,90&lt;Projects!$C$9+Projects!$D$9),Projects!$B$9*(1-SUMPRODUCT((Curves!$B$2:$AO$2)*(COLUMN(Curves!$B$2:$AO$2)-COLUMN(Curves!$B$2)+1&lt;=90-Projects!$C$9+1))),0)</f>
        <v>0</v>
      </c>
      <c r="CO12" s="287" t="n">
        <f aca="false">IF(AND(Projects!$G$9="Yes",Projects!$F$9="Yes",91&gt;=Projects!$C$9,91&lt;Projects!$C$9+Projects!$D$9),Projects!$B$9*(1-SUMPRODUCT((Curves!$B$2:$AO$2)*(COLUMN(Curves!$B$2:$AO$2)-COLUMN(Curves!$B$2)+1&lt;=91-Projects!$C$9+1))),0)</f>
        <v>0</v>
      </c>
      <c r="CP12" s="287" t="n">
        <f aca="false">IF(AND(Projects!$G$9="Yes",Projects!$F$9="Yes",92&gt;=Projects!$C$9,92&lt;Projects!$C$9+Projects!$D$9),Projects!$B$9*(1-SUMPRODUCT((Curves!$B$2:$AO$2)*(COLUMN(Curves!$B$2:$AO$2)-COLUMN(Curves!$B$2)+1&lt;=92-Projects!$C$9+1))),0)</f>
        <v>0</v>
      </c>
      <c r="CQ12" s="287"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7" t="n">
        <f aca="false">IF(AND(Projects!$G$10="Yes",Projects!$F$10="Yes",1&gt;=Projects!$C$10,1&lt;Projects!$C$10+Projects!$D$10),Projects!$B$10*(1-SUMPRODUCT((Curves!$B$4:$AO$4)*(COLUMN(Curves!$B$4:$AO$4)-COLUMN(Curves!$B$4)+1&lt;=1-Projects!$C$10+1))),0)</f>
        <v>0</v>
      </c>
      <c r="D13" s="287" t="n">
        <f aca="false">IF(AND(Projects!$G$10="Yes",Projects!$F$10="Yes",2&gt;=Projects!$C$10,2&lt;Projects!$C$10+Projects!$D$10),Projects!$B$10*(1-SUMPRODUCT((Curves!$B$4:$AO$4)*(COLUMN(Curves!$B$4:$AO$4)-COLUMN(Curves!$B$4)+1&lt;=2-Projects!$C$10+1))),0)</f>
        <v>0</v>
      </c>
      <c r="E13" s="287" t="n">
        <f aca="false">IF(AND(Projects!$G$10="Yes",Projects!$F$10="Yes",3&gt;=Projects!$C$10,3&lt;Projects!$C$10+Projects!$D$10),Projects!$B$10*(1-SUMPRODUCT((Curves!$B$4:$AO$4)*(COLUMN(Curves!$B$4:$AO$4)-COLUMN(Curves!$B$4)+1&lt;=3-Projects!$C$10+1))),0)</f>
        <v>0</v>
      </c>
      <c r="F13" s="287" t="n">
        <f aca="false">IF(AND(Projects!$G$10="Yes",Projects!$F$10="Yes",4&gt;=Projects!$C$10,4&lt;Projects!$C$10+Projects!$D$10),Projects!$B$10*(1-SUMPRODUCT((Curves!$B$4:$AO$4)*(COLUMN(Curves!$B$4:$AO$4)-COLUMN(Curves!$B$4)+1&lt;=4-Projects!$C$10+1))),0)</f>
        <v>0</v>
      </c>
      <c r="G13" s="287" t="n">
        <f aca="false">IF(AND(Projects!$G$10="Yes",Projects!$F$10="Yes",5&gt;=Projects!$C$10,5&lt;Projects!$C$10+Projects!$D$10),Projects!$B$10*(1-SUMPRODUCT((Curves!$B$4:$AO$4)*(COLUMN(Curves!$B$4:$AO$4)-COLUMN(Curves!$B$4)+1&lt;=5-Projects!$C$10+1))),0)</f>
        <v>0</v>
      </c>
      <c r="H13" s="287" t="n">
        <f aca="false">IF(AND(Projects!$G$10="Yes",Projects!$F$10="Yes",6&gt;=Projects!$C$10,6&lt;Projects!$C$10+Projects!$D$10),Projects!$B$10*(1-SUMPRODUCT((Curves!$B$4:$AO$4)*(COLUMN(Curves!$B$4:$AO$4)-COLUMN(Curves!$B$4)+1&lt;=6-Projects!$C$10+1))),0)</f>
        <v>0</v>
      </c>
      <c r="I13" s="287" t="n">
        <f aca="false">IF(AND(Projects!$G$10="Yes",Projects!$F$10="Yes",7&gt;=Projects!$C$10,7&lt;Projects!$C$10+Projects!$D$10),Projects!$B$10*(1-SUMPRODUCT((Curves!$B$4:$AO$4)*(COLUMN(Curves!$B$4:$AO$4)-COLUMN(Curves!$B$4)+1&lt;=7-Projects!$C$10+1))),0)</f>
        <v>0</v>
      </c>
      <c r="J13" s="287" t="n">
        <f aca="false">IF(AND(Projects!$G$10="Yes",Projects!$F$10="Yes",8&gt;=Projects!$C$10,8&lt;Projects!$C$10+Projects!$D$10),Projects!$B$10*(1-SUMPRODUCT((Curves!$B$4:$AO$4)*(COLUMN(Curves!$B$4:$AO$4)-COLUMN(Curves!$B$4)+1&lt;=8-Projects!$C$10+1))),0)</f>
        <v>0</v>
      </c>
      <c r="K13" s="287" t="n">
        <f aca="false">IF(AND(Projects!$G$10="Yes",Projects!$F$10="Yes",9&gt;=Projects!$C$10,9&lt;Projects!$C$10+Projects!$D$10),Projects!$B$10*(1-SUMPRODUCT((Curves!$B$4:$AO$4)*(COLUMN(Curves!$B$4:$AO$4)-COLUMN(Curves!$B$4)+1&lt;=9-Projects!$C$10+1))),0)</f>
        <v>20699563.289615</v>
      </c>
      <c r="L13" s="287" t="n">
        <f aca="false">IF(AND(Projects!$G$10="Yes",Projects!$F$10="Yes",10&gt;=Projects!$C$10,10&lt;Projects!$C$10+Projects!$D$10),Projects!$B$10*(1-SUMPRODUCT((Curves!$B$4:$AO$4)*(COLUMN(Curves!$B$4:$AO$4)-COLUMN(Curves!$B$4)+1&lt;=10-Projects!$C$10+1))),0)</f>
        <v>20002952.87841</v>
      </c>
      <c r="M13" s="287" t="n">
        <f aca="false">IF(AND(Projects!$G$10="Yes",Projects!$F$10="Yes",11&gt;=Projects!$C$10,11&lt;Projects!$C$10+Projects!$D$10),Projects!$B$10*(1-SUMPRODUCT((Curves!$B$4:$AO$4)*(COLUMN(Curves!$B$4:$AO$4)-COLUMN(Curves!$B$4)+1&lt;=11-Projects!$C$10+1))),0)</f>
        <v>19163431.1222</v>
      </c>
      <c r="N13" s="287" t="n">
        <f aca="false">IF(AND(Projects!$G$10="Yes",Projects!$F$10="Yes",12&gt;=Projects!$C$10,12&lt;Projects!$C$10+Projects!$D$10),Projects!$B$10*(1-SUMPRODUCT((Curves!$B$4:$AO$4)*(COLUMN(Curves!$B$4:$AO$4)-COLUMN(Curves!$B$4)+1&lt;=12-Projects!$C$10+1))),0)</f>
        <v>18176553.96934</v>
      </c>
      <c r="O13" s="287" t="n">
        <f aca="false">IF(AND(Projects!$G$10="Yes",Projects!$F$10="Yes",13&gt;=Projects!$C$10,13&lt;Projects!$C$10+Projects!$D$10),Projects!$B$10*(1-SUMPRODUCT((Curves!$B$4:$AO$4)*(COLUMN(Curves!$B$4:$AO$4)-COLUMN(Curves!$B$4)+1&lt;=13-Projects!$C$10+1))),0)</f>
        <v>17044958.08205</v>
      </c>
      <c r="P13" s="287" t="n">
        <f aca="false">IF(AND(Projects!$G$10="Yes",Projects!$F$10="Yes",14&gt;=Projects!$C$10,14&lt;Projects!$C$10+Projects!$D$10),Projects!$B$10*(1-SUMPRODUCT((Curves!$B$4:$AO$4)*(COLUMN(Curves!$B$4:$AO$4)-COLUMN(Curves!$B$4)+1&lt;=14-Projects!$C$10+1))),0)</f>
        <v>15779317.68964</v>
      </c>
      <c r="Q13" s="287" t="n">
        <f aca="false">IF(AND(Projects!$G$10="Yes",Projects!$F$10="Yes",15&gt;=Projects!$C$10,15&lt;Projects!$C$10+Projects!$D$10),Projects!$B$10*(1-SUMPRODUCT((Curves!$B$4:$AO$4)*(COLUMN(Curves!$B$4:$AO$4)-COLUMN(Curves!$B$4)+1&lt;=15-Projects!$C$10+1))),0)</f>
        <v>14398535.959155</v>
      </c>
      <c r="R13" s="287" t="n">
        <f aca="false">IF(AND(Projects!$G$10="Yes",Projects!$F$10="Yes",16&gt;=Projects!$C$10,16&lt;Projects!$C$10+Projects!$D$10),Projects!$B$10*(1-SUMPRODUCT((Curves!$B$4:$AO$4)*(COLUMN(Curves!$B$4:$AO$4)-COLUMN(Curves!$B$4)+1&lt;=16-Projects!$C$10+1))),0)</f>
        <v>12929149.620035</v>
      </c>
      <c r="S13" s="287" t="n">
        <f aca="false">IF(AND(Projects!$G$10="Yes",Projects!$F$10="Yes",17&gt;=Projects!$C$10,17&lt;Projects!$C$10+Projects!$D$10),Projects!$B$10*(1-SUMPRODUCT((Curves!$B$4:$AO$4)*(COLUMN(Curves!$B$4:$AO$4)-COLUMN(Curves!$B$4)+1&lt;=17-Projects!$C$10+1))),0)</f>
        <v>11403883.052575</v>
      </c>
      <c r="T13" s="287" t="n">
        <f aca="false">IF(AND(Projects!$G$10="Yes",Projects!$F$10="Yes",18&gt;=Projects!$C$10,18&lt;Projects!$C$10+Projects!$D$10),Projects!$B$10*(1-SUMPRODUCT((Curves!$B$4:$AO$4)*(COLUMN(Curves!$B$4:$AO$4)-COLUMN(Curves!$B$4)+1&lt;=18-Projects!$C$10+1))),0)</f>
        <v>9859521.947425</v>
      </c>
      <c r="U13" s="287" t="n">
        <f aca="false">IF(AND(Projects!$G$10="Yes",Projects!$F$10="Yes",19&gt;=Projects!$C$10,19&lt;Projects!$C$10+Projects!$D$10),Projects!$B$10*(1-SUMPRODUCT((Curves!$B$4:$AO$4)*(COLUMN(Curves!$B$4:$AO$4)-COLUMN(Curves!$B$4)+1&lt;=19-Projects!$C$10+1))),0)</f>
        <v>8334255.379965</v>
      </c>
      <c r="V13" s="287" t="n">
        <f aca="false">IF(AND(Projects!$G$10="Yes",Projects!$F$10="Yes",20&gt;=Projects!$C$10,20&lt;Projects!$C$10+Projects!$D$10),Projects!$B$10*(1-SUMPRODUCT((Curves!$B$4:$AO$4)*(COLUMN(Curves!$B$4:$AO$4)-COLUMN(Curves!$B$4)+1&lt;=20-Projects!$C$10+1))),0)</f>
        <v>6864869.040845</v>
      </c>
      <c r="W13" s="287" t="n">
        <f aca="false">IF(AND(Projects!$G$10="Yes",Projects!$F$10="Yes",21&gt;=Projects!$C$10,21&lt;Projects!$C$10+Projects!$D$10),Projects!$B$10*(1-SUMPRODUCT((Curves!$B$4:$AO$4)*(COLUMN(Curves!$B$4:$AO$4)-COLUMN(Curves!$B$4)+1&lt;=21-Projects!$C$10+1))),0)</f>
        <v>5484087.31036</v>
      </c>
      <c r="X13" s="287" t="n">
        <f aca="false">IF(AND(Projects!$G$10="Yes",Projects!$F$10="Yes",22&gt;=Projects!$C$10,22&lt;Projects!$C$10+Projects!$D$10),Projects!$B$10*(1-SUMPRODUCT((Curves!$B$4:$AO$4)*(COLUMN(Curves!$B$4:$AO$4)-COLUMN(Curves!$B$4)+1&lt;=22-Projects!$C$10+1))),0)</f>
        <v>4218446.91795</v>
      </c>
      <c r="Y13" s="287" t="n">
        <f aca="false">IF(AND(Projects!$G$10="Yes",Projects!$F$10="Yes",23&gt;=Projects!$C$10,23&lt;Projects!$C$10+Projects!$D$10),Projects!$B$10*(1-SUMPRODUCT((Curves!$B$4:$AO$4)*(COLUMN(Curves!$B$4:$AO$4)-COLUMN(Curves!$B$4)+1&lt;=23-Projects!$C$10+1))),0)</f>
        <v>3086851.03066</v>
      </c>
      <c r="Z13" s="287" t="n">
        <f aca="false">IF(AND(Projects!$G$10="Yes",Projects!$F$10="Yes",24&gt;=Projects!$C$10,24&lt;Projects!$C$10+Projects!$D$10),Projects!$B$10*(1-SUMPRODUCT((Curves!$B$4:$AO$4)*(COLUMN(Curves!$B$4:$AO$4)-COLUMN(Curves!$B$4)+1&lt;=24-Projects!$C$10+1))),0)</f>
        <v>2099973.8778</v>
      </c>
      <c r="AA13" s="287" t="n">
        <f aca="false">IF(AND(Projects!$G$10="Yes",Projects!$F$10="Yes",25&gt;=Projects!$C$10,25&lt;Projects!$C$10+Projects!$D$10),Projects!$B$10*(1-SUMPRODUCT((Curves!$B$4:$AO$4)*(COLUMN(Curves!$B$4:$AO$4)-COLUMN(Curves!$B$4)+1&lt;=25-Projects!$C$10+1))),0)</f>
        <v>1260452.12159</v>
      </c>
      <c r="AB13" s="287" t="n">
        <f aca="false">IF(AND(Projects!$G$10="Yes",Projects!$F$10="Yes",26&gt;=Projects!$C$10,26&lt;Projects!$C$10+Projects!$D$10),Projects!$B$10*(1-SUMPRODUCT((Curves!$B$4:$AO$4)*(COLUMN(Curves!$B$4:$AO$4)-COLUMN(Curves!$B$4)+1&lt;=26-Projects!$C$10+1))),0)</f>
        <v>563841.710385</v>
      </c>
      <c r="AC13" s="287" t="n">
        <f aca="false">IF(AND(Projects!$G$10="Yes",Projects!$F$10="Yes",27&gt;=Projects!$C$10,27&lt;Projects!$C$10+Projects!$D$10),Projects!$B$10*(1-SUMPRODUCT((Curves!$B$4:$AO$4)*(COLUMN(Curves!$B$4:$AO$4)-COLUMN(Curves!$B$4)+1&lt;=27-Projects!$C$10+1))),0)</f>
        <v>0</v>
      </c>
      <c r="AD13" s="287" t="n">
        <f aca="false">IF(AND(Projects!$G$10="Yes",Projects!$F$10="Yes",28&gt;=Projects!$C$10,28&lt;Projects!$C$10+Projects!$D$10),Projects!$B$10*(1-SUMPRODUCT((Curves!$B$4:$AO$4)*(COLUMN(Curves!$B$4:$AO$4)-COLUMN(Curves!$B$4)+1&lt;=28-Projects!$C$10+1))),0)</f>
        <v>0</v>
      </c>
      <c r="AE13" s="287" t="n">
        <f aca="false">IF(AND(Projects!$G$10="Yes",Projects!$F$10="Yes",29&gt;=Projects!$C$10,29&lt;Projects!$C$10+Projects!$D$10),Projects!$B$10*(1-SUMPRODUCT((Curves!$B$4:$AO$4)*(COLUMN(Curves!$B$4:$AO$4)-COLUMN(Curves!$B$4)+1&lt;=29-Projects!$C$10+1))),0)</f>
        <v>0</v>
      </c>
      <c r="AF13" s="287" t="n">
        <f aca="false">IF(AND(Projects!$G$10="Yes",Projects!$F$10="Yes",30&gt;=Projects!$C$10,30&lt;Projects!$C$10+Projects!$D$10),Projects!$B$10*(1-SUMPRODUCT((Curves!$B$4:$AO$4)*(COLUMN(Curves!$B$4:$AO$4)-COLUMN(Curves!$B$4)+1&lt;=30-Projects!$C$10+1))),0)</f>
        <v>0</v>
      </c>
      <c r="AG13" s="287" t="n">
        <f aca="false">IF(AND(Projects!$G$10="Yes",Projects!$F$10="Yes",31&gt;=Projects!$C$10,31&lt;Projects!$C$10+Projects!$D$10),Projects!$B$10*(1-SUMPRODUCT((Curves!$B$4:$AO$4)*(COLUMN(Curves!$B$4:$AO$4)-COLUMN(Curves!$B$4)+1&lt;=31-Projects!$C$10+1))),0)</f>
        <v>0</v>
      </c>
      <c r="AH13" s="287" t="n">
        <f aca="false">IF(AND(Projects!$G$10="Yes",Projects!$F$10="Yes",32&gt;=Projects!$C$10,32&lt;Projects!$C$10+Projects!$D$10),Projects!$B$10*(1-SUMPRODUCT((Curves!$B$4:$AO$4)*(COLUMN(Curves!$B$4:$AO$4)-COLUMN(Curves!$B$4)+1&lt;=32-Projects!$C$10+1))),0)</f>
        <v>0</v>
      </c>
      <c r="AI13" s="287" t="n">
        <f aca="false">IF(AND(Projects!$G$10="Yes",Projects!$F$10="Yes",33&gt;=Projects!$C$10,33&lt;Projects!$C$10+Projects!$D$10),Projects!$B$10*(1-SUMPRODUCT((Curves!$B$4:$AO$4)*(COLUMN(Curves!$B$4:$AO$4)-COLUMN(Curves!$B$4)+1&lt;=33-Projects!$C$10+1))),0)</f>
        <v>0</v>
      </c>
      <c r="AJ13" s="287" t="n">
        <f aca="false">IF(AND(Projects!$G$10="Yes",Projects!$F$10="Yes",34&gt;=Projects!$C$10,34&lt;Projects!$C$10+Projects!$D$10),Projects!$B$10*(1-SUMPRODUCT((Curves!$B$4:$AO$4)*(COLUMN(Curves!$B$4:$AO$4)-COLUMN(Curves!$B$4)+1&lt;=34-Projects!$C$10+1))),0)</f>
        <v>0</v>
      </c>
      <c r="AK13" s="287" t="n">
        <f aca="false">IF(AND(Projects!$G$10="Yes",Projects!$F$10="Yes",35&gt;=Projects!$C$10,35&lt;Projects!$C$10+Projects!$D$10),Projects!$B$10*(1-SUMPRODUCT((Curves!$B$4:$AO$4)*(COLUMN(Curves!$B$4:$AO$4)-COLUMN(Curves!$B$4)+1&lt;=35-Projects!$C$10+1))),0)</f>
        <v>0</v>
      </c>
      <c r="AL13" s="287" t="n">
        <f aca="false">IF(AND(Projects!$G$10="Yes",Projects!$F$10="Yes",36&gt;=Projects!$C$10,36&lt;Projects!$C$10+Projects!$D$10),Projects!$B$10*(1-SUMPRODUCT((Curves!$B$4:$AO$4)*(COLUMN(Curves!$B$4:$AO$4)-COLUMN(Curves!$B$4)+1&lt;=36-Projects!$C$10+1))),0)</f>
        <v>0</v>
      </c>
      <c r="AM13" s="287" t="n">
        <f aca="false">IF(AND(Projects!$G$10="Yes",Projects!$F$10="Yes",37&gt;=Projects!$C$10,37&lt;Projects!$C$10+Projects!$D$10),Projects!$B$10*(1-SUMPRODUCT((Curves!$B$4:$AO$4)*(COLUMN(Curves!$B$4:$AO$4)-COLUMN(Curves!$B$4)+1&lt;=37-Projects!$C$10+1))),0)</f>
        <v>0</v>
      </c>
      <c r="AN13" s="287" t="n">
        <f aca="false">IF(AND(Projects!$G$10="Yes",Projects!$F$10="Yes",38&gt;=Projects!$C$10,38&lt;Projects!$C$10+Projects!$D$10),Projects!$B$10*(1-SUMPRODUCT((Curves!$B$4:$AO$4)*(COLUMN(Curves!$B$4:$AO$4)-COLUMN(Curves!$B$4)+1&lt;=38-Projects!$C$10+1))),0)</f>
        <v>0</v>
      </c>
      <c r="AO13" s="287" t="n">
        <f aca="false">IF(AND(Projects!$G$10="Yes",Projects!$F$10="Yes",39&gt;=Projects!$C$10,39&lt;Projects!$C$10+Projects!$D$10),Projects!$B$10*(1-SUMPRODUCT((Curves!$B$4:$AO$4)*(COLUMN(Curves!$B$4:$AO$4)-COLUMN(Curves!$B$4)+1&lt;=39-Projects!$C$10+1))),0)</f>
        <v>0</v>
      </c>
      <c r="AP13" s="287" t="n">
        <f aca="false">IF(AND(Projects!$G$10="Yes",Projects!$F$10="Yes",40&gt;=Projects!$C$10,40&lt;Projects!$C$10+Projects!$D$10),Projects!$B$10*(1-SUMPRODUCT((Curves!$B$4:$AO$4)*(COLUMN(Curves!$B$4:$AO$4)-COLUMN(Curves!$B$4)+1&lt;=40-Projects!$C$10+1))),0)</f>
        <v>0</v>
      </c>
      <c r="AQ13" s="287" t="n">
        <f aca="false">IF(AND(Projects!$G$10="Yes",Projects!$F$10="Yes",41&gt;=Projects!$C$10,41&lt;Projects!$C$10+Projects!$D$10),Projects!$B$10*(1-SUMPRODUCT((Curves!$B$4:$AO$4)*(COLUMN(Curves!$B$4:$AO$4)-COLUMN(Curves!$B$4)+1&lt;=41-Projects!$C$10+1))),0)</f>
        <v>0</v>
      </c>
      <c r="AR13" s="287" t="n">
        <f aca="false">IF(AND(Projects!$G$10="Yes",Projects!$F$10="Yes",42&gt;=Projects!$C$10,42&lt;Projects!$C$10+Projects!$D$10),Projects!$B$10*(1-SUMPRODUCT((Curves!$B$4:$AO$4)*(COLUMN(Curves!$B$4:$AO$4)-COLUMN(Curves!$B$4)+1&lt;=42-Projects!$C$10+1))),0)</f>
        <v>0</v>
      </c>
      <c r="AS13" s="287" t="n">
        <f aca="false">IF(AND(Projects!$G$10="Yes",Projects!$F$10="Yes",43&gt;=Projects!$C$10,43&lt;Projects!$C$10+Projects!$D$10),Projects!$B$10*(1-SUMPRODUCT((Curves!$B$4:$AO$4)*(COLUMN(Curves!$B$4:$AO$4)-COLUMN(Curves!$B$4)+1&lt;=43-Projects!$C$10+1))),0)</f>
        <v>0</v>
      </c>
      <c r="AT13" s="287" t="n">
        <f aca="false">IF(AND(Projects!$G$10="Yes",Projects!$F$10="Yes",44&gt;=Projects!$C$10,44&lt;Projects!$C$10+Projects!$D$10),Projects!$B$10*(1-SUMPRODUCT((Curves!$B$4:$AO$4)*(COLUMN(Curves!$B$4:$AO$4)-COLUMN(Curves!$B$4)+1&lt;=44-Projects!$C$10+1))),0)</f>
        <v>0</v>
      </c>
      <c r="AU13" s="287" t="n">
        <f aca="false">IF(AND(Projects!$G$10="Yes",Projects!$F$10="Yes",45&gt;=Projects!$C$10,45&lt;Projects!$C$10+Projects!$D$10),Projects!$B$10*(1-SUMPRODUCT((Curves!$B$4:$AO$4)*(COLUMN(Curves!$B$4:$AO$4)-COLUMN(Curves!$B$4)+1&lt;=45-Projects!$C$10+1))),0)</f>
        <v>0</v>
      </c>
      <c r="AV13" s="287" t="n">
        <f aca="false">IF(AND(Projects!$G$10="Yes",Projects!$F$10="Yes",46&gt;=Projects!$C$10,46&lt;Projects!$C$10+Projects!$D$10),Projects!$B$10*(1-SUMPRODUCT((Curves!$B$4:$AO$4)*(COLUMN(Curves!$B$4:$AO$4)-COLUMN(Curves!$B$4)+1&lt;=46-Projects!$C$10+1))),0)</f>
        <v>0</v>
      </c>
      <c r="AW13" s="287" t="n">
        <f aca="false">IF(AND(Projects!$G$10="Yes",Projects!$F$10="Yes",47&gt;=Projects!$C$10,47&lt;Projects!$C$10+Projects!$D$10),Projects!$B$10*(1-SUMPRODUCT((Curves!$B$4:$AO$4)*(COLUMN(Curves!$B$4:$AO$4)-COLUMN(Curves!$B$4)+1&lt;=47-Projects!$C$10+1))),0)</f>
        <v>0</v>
      </c>
      <c r="AX13" s="287" t="n">
        <f aca="false">IF(AND(Projects!$G$10="Yes",Projects!$F$10="Yes",48&gt;=Projects!$C$10,48&lt;Projects!$C$10+Projects!$D$10),Projects!$B$10*(1-SUMPRODUCT((Curves!$B$4:$AO$4)*(COLUMN(Curves!$B$4:$AO$4)-COLUMN(Curves!$B$4)+1&lt;=48-Projects!$C$10+1))),0)</f>
        <v>0</v>
      </c>
      <c r="AY13" s="287" t="n">
        <f aca="false">IF(AND(Projects!$G$10="Yes",Projects!$F$10="Yes",49&gt;=Projects!$C$10,49&lt;Projects!$C$10+Projects!$D$10),Projects!$B$10*(1-SUMPRODUCT((Curves!$B$4:$AO$4)*(COLUMN(Curves!$B$4:$AO$4)-COLUMN(Curves!$B$4)+1&lt;=49-Projects!$C$10+1))),0)</f>
        <v>0</v>
      </c>
      <c r="AZ13" s="287" t="n">
        <f aca="false">IF(AND(Projects!$G$10="Yes",Projects!$F$10="Yes",50&gt;=Projects!$C$10,50&lt;Projects!$C$10+Projects!$D$10),Projects!$B$10*(1-SUMPRODUCT((Curves!$B$4:$AO$4)*(COLUMN(Curves!$B$4:$AO$4)-COLUMN(Curves!$B$4)+1&lt;=50-Projects!$C$10+1))),0)</f>
        <v>0</v>
      </c>
      <c r="BA13" s="287" t="n">
        <f aca="false">IF(AND(Projects!$G$10="Yes",Projects!$F$10="Yes",51&gt;=Projects!$C$10,51&lt;Projects!$C$10+Projects!$D$10),Projects!$B$10*(1-SUMPRODUCT((Curves!$B$4:$AO$4)*(COLUMN(Curves!$B$4:$AO$4)-COLUMN(Curves!$B$4)+1&lt;=51-Projects!$C$10+1))),0)</f>
        <v>0</v>
      </c>
      <c r="BB13" s="287" t="n">
        <f aca="false">IF(AND(Projects!$G$10="Yes",Projects!$F$10="Yes",52&gt;=Projects!$C$10,52&lt;Projects!$C$10+Projects!$D$10),Projects!$B$10*(1-SUMPRODUCT((Curves!$B$4:$AO$4)*(COLUMN(Curves!$B$4:$AO$4)-COLUMN(Curves!$B$4)+1&lt;=52-Projects!$C$10+1))),0)</f>
        <v>0</v>
      </c>
      <c r="BC13" s="287" t="n">
        <f aca="false">IF(AND(Projects!$G$10="Yes",Projects!$F$10="Yes",53&gt;=Projects!$C$10,53&lt;Projects!$C$10+Projects!$D$10),Projects!$B$10*(1-SUMPRODUCT((Curves!$B$4:$AO$4)*(COLUMN(Curves!$B$4:$AO$4)-COLUMN(Curves!$B$4)+1&lt;=53-Projects!$C$10+1))),0)</f>
        <v>0</v>
      </c>
      <c r="BD13" s="287" t="n">
        <f aca="false">IF(AND(Projects!$G$10="Yes",Projects!$F$10="Yes",54&gt;=Projects!$C$10,54&lt;Projects!$C$10+Projects!$D$10),Projects!$B$10*(1-SUMPRODUCT((Curves!$B$4:$AO$4)*(COLUMN(Curves!$B$4:$AO$4)-COLUMN(Curves!$B$4)+1&lt;=54-Projects!$C$10+1))),0)</f>
        <v>0</v>
      </c>
      <c r="BE13" s="287" t="n">
        <f aca="false">IF(AND(Projects!$G$10="Yes",Projects!$F$10="Yes",55&gt;=Projects!$C$10,55&lt;Projects!$C$10+Projects!$D$10),Projects!$B$10*(1-SUMPRODUCT((Curves!$B$4:$AO$4)*(COLUMN(Curves!$B$4:$AO$4)-COLUMN(Curves!$B$4)+1&lt;=55-Projects!$C$10+1))),0)</f>
        <v>0</v>
      </c>
      <c r="BF13" s="287" t="n">
        <f aca="false">IF(AND(Projects!$G$10="Yes",Projects!$F$10="Yes",56&gt;=Projects!$C$10,56&lt;Projects!$C$10+Projects!$D$10),Projects!$B$10*(1-SUMPRODUCT((Curves!$B$4:$AO$4)*(COLUMN(Curves!$B$4:$AO$4)-COLUMN(Curves!$B$4)+1&lt;=56-Projects!$C$10+1))),0)</f>
        <v>0</v>
      </c>
      <c r="BG13" s="287" t="n">
        <f aca="false">IF(AND(Projects!$G$10="Yes",Projects!$F$10="Yes",57&gt;=Projects!$C$10,57&lt;Projects!$C$10+Projects!$D$10),Projects!$B$10*(1-SUMPRODUCT((Curves!$B$4:$AO$4)*(COLUMN(Curves!$B$4:$AO$4)-COLUMN(Curves!$B$4)+1&lt;=57-Projects!$C$10+1))),0)</f>
        <v>0</v>
      </c>
      <c r="BH13" s="287" t="n">
        <f aca="false">IF(AND(Projects!$G$10="Yes",Projects!$F$10="Yes",58&gt;=Projects!$C$10,58&lt;Projects!$C$10+Projects!$D$10),Projects!$B$10*(1-SUMPRODUCT((Curves!$B$4:$AO$4)*(COLUMN(Curves!$B$4:$AO$4)-COLUMN(Curves!$B$4)+1&lt;=58-Projects!$C$10+1))),0)</f>
        <v>0</v>
      </c>
      <c r="BI13" s="287" t="n">
        <f aca="false">IF(AND(Projects!$G$10="Yes",Projects!$F$10="Yes",59&gt;=Projects!$C$10,59&lt;Projects!$C$10+Projects!$D$10),Projects!$B$10*(1-SUMPRODUCT((Curves!$B$4:$AO$4)*(COLUMN(Curves!$B$4:$AO$4)-COLUMN(Curves!$B$4)+1&lt;=59-Projects!$C$10+1))),0)</f>
        <v>0</v>
      </c>
      <c r="BJ13" s="287" t="n">
        <f aca="false">IF(AND(Projects!$G$10="Yes",Projects!$F$10="Yes",60&gt;=Projects!$C$10,60&lt;Projects!$C$10+Projects!$D$10),Projects!$B$10*(1-SUMPRODUCT((Curves!$B$4:$AO$4)*(COLUMN(Curves!$B$4:$AO$4)-COLUMN(Curves!$B$4)+1&lt;=60-Projects!$C$10+1))),0)</f>
        <v>0</v>
      </c>
      <c r="BK13" s="287" t="n">
        <f aca="false">IF(AND(Projects!$G$10="Yes",Projects!$F$10="Yes",61&gt;=Projects!$C$10,61&lt;Projects!$C$10+Projects!$D$10),Projects!$B$10*(1-SUMPRODUCT((Curves!$B$4:$AO$4)*(COLUMN(Curves!$B$4:$AO$4)-COLUMN(Curves!$B$4)+1&lt;=61-Projects!$C$10+1))),0)</f>
        <v>0</v>
      </c>
      <c r="BL13" s="287" t="n">
        <f aca="false">IF(AND(Projects!$G$10="Yes",Projects!$F$10="Yes",62&gt;=Projects!$C$10,62&lt;Projects!$C$10+Projects!$D$10),Projects!$B$10*(1-SUMPRODUCT((Curves!$B$4:$AO$4)*(COLUMN(Curves!$B$4:$AO$4)-COLUMN(Curves!$B$4)+1&lt;=62-Projects!$C$10+1))),0)</f>
        <v>0</v>
      </c>
      <c r="BM13" s="287" t="n">
        <f aca="false">IF(AND(Projects!$G$10="Yes",Projects!$F$10="Yes",63&gt;=Projects!$C$10,63&lt;Projects!$C$10+Projects!$D$10),Projects!$B$10*(1-SUMPRODUCT((Curves!$B$4:$AO$4)*(COLUMN(Curves!$B$4:$AO$4)-COLUMN(Curves!$B$4)+1&lt;=63-Projects!$C$10+1))),0)</f>
        <v>0</v>
      </c>
      <c r="BN13" s="287" t="n">
        <f aca="false">IF(AND(Projects!$G$10="Yes",Projects!$F$10="Yes",64&gt;=Projects!$C$10,64&lt;Projects!$C$10+Projects!$D$10),Projects!$B$10*(1-SUMPRODUCT((Curves!$B$4:$AO$4)*(COLUMN(Curves!$B$4:$AO$4)-COLUMN(Curves!$B$4)+1&lt;=64-Projects!$C$10+1))),0)</f>
        <v>0</v>
      </c>
      <c r="BO13" s="287" t="n">
        <f aca="false">IF(AND(Projects!$G$10="Yes",Projects!$F$10="Yes",65&gt;=Projects!$C$10,65&lt;Projects!$C$10+Projects!$D$10),Projects!$B$10*(1-SUMPRODUCT((Curves!$B$4:$AO$4)*(COLUMN(Curves!$B$4:$AO$4)-COLUMN(Curves!$B$4)+1&lt;=65-Projects!$C$10+1))),0)</f>
        <v>0</v>
      </c>
      <c r="BP13" s="287" t="n">
        <f aca="false">IF(AND(Projects!$G$10="Yes",Projects!$F$10="Yes",66&gt;=Projects!$C$10,66&lt;Projects!$C$10+Projects!$D$10),Projects!$B$10*(1-SUMPRODUCT((Curves!$B$4:$AO$4)*(COLUMN(Curves!$B$4:$AO$4)-COLUMN(Curves!$B$4)+1&lt;=66-Projects!$C$10+1))),0)</f>
        <v>0</v>
      </c>
      <c r="BQ13" s="287" t="n">
        <f aca="false">IF(AND(Projects!$G$10="Yes",Projects!$F$10="Yes",67&gt;=Projects!$C$10,67&lt;Projects!$C$10+Projects!$D$10),Projects!$B$10*(1-SUMPRODUCT((Curves!$B$4:$AO$4)*(COLUMN(Curves!$B$4:$AO$4)-COLUMN(Curves!$B$4)+1&lt;=67-Projects!$C$10+1))),0)</f>
        <v>0</v>
      </c>
      <c r="BR13" s="287" t="n">
        <f aca="false">IF(AND(Projects!$G$10="Yes",Projects!$F$10="Yes",68&gt;=Projects!$C$10,68&lt;Projects!$C$10+Projects!$D$10),Projects!$B$10*(1-SUMPRODUCT((Curves!$B$4:$AO$4)*(COLUMN(Curves!$B$4:$AO$4)-COLUMN(Curves!$B$4)+1&lt;=68-Projects!$C$10+1))),0)</f>
        <v>0</v>
      </c>
      <c r="BS13" s="287" t="n">
        <f aca="false">IF(AND(Projects!$G$10="Yes",Projects!$F$10="Yes",69&gt;=Projects!$C$10,69&lt;Projects!$C$10+Projects!$D$10),Projects!$B$10*(1-SUMPRODUCT((Curves!$B$4:$AO$4)*(COLUMN(Curves!$B$4:$AO$4)-COLUMN(Curves!$B$4)+1&lt;=69-Projects!$C$10+1))),0)</f>
        <v>0</v>
      </c>
      <c r="BT13" s="287" t="n">
        <f aca="false">IF(AND(Projects!$G$10="Yes",Projects!$F$10="Yes",70&gt;=Projects!$C$10,70&lt;Projects!$C$10+Projects!$D$10),Projects!$B$10*(1-SUMPRODUCT((Curves!$B$4:$AO$4)*(COLUMN(Curves!$B$4:$AO$4)-COLUMN(Curves!$B$4)+1&lt;=70-Projects!$C$10+1))),0)</f>
        <v>0</v>
      </c>
      <c r="BU13" s="287" t="n">
        <f aca="false">IF(AND(Projects!$G$10="Yes",Projects!$F$10="Yes",71&gt;=Projects!$C$10,71&lt;Projects!$C$10+Projects!$D$10),Projects!$B$10*(1-SUMPRODUCT((Curves!$B$4:$AO$4)*(COLUMN(Curves!$B$4:$AO$4)-COLUMN(Curves!$B$4)+1&lt;=71-Projects!$C$10+1))),0)</f>
        <v>0</v>
      </c>
      <c r="BV13" s="287" t="n">
        <f aca="false">IF(AND(Projects!$G$10="Yes",Projects!$F$10="Yes",72&gt;=Projects!$C$10,72&lt;Projects!$C$10+Projects!$D$10),Projects!$B$10*(1-SUMPRODUCT((Curves!$B$4:$AO$4)*(COLUMN(Curves!$B$4:$AO$4)-COLUMN(Curves!$B$4)+1&lt;=72-Projects!$C$10+1))),0)</f>
        <v>0</v>
      </c>
      <c r="BW13" s="287" t="n">
        <f aca="false">IF(AND(Projects!$G$10="Yes",Projects!$F$10="Yes",73&gt;=Projects!$C$10,73&lt;Projects!$C$10+Projects!$D$10),Projects!$B$10*(1-SUMPRODUCT((Curves!$B$4:$AO$4)*(COLUMN(Curves!$B$4:$AO$4)-COLUMN(Curves!$B$4)+1&lt;=73-Projects!$C$10+1))),0)</f>
        <v>0</v>
      </c>
      <c r="BX13" s="287" t="n">
        <f aca="false">IF(AND(Projects!$G$10="Yes",Projects!$F$10="Yes",74&gt;=Projects!$C$10,74&lt;Projects!$C$10+Projects!$D$10),Projects!$B$10*(1-SUMPRODUCT((Curves!$B$4:$AO$4)*(COLUMN(Curves!$B$4:$AO$4)-COLUMN(Curves!$B$4)+1&lt;=74-Projects!$C$10+1))),0)</f>
        <v>0</v>
      </c>
      <c r="BY13" s="287" t="n">
        <f aca="false">IF(AND(Projects!$G$10="Yes",Projects!$F$10="Yes",75&gt;=Projects!$C$10,75&lt;Projects!$C$10+Projects!$D$10),Projects!$B$10*(1-SUMPRODUCT((Curves!$B$4:$AO$4)*(COLUMN(Curves!$B$4:$AO$4)-COLUMN(Curves!$B$4)+1&lt;=75-Projects!$C$10+1))),0)</f>
        <v>0</v>
      </c>
      <c r="BZ13" s="287" t="n">
        <f aca="false">IF(AND(Projects!$G$10="Yes",Projects!$F$10="Yes",76&gt;=Projects!$C$10,76&lt;Projects!$C$10+Projects!$D$10),Projects!$B$10*(1-SUMPRODUCT((Curves!$B$4:$AO$4)*(COLUMN(Curves!$B$4:$AO$4)-COLUMN(Curves!$B$4)+1&lt;=76-Projects!$C$10+1))),0)</f>
        <v>0</v>
      </c>
      <c r="CA13" s="287" t="n">
        <f aca="false">IF(AND(Projects!$G$10="Yes",Projects!$F$10="Yes",77&gt;=Projects!$C$10,77&lt;Projects!$C$10+Projects!$D$10),Projects!$B$10*(1-SUMPRODUCT((Curves!$B$4:$AO$4)*(COLUMN(Curves!$B$4:$AO$4)-COLUMN(Curves!$B$4)+1&lt;=77-Projects!$C$10+1))),0)</f>
        <v>0</v>
      </c>
      <c r="CB13" s="287" t="n">
        <f aca="false">IF(AND(Projects!$G$10="Yes",Projects!$F$10="Yes",78&gt;=Projects!$C$10,78&lt;Projects!$C$10+Projects!$D$10),Projects!$B$10*(1-SUMPRODUCT((Curves!$B$4:$AO$4)*(COLUMN(Curves!$B$4:$AO$4)-COLUMN(Curves!$B$4)+1&lt;=78-Projects!$C$10+1))),0)</f>
        <v>0</v>
      </c>
      <c r="CC13" s="287" t="n">
        <f aca="false">IF(AND(Projects!$G$10="Yes",Projects!$F$10="Yes",79&gt;=Projects!$C$10,79&lt;Projects!$C$10+Projects!$D$10),Projects!$B$10*(1-SUMPRODUCT((Curves!$B$4:$AO$4)*(COLUMN(Curves!$B$4:$AO$4)-COLUMN(Curves!$B$4)+1&lt;=79-Projects!$C$10+1))),0)</f>
        <v>0</v>
      </c>
      <c r="CD13" s="287" t="n">
        <f aca="false">IF(AND(Projects!$G$10="Yes",Projects!$F$10="Yes",80&gt;=Projects!$C$10,80&lt;Projects!$C$10+Projects!$D$10),Projects!$B$10*(1-SUMPRODUCT((Curves!$B$4:$AO$4)*(COLUMN(Curves!$B$4:$AO$4)-COLUMN(Curves!$B$4)+1&lt;=80-Projects!$C$10+1))),0)</f>
        <v>0</v>
      </c>
      <c r="CE13" s="287" t="n">
        <f aca="false">IF(AND(Projects!$G$10="Yes",Projects!$F$10="Yes",81&gt;=Projects!$C$10,81&lt;Projects!$C$10+Projects!$D$10),Projects!$B$10*(1-SUMPRODUCT((Curves!$B$4:$AO$4)*(COLUMN(Curves!$B$4:$AO$4)-COLUMN(Curves!$B$4)+1&lt;=81-Projects!$C$10+1))),0)</f>
        <v>0</v>
      </c>
      <c r="CF13" s="287" t="n">
        <f aca="false">IF(AND(Projects!$G$10="Yes",Projects!$F$10="Yes",82&gt;=Projects!$C$10,82&lt;Projects!$C$10+Projects!$D$10),Projects!$B$10*(1-SUMPRODUCT((Curves!$B$4:$AO$4)*(COLUMN(Curves!$B$4:$AO$4)-COLUMN(Curves!$B$4)+1&lt;=82-Projects!$C$10+1))),0)</f>
        <v>0</v>
      </c>
      <c r="CG13" s="287" t="n">
        <f aca="false">IF(AND(Projects!$G$10="Yes",Projects!$F$10="Yes",83&gt;=Projects!$C$10,83&lt;Projects!$C$10+Projects!$D$10),Projects!$B$10*(1-SUMPRODUCT((Curves!$B$4:$AO$4)*(COLUMN(Curves!$B$4:$AO$4)-COLUMN(Curves!$B$4)+1&lt;=83-Projects!$C$10+1))),0)</f>
        <v>0</v>
      </c>
      <c r="CH13" s="287" t="n">
        <f aca="false">IF(AND(Projects!$G$10="Yes",Projects!$F$10="Yes",84&gt;=Projects!$C$10,84&lt;Projects!$C$10+Projects!$D$10),Projects!$B$10*(1-SUMPRODUCT((Curves!$B$4:$AO$4)*(COLUMN(Curves!$B$4:$AO$4)-COLUMN(Curves!$B$4)+1&lt;=84-Projects!$C$10+1))),0)</f>
        <v>0</v>
      </c>
      <c r="CI13" s="287" t="n">
        <f aca="false">IF(AND(Projects!$G$10="Yes",Projects!$F$10="Yes",85&gt;=Projects!$C$10,85&lt;Projects!$C$10+Projects!$D$10),Projects!$B$10*(1-SUMPRODUCT((Curves!$B$4:$AO$4)*(COLUMN(Curves!$B$4:$AO$4)-COLUMN(Curves!$B$4)+1&lt;=85-Projects!$C$10+1))),0)</f>
        <v>0</v>
      </c>
      <c r="CJ13" s="287" t="n">
        <f aca="false">IF(AND(Projects!$G$10="Yes",Projects!$F$10="Yes",86&gt;=Projects!$C$10,86&lt;Projects!$C$10+Projects!$D$10),Projects!$B$10*(1-SUMPRODUCT((Curves!$B$4:$AO$4)*(COLUMN(Curves!$B$4:$AO$4)-COLUMN(Curves!$B$4)+1&lt;=86-Projects!$C$10+1))),0)</f>
        <v>0</v>
      </c>
      <c r="CK13" s="287" t="n">
        <f aca="false">IF(AND(Projects!$G$10="Yes",Projects!$F$10="Yes",87&gt;=Projects!$C$10,87&lt;Projects!$C$10+Projects!$D$10),Projects!$B$10*(1-SUMPRODUCT((Curves!$B$4:$AO$4)*(COLUMN(Curves!$B$4:$AO$4)-COLUMN(Curves!$B$4)+1&lt;=87-Projects!$C$10+1))),0)</f>
        <v>0</v>
      </c>
      <c r="CL13" s="287" t="n">
        <f aca="false">IF(AND(Projects!$G$10="Yes",Projects!$F$10="Yes",88&gt;=Projects!$C$10,88&lt;Projects!$C$10+Projects!$D$10),Projects!$B$10*(1-SUMPRODUCT((Curves!$B$4:$AO$4)*(COLUMN(Curves!$B$4:$AO$4)-COLUMN(Curves!$B$4)+1&lt;=88-Projects!$C$10+1))),0)</f>
        <v>0</v>
      </c>
      <c r="CM13" s="287" t="n">
        <f aca="false">IF(AND(Projects!$G$10="Yes",Projects!$F$10="Yes",89&gt;=Projects!$C$10,89&lt;Projects!$C$10+Projects!$D$10),Projects!$B$10*(1-SUMPRODUCT((Curves!$B$4:$AO$4)*(COLUMN(Curves!$B$4:$AO$4)-COLUMN(Curves!$B$4)+1&lt;=89-Projects!$C$10+1))),0)</f>
        <v>0</v>
      </c>
      <c r="CN13" s="287" t="n">
        <f aca="false">IF(AND(Projects!$G$10="Yes",Projects!$F$10="Yes",90&gt;=Projects!$C$10,90&lt;Projects!$C$10+Projects!$D$10),Projects!$B$10*(1-SUMPRODUCT((Curves!$B$4:$AO$4)*(COLUMN(Curves!$B$4:$AO$4)-COLUMN(Curves!$B$4)+1&lt;=90-Projects!$C$10+1))),0)</f>
        <v>0</v>
      </c>
      <c r="CO13" s="287" t="n">
        <f aca="false">IF(AND(Projects!$G$10="Yes",Projects!$F$10="Yes",91&gt;=Projects!$C$10,91&lt;Projects!$C$10+Projects!$D$10),Projects!$B$10*(1-SUMPRODUCT((Curves!$B$4:$AO$4)*(COLUMN(Curves!$B$4:$AO$4)-COLUMN(Curves!$B$4)+1&lt;=91-Projects!$C$10+1))),0)</f>
        <v>0</v>
      </c>
      <c r="CP13" s="287" t="n">
        <f aca="false">IF(AND(Projects!$G$10="Yes",Projects!$F$10="Yes",92&gt;=Projects!$C$10,92&lt;Projects!$C$10+Projects!$D$10),Projects!$B$10*(1-SUMPRODUCT((Curves!$B$4:$AO$4)*(COLUMN(Curves!$B$4:$AO$4)-COLUMN(Curves!$B$4)+1&lt;=92-Projects!$C$10+1))),0)</f>
        <v>0</v>
      </c>
      <c r="CQ13" s="28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7" t="n">
        <f aca="false">IF(AND(Projects!$G$13="Yes",Projects!$F$13="Yes",1&gt;=Projects!$C$13,1&lt;Projects!$C$13+Projects!$D$13),Projects!$B$13*(1-SUMPRODUCT((Curves!$B$2:$AO$2)*(COLUMN(Curves!$B$2:$AO$2)-COLUMN(Curves!$B$2)+1&lt;=1-Projects!$C$13+1))),0)</f>
        <v>0</v>
      </c>
      <c r="D14" s="287" t="n">
        <f aca="false">IF(AND(Projects!$G$13="Yes",Projects!$F$13="Yes",2&gt;=Projects!$C$13,2&lt;Projects!$C$13+Projects!$D$13),Projects!$B$13*(1-SUMPRODUCT((Curves!$B$2:$AO$2)*(COLUMN(Curves!$B$2:$AO$2)-COLUMN(Curves!$B$2)+1&lt;=2-Projects!$C$13+1))),0)</f>
        <v>0</v>
      </c>
      <c r="E14" s="287" t="n">
        <f aca="false">IF(AND(Projects!$G$13="Yes",Projects!$F$13="Yes",3&gt;=Projects!$C$13,3&lt;Projects!$C$13+Projects!$D$13),Projects!$B$13*(1-SUMPRODUCT((Curves!$B$2:$AO$2)*(COLUMN(Curves!$B$2:$AO$2)-COLUMN(Curves!$B$2)+1&lt;=3-Projects!$C$13+1))),0)</f>
        <v>0</v>
      </c>
      <c r="F14" s="287" t="n">
        <f aca="false">IF(AND(Projects!$G$13="Yes",Projects!$F$13="Yes",4&gt;=Projects!$C$13,4&lt;Projects!$C$13+Projects!$D$13),Projects!$B$13*(1-SUMPRODUCT((Curves!$B$2:$AO$2)*(COLUMN(Curves!$B$2:$AO$2)-COLUMN(Curves!$B$2)+1&lt;=4-Projects!$C$13+1))),0)</f>
        <v>0</v>
      </c>
      <c r="G14" s="287" t="n">
        <f aca="false">IF(AND(Projects!$G$13="Yes",Projects!$F$13="Yes",5&gt;=Projects!$C$13,5&lt;Projects!$C$13+Projects!$D$13),Projects!$B$13*(1-SUMPRODUCT((Curves!$B$2:$AO$2)*(COLUMN(Curves!$B$2:$AO$2)-COLUMN(Curves!$B$2)+1&lt;=5-Projects!$C$13+1))),0)</f>
        <v>0</v>
      </c>
      <c r="H14" s="287" t="n">
        <f aca="false">IF(AND(Projects!$G$13="Yes",Projects!$F$13="Yes",6&gt;=Projects!$C$13,6&lt;Projects!$C$13+Projects!$D$13),Projects!$B$13*(1-SUMPRODUCT((Curves!$B$2:$AO$2)*(COLUMN(Curves!$B$2:$AO$2)-COLUMN(Curves!$B$2)+1&lt;=6-Projects!$C$13+1))),0)</f>
        <v>0</v>
      </c>
      <c r="I14" s="287" t="n">
        <f aca="false">IF(AND(Projects!$G$13="Yes",Projects!$F$13="Yes",7&gt;=Projects!$C$13,7&lt;Projects!$C$13+Projects!$D$13),Projects!$B$13*(1-SUMPRODUCT((Curves!$B$2:$AO$2)*(COLUMN(Curves!$B$2:$AO$2)-COLUMN(Curves!$B$2)+1&lt;=7-Projects!$C$13+1))),0)</f>
        <v>0</v>
      </c>
      <c r="J14" s="287" t="n">
        <f aca="false">IF(AND(Projects!$G$13="Yes",Projects!$F$13="Yes",8&gt;=Projects!$C$13,8&lt;Projects!$C$13+Projects!$D$13),Projects!$B$13*(1-SUMPRODUCT((Curves!$B$2:$AO$2)*(COLUMN(Curves!$B$2:$AO$2)-COLUMN(Curves!$B$2)+1&lt;=8-Projects!$C$13+1))),0)</f>
        <v>0</v>
      </c>
      <c r="K14" s="287" t="n">
        <f aca="false">IF(AND(Projects!$G$13="Yes",Projects!$F$13="Yes",9&gt;=Projects!$C$13,9&lt;Projects!$C$13+Projects!$D$13),Projects!$B$13*(1-SUMPRODUCT((Curves!$B$2:$AO$2)*(COLUMN(Curves!$B$2:$AO$2)-COLUMN(Curves!$B$2)+1&lt;=9-Projects!$C$13+1))),0)</f>
        <v>0</v>
      </c>
      <c r="L14" s="287" t="n">
        <f aca="false">IF(AND(Projects!$G$13="Yes",Projects!$F$13="Yes",10&gt;=Projects!$C$13,10&lt;Projects!$C$13+Projects!$D$13),Projects!$B$13*(1-SUMPRODUCT((Curves!$B$2:$AO$2)*(COLUMN(Curves!$B$2:$AO$2)-COLUMN(Curves!$B$2)+1&lt;=10-Projects!$C$13+1))),0)</f>
        <v>0</v>
      </c>
      <c r="M14" s="287" t="n">
        <f aca="false">IF(AND(Projects!$G$13="Yes",Projects!$F$13="Yes",11&gt;=Projects!$C$13,11&lt;Projects!$C$13+Projects!$D$13),Projects!$B$13*(1-SUMPRODUCT((Curves!$B$2:$AO$2)*(COLUMN(Curves!$B$2:$AO$2)-COLUMN(Curves!$B$2)+1&lt;=11-Projects!$C$13+1))),0)</f>
        <v>0</v>
      </c>
      <c r="N14" s="287" t="n">
        <f aca="false">IF(AND(Projects!$G$13="Yes",Projects!$F$13="Yes",12&gt;=Projects!$C$13,12&lt;Projects!$C$13+Projects!$D$13),Projects!$B$13*(1-SUMPRODUCT((Curves!$B$2:$AO$2)*(COLUMN(Curves!$B$2:$AO$2)-COLUMN(Curves!$B$2)+1&lt;=12-Projects!$C$13+1))),0)</f>
        <v>0</v>
      </c>
      <c r="O14" s="287" t="n">
        <f aca="false">IF(AND(Projects!$G$13="Yes",Projects!$F$13="Yes",13&gt;=Projects!$C$13,13&lt;Projects!$C$13+Projects!$D$13),Projects!$B$13*(1-SUMPRODUCT((Curves!$B$2:$AO$2)*(COLUMN(Curves!$B$2:$AO$2)-COLUMN(Curves!$B$2)+1&lt;=13-Projects!$C$13+1))),0)</f>
        <v>44537929.73623</v>
      </c>
      <c r="P14" s="287" t="n">
        <f aca="false">IF(AND(Projects!$G$13="Yes",Projects!$F$13="Yes",14&gt;=Projects!$C$13,14&lt;Projects!$C$13+Projects!$D$13),Projects!$B$13*(1-SUMPRODUCT((Curves!$B$2:$AO$2)*(COLUMN(Curves!$B$2:$AO$2)-COLUMN(Curves!$B$2)+1&lt;=14-Projects!$C$13+1))),0)</f>
        <v>43699679.68937</v>
      </c>
      <c r="Q14" s="287" t="n">
        <f aca="false">IF(AND(Projects!$G$13="Yes",Projects!$F$13="Yes",15&gt;=Projects!$C$13,15&lt;Projects!$C$13+Projects!$D$13),Projects!$B$13*(1-SUMPRODUCT((Curves!$B$2:$AO$2)*(COLUMN(Curves!$B$2:$AO$2)-COLUMN(Curves!$B$2)+1&lt;=15-Projects!$C$13+1))),0)</f>
        <v>42745139.31038</v>
      </c>
      <c r="R14" s="287" t="n">
        <f aca="false">IF(AND(Projects!$G$13="Yes",Projects!$F$13="Yes",16&gt;=Projects!$C$13,16&lt;Projects!$C$13+Projects!$D$13),Projects!$B$13*(1-SUMPRODUCT((Curves!$B$2:$AO$2)*(COLUMN(Curves!$B$2:$AO$2)-COLUMN(Curves!$B$2)+1&lt;=16-Projects!$C$13+1))),0)</f>
        <v>41669012.38717</v>
      </c>
      <c r="S14" s="287" t="n">
        <f aca="false">IF(AND(Projects!$G$13="Yes",Projects!$F$13="Yes",17&gt;=Projects!$C$13,17&lt;Projects!$C$13+Projects!$D$13),Projects!$B$13*(1-SUMPRODUCT((Curves!$B$2:$AO$2)*(COLUMN(Curves!$B$2:$AO$2)-COLUMN(Curves!$B$2)+1&lt;=17-Projects!$C$13+1))),0)</f>
        <v>40467858.64522</v>
      </c>
      <c r="T14" s="287" t="n">
        <f aca="false">IF(AND(Projects!$G$13="Yes",Projects!$F$13="Yes",18&gt;=Projects!$C$13,18&lt;Projects!$C$13+Projects!$D$13),Projects!$B$13*(1-SUMPRODUCT((Curves!$B$2:$AO$2)*(COLUMN(Curves!$B$2:$AO$2)-COLUMN(Curves!$B$2)+1&lt;=18-Projects!$C$13+1))),0)</f>
        <v>39140501.14851</v>
      </c>
      <c r="U14" s="287" t="n">
        <f aca="false">IF(AND(Projects!$G$13="Yes",Projects!$F$13="Yes",19&gt;=Projects!$C$13,19&lt;Projects!$C$13+Projects!$D$13),Projects!$B$13*(1-SUMPRODUCT((Curves!$B$2:$AO$2)*(COLUMN(Curves!$B$2:$AO$2)-COLUMN(Curves!$B$2)+1&lt;=19-Projects!$C$13+1))),0)</f>
        <v>37688252.63337</v>
      </c>
      <c r="V14" s="287" t="n">
        <f aca="false">IF(AND(Projects!$G$13="Yes",Projects!$F$13="Yes",20&gt;=Projects!$C$13,20&lt;Projects!$C$13+Projects!$D$13),Projects!$B$13*(1-SUMPRODUCT((Curves!$B$2:$AO$2)*(COLUMN(Curves!$B$2:$AO$2)-COLUMN(Curves!$B$2)+1&lt;=20-Projects!$C$13+1))),0)</f>
        <v>36115141.84233</v>
      </c>
      <c r="W14" s="287" t="n">
        <f aca="false">IF(AND(Projects!$G$13="Yes",Projects!$F$13="Yes",21&gt;=Projects!$C$13,21&lt;Projects!$C$13+Projects!$D$13),Projects!$B$13*(1-SUMPRODUCT((Curves!$B$2:$AO$2)*(COLUMN(Curves!$B$2:$AO$2)-COLUMN(Curves!$B$2)+1&lt;=21-Projects!$C$13+1))),0)</f>
        <v>34428094.5912</v>
      </c>
      <c r="X14" s="287" t="n">
        <f aca="false">IF(AND(Projects!$G$13="Yes",Projects!$F$13="Yes",22&gt;=Projects!$C$13,22&lt;Projects!$C$13+Projects!$D$13),Projects!$B$13*(1-SUMPRODUCT((Curves!$B$2:$AO$2)*(COLUMN(Curves!$B$2:$AO$2)-COLUMN(Curves!$B$2)+1&lt;=22-Projects!$C$13+1))),0)</f>
        <v>32636797.96876</v>
      </c>
      <c r="Y14" s="287" t="n">
        <f aca="false">IF(AND(Projects!$G$13="Yes",Projects!$F$13="Yes",23&gt;=Projects!$C$13,23&lt;Projects!$C$13+Projects!$D$13),Projects!$B$13*(1-SUMPRODUCT((Curves!$B$2:$AO$2)*(COLUMN(Curves!$B$2:$AO$2)-COLUMN(Curves!$B$2)+1&lt;=23-Projects!$C$13+1))),0)</f>
        <v>30753745.60353</v>
      </c>
      <c r="Z14" s="287" t="n">
        <f aca="false">IF(AND(Projects!$G$13="Yes",Projects!$F$13="Yes",24&gt;=Projects!$C$13,24&lt;Projects!$C$13+Projects!$D$13),Projects!$B$13*(1-SUMPRODUCT((Curves!$B$2:$AO$2)*(COLUMN(Curves!$B$2:$AO$2)-COLUMN(Curves!$B$2)+1&lt;=24-Projects!$C$13+1))),0)</f>
        <v>28793920.79638</v>
      </c>
      <c r="AA14" s="287" t="n">
        <f aca="false">IF(AND(Projects!$G$13="Yes",Projects!$F$13="Yes",25&gt;=Projects!$C$13,25&lt;Projects!$C$13+Projects!$D$13),Projects!$B$13*(1-SUMPRODUCT((Curves!$B$2:$AO$2)*(COLUMN(Curves!$B$2:$AO$2)-COLUMN(Curves!$B$2)+1&lt;=25-Projects!$C$13+1))),0)</f>
        <v>26774434.38637</v>
      </c>
      <c r="AB14" s="287" t="n">
        <f aca="false">IF(AND(Projects!$G$13="Yes",Projects!$F$13="Yes",26&gt;=Projects!$C$13,26&lt;Projects!$C$13+Projects!$D$13),Projects!$B$13*(1-SUMPRODUCT((Curves!$B$2:$AO$2)*(COLUMN(Curves!$B$2:$AO$2)-COLUMN(Curves!$B$2)+1&lt;=26-Projects!$C$13+1))),0)</f>
        <v>24714207.88336</v>
      </c>
      <c r="AC14" s="287" t="n">
        <f aca="false">IF(AND(Projects!$G$13="Yes",Projects!$F$13="Yes",27&gt;=Projects!$C$13,27&lt;Projects!$C$13+Projects!$D$13),Projects!$B$13*(1-SUMPRODUCT((Curves!$B$2:$AO$2)*(COLUMN(Curves!$B$2:$AO$2)-COLUMN(Curves!$B$2)+1&lt;=27-Projects!$C$13+1))),0)</f>
        <v>22633294.46646</v>
      </c>
      <c r="AD14" s="287" t="n">
        <f aca="false">IF(AND(Projects!$G$13="Yes",Projects!$F$13="Yes",28&gt;=Projects!$C$13,28&lt;Projects!$C$13+Projects!$D$13),Projects!$B$13*(1-SUMPRODUCT((Curves!$B$2:$AO$2)*(COLUMN(Curves!$B$2:$AO$2)-COLUMN(Curves!$B$2)+1&lt;=28-Projects!$C$13+1))),0)</f>
        <v>20552381.04956</v>
      </c>
      <c r="AE14" s="287" t="n">
        <f aca="false">IF(AND(Projects!$G$13="Yes",Projects!$F$13="Yes",29&gt;=Projects!$C$13,29&lt;Projects!$C$13+Projects!$D$13),Projects!$B$13*(1-SUMPRODUCT((Curves!$B$2:$AO$2)*(COLUMN(Curves!$B$2:$AO$2)-COLUMN(Curves!$B$2)+1&lt;=29-Projects!$C$13+1))),0)</f>
        <v>18492154.54655</v>
      </c>
      <c r="AF14" s="287" t="n">
        <f aca="false">IF(AND(Projects!$G$13="Yes",Projects!$F$13="Yes",30&gt;=Projects!$C$13,30&lt;Projects!$C$13+Projects!$D$13),Projects!$B$13*(1-SUMPRODUCT((Curves!$B$2:$AO$2)*(COLUMN(Curves!$B$2:$AO$2)-COLUMN(Curves!$B$2)+1&lt;=30-Projects!$C$13+1))),0)</f>
        <v>16472668.13654</v>
      </c>
      <c r="AG14" s="287" t="n">
        <f aca="false">IF(AND(Projects!$G$13="Yes",Projects!$F$13="Yes",31&gt;=Projects!$C$13,31&lt;Projects!$C$13+Projects!$D$13),Projects!$B$13*(1-SUMPRODUCT((Curves!$B$2:$AO$2)*(COLUMN(Curves!$B$2:$AO$2)-COLUMN(Curves!$B$2)+1&lt;=31-Projects!$C$13+1))),0)</f>
        <v>14512843.32939</v>
      </c>
      <c r="AH14" s="287" t="n">
        <f aca="false">IF(AND(Projects!$G$13="Yes",Projects!$F$13="Yes",32&gt;=Projects!$C$13,32&lt;Projects!$C$13+Projects!$D$13),Projects!$B$13*(1-SUMPRODUCT((Curves!$B$2:$AO$2)*(COLUMN(Curves!$B$2:$AO$2)-COLUMN(Curves!$B$2)+1&lt;=32-Projects!$C$13+1))),0)</f>
        <v>12629790.96416</v>
      </c>
      <c r="AI14" s="287" t="n">
        <f aca="false">IF(AND(Projects!$G$13="Yes",Projects!$F$13="Yes",33&gt;=Projects!$C$13,33&lt;Projects!$C$13+Projects!$D$13),Projects!$B$13*(1-SUMPRODUCT((Curves!$B$2:$AO$2)*(COLUMN(Curves!$B$2:$AO$2)-COLUMN(Curves!$B$2)+1&lt;=33-Projects!$C$13+1))),0)</f>
        <v>10838494.34172</v>
      </c>
      <c r="AJ14" s="287" t="n">
        <f aca="false">IF(AND(Projects!$G$13="Yes",Projects!$F$13="Yes",34&gt;=Projects!$C$13,34&lt;Projects!$C$13+Projects!$D$13),Projects!$B$13*(1-SUMPRODUCT((Curves!$B$2:$AO$2)*(COLUMN(Curves!$B$2:$AO$2)-COLUMN(Curves!$B$2)+1&lt;=34-Projects!$C$13+1))),0)</f>
        <v>9151447.09059</v>
      </c>
      <c r="AK14" s="287" t="n">
        <f aca="false">IF(AND(Projects!$G$13="Yes",Projects!$F$13="Yes",35&gt;=Projects!$C$13,35&lt;Projects!$C$13+Projects!$D$13),Projects!$B$13*(1-SUMPRODUCT((Curves!$B$2:$AO$2)*(COLUMN(Curves!$B$2:$AO$2)-COLUMN(Curves!$B$2)+1&lt;=35-Projects!$C$13+1))),0)</f>
        <v>7578336.29955</v>
      </c>
      <c r="AL14" s="287" t="n">
        <f aca="false">IF(AND(Projects!$G$13="Yes",Projects!$F$13="Yes",36&gt;=Projects!$C$13,36&lt;Projects!$C$13+Projects!$D$13),Projects!$B$13*(1-SUMPRODUCT((Curves!$B$2:$AO$2)*(COLUMN(Curves!$B$2:$AO$2)-COLUMN(Curves!$B$2)+1&lt;=36-Projects!$C$13+1))),0)</f>
        <v>6126087.78441</v>
      </c>
      <c r="AM14" s="287" t="n">
        <f aca="false">IF(AND(Projects!$G$13="Yes",Projects!$F$13="Yes",37&gt;=Projects!$C$13,37&lt;Projects!$C$13+Projects!$D$13),Projects!$B$13*(1-SUMPRODUCT((Curves!$B$2:$AO$2)*(COLUMN(Curves!$B$2:$AO$2)-COLUMN(Curves!$B$2)+1&lt;=37-Projects!$C$13+1))),0)</f>
        <v>4798730.2877</v>
      </c>
      <c r="AN14" s="287" t="n">
        <f aca="false">IF(AND(Projects!$G$13="Yes",Projects!$F$13="Yes",38&gt;=Projects!$C$13,38&lt;Projects!$C$13+Projects!$D$13),Projects!$B$13*(1-SUMPRODUCT((Curves!$B$2:$AO$2)*(COLUMN(Curves!$B$2:$AO$2)-COLUMN(Curves!$B$2)+1&lt;=38-Projects!$C$13+1))),0)</f>
        <v>3597576.54575</v>
      </c>
      <c r="AO14" s="287" t="n">
        <f aca="false">IF(AND(Projects!$G$13="Yes",Projects!$F$13="Yes",39&gt;=Projects!$C$13,39&lt;Projects!$C$13+Projects!$D$13),Projects!$B$13*(1-SUMPRODUCT((Curves!$B$2:$AO$2)*(COLUMN(Curves!$B$2:$AO$2)-COLUMN(Curves!$B$2)+1&lt;=39-Projects!$C$13+1))),0)</f>
        <v>2521449.62254</v>
      </c>
      <c r="AP14" s="287" t="n">
        <f aca="false">IF(AND(Projects!$G$13="Yes",Projects!$F$13="Yes",40&gt;=Projects!$C$13,40&lt;Projects!$C$13+Projects!$D$13),Projects!$B$13*(1-SUMPRODUCT((Curves!$B$2:$AO$2)*(COLUMN(Curves!$B$2:$AO$2)-COLUMN(Curves!$B$2)+1&lt;=40-Projects!$C$13+1))),0)</f>
        <v>1566909.24355</v>
      </c>
      <c r="AQ14" s="287" t="n">
        <f aca="false">IF(AND(Projects!$G$13="Yes",Projects!$F$13="Yes",41&gt;=Projects!$C$13,41&lt;Projects!$C$13+Projects!$D$13),Projects!$B$13*(1-SUMPRODUCT((Curves!$B$2:$AO$2)*(COLUMN(Curves!$B$2:$AO$2)-COLUMN(Curves!$B$2)+1&lt;=41-Projects!$C$13+1))),0)</f>
        <v>728659.196690001</v>
      </c>
      <c r="AR14" s="287" t="n">
        <f aca="false">IF(AND(Projects!$G$13="Yes",Projects!$F$13="Yes",42&gt;=Projects!$C$13,42&lt;Projects!$C$13+Projects!$D$13),Projects!$B$13*(1-SUMPRODUCT((Curves!$B$2:$AO$2)*(COLUMN(Curves!$B$2:$AO$2)-COLUMN(Curves!$B$2)+1&lt;=42-Projects!$C$13+1))),0)</f>
        <v>-181.067079995155</v>
      </c>
      <c r="AS14" s="287" t="n">
        <f aca="false">IF(AND(Projects!$G$13="Yes",Projects!$F$13="Yes",43&gt;=Projects!$C$13,43&lt;Projects!$C$13+Projects!$D$13),Projects!$B$13*(1-SUMPRODUCT((Curves!$B$2:$AO$2)*(COLUMN(Curves!$B$2:$AO$2)-COLUMN(Curves!$B$2)+1&lt;=43-Projects!$C$13+1))),0)</f>
        <v>0</v>
      </c>
      <c r="AT14" s="287" t="n">
        <f aca="false">IF(AND(Projects!$G$13="Yes",Projects!$F$13="Yes",44&gt;=Projects!$C$13,44&lt;Projects!$C$13+Projects!$D$13),Projects!$B$13*(1-SUMPRODUCT((Curves!$B$2:$AO$2)*(COLUMN(Curves!$B$2:$AO$2)-COLUMN(Curves!$B$2)+1&lt;=44-Projects!$C$13+1))),0)</f>
        <v>0</v>
      </c>
      <c r="AU14" s="287" t="n">
        <f aca="false">IF(AND(Projects!$G$13="Yes",Projects!$F$13="Yes",45&gt;=Projects!$C$13,45&lt;Projects!$C$13+Projects!$D$13),Projects!$B$13*(1-SUMPRODUCT((Curves!$B$2:$AO$2)*(COLUMN(Curves!$B$2:$AO$2)-COLUMN(Curves!$B$2)+1&lt;=45-Projects!$C$13+1))),0)</f>
        <v>0</v>
      </c>
      <c r="AV14" s="287" t="n">
        <f aca="false">IF(AND(Projects!$G$13="Yes",Projects!$F$13="Yes",46&gt;=Projects!$C$13,46&lt;Projects!$C$13+Projects!$D$13),Projects!$B$13*(1-SUMPRODUCT((Curves!$B$2:$AO$2)*(COLUMN(Curves!$B$2:$AO$2)-COLUMN(Curves!$B$2)+1&lt;=46-Projects!$C$13+1))),0)</f>
        <v>0</v>
      </c>
      <c r="AW14" s="287" t="n">
        <f aca="false">IF(AND(Projects!$G$13="Yes",Projects!$F$13="Yes",47&gt;=Projects!$C$13,47&lt;Projects!$C$13+Projects!$D$13),Projects!$B$13*(1-SUMPRODUCT((Curves!$B$2:$AO$2)*(COLUMN(Curves!$B$2:$AO$2)-COLUMN(Curves!$B$2)+1&lt;=47-Projects!$C$13+1))),0)</f>
        <v>0</v>
      </c>
      <c r="AX14" s="287" t="n">
        <f aca="false">IF(AND(Projects!$G$13="Yes",Projects!$F$13="Yes",48&gt;=Projects!$C$13,48&lt;Projects!$C$13+Projects!$D$13),Projects!$B$13*(1-SUMPRODUCT((Curves!$B$2:$AO$2)*(COLUMN(Curves!$B$2:$AO$2)-COLUMN(Curves!$B$2)+1&lt;=48-Projects!$C$13+1))),0)</f>
        <v>0</v>
      </c>
      <c r="AY14" s="287" t="n">
        <f aca="false">IF(AND(Projects!$G$13="Yes",Projects!$F$13="Yes",49&gt;=Projects!$C$13,49&lt;Projects!$C$13+Projects!$D$13),Projects!$B$13*(1-SUMPRODUCT((Curves!$B$2:$AO$2)*(COLUMN(Curves!$B$2:$AO$2)-COLUMN(Curves!$B$2)+1&lt;=49-Projects!$C$13+1))),0)</f>
        <v>0</v>
      </c>
      <c r="AZ14" s="287" t="n">
        <f aca="false">IF(AND(Projects!$G$13="Yes",Projects!$F$13="Yes",50&gt;=Projects!$C$13,50&lt;Projects!$C$13+Projects!$D$13),Projects!$B$13*(1-SUMPRODUCT((Curves!$B$2:$AO$2)*(COLUMN(Curves!$B$2:$AO$2)-COLUMN(Curves!$B$2)+1&lt;=50-Projects!$C$13+1))),0)</f>
        <v>0</v>
      </c>
      <c r="BA14" s="287" t="n">
        <f aca="false">IF(AND(Projects!$G$13="Yes",Projects!$F$13="Yes",51&gt;=Projects!$C$13,51&lt;Projects!$C$13+Projects!$D$13),Projects!$B$13*(1-SUMPRODUCT((Curves!$B$2:$AO$2)*(COLUMN(Curves!$B$2:$AO$2)-COLUMN(Curves!$B$2)+1&lt;=51-Projects!$C$13+1))),0)</f>
        <v>0</v>
      </c>
      <c r="BB14" s="287" t="n">
        <f aca="false">IF(AND(Projects!$G$13="Yes",Projects!$F$13="Yes",52&gt;=Projects!$C$13,52&lt;Projects!$C$13+Projects!$D$13),Projects!$B$13*(1-SUMPRODUCT((Curves!$B$2:$AO$2)*(COLUMN(Curves!$B$2:$AO$2)-COLUMN(Curves!$B$2)+1&lt;=52-Projects!$C$13+1))),0)</f>
        <v>0</v>
      </c>
      <c r="BC14" s="287" t="n">
        <f aca="false">IF(AND(Projects!$G$13="Yes",Projects!$F$13="Yes",53&gt;=Projects!$C$13,53&lt;Projects!$C$13+Projects!$D$13),Projects!$B$13*(1-SUMPRODUCT((Curves!$B$2:$AO$2)*(COLUMN(Curves!$B$2:$AO$2)-COLUMN(Curves!$B$2)+1&lt;=53-Projects!$C$13+1))),0)</f>
        <v>0</v>
      </c>
      <c r="BD14" s="287" t="n">
        <f aca="false">IF(AND(Projects!$G$13="Yes",Projects!$F$13="Yes",54&gt;=Projects!$C$13,54&lt;Projects!$C$13+Projects!$D$13),Projects!$B$13*(1-SUMPRODUCT((Curves!$B$2:$AO$2)*(COLUMN(Curves!$B$2:$AO$2)-COLUMN(Curves!$B$2)+1&lt;=54-Projects!$C$13+1))),0)</f>
        <v>0</v>
      </c>
      <c r="BE14" s="287" t="n">
        <f aca="false">IF(AND(Projects!$G$13="Yes",Projects!$F$13="Yes",55&gt;=Projects!$C$13,55&lt;Projects!$C$13+Projects!$D$13),Projects!$B$13*(1-SUMPRODUCT((Curves!$B$2:$AO$2)*(COLUMN(Curves!$B$2:$AO$2)-COLUMN(Curves!$B$2)+1&lt;=55-Projects!$C$13+1))),0)</f>
        <v>0</v>
      </c>
      <c r="BF14" s="287" t="n">
        <f aca="false">IF(AND(Projects!$G$13="Yes",Projects!$F$13="Yes",56&gt;=Projects!$C$13,56&lt;Projects!$C$13+Projects!$D$13),Projects!$B$13*(1-SUMPRODUCT((Curves!$B$2:$AO$2)*(COLUMN(Curves!$B$2:$AO$2)-COLUMN(Curves!$B$2)+1&lt;=56-Projects!$C$13+1))),0)</f>
        <v>0</v>
      </c>
      <c r="BG14" s="287" t="n">
        <f aca="false">IF(AND(Projects!$G$13="Yes",Projects!$F$13="Yes",57&gt;=Projects!$C$13,57&lt;Projects!$C$13+Projects!$D$13),Projects!$B$13*(1-SUMPRODUCT((Curves!$B$2:$AO$2)*(COLUMN(Curves!$B$2:$AO$2)-COLUMN(Curves!$B$2)+1&lt;=57-Projects!$C$13+1))),0)</f>
        <v>0</v>
      </c>
      <c r="BH14" s="287" t="n">
        <f aca="false">IF(AND(Projects!$G$13="Yes",Projects!$F$13="Yes",58&gt;=Projects!$C$13,58&lt;Projects!$C$13+Projects!$D$13),Projects!$B$13*(1-SUMPRODUCT((Curves!$B$2:$AO$2)*(COLUMN(Curves!$B$2:$AO$2)-COLUMN(Curves!$B$2)+1&lt;=58-Projects!$C$13+1))),0)</f>
        <v>0</v>
      </c>
      <c r="BI14" s="287" t="n">
        <f aca="false">IF(AND(Projects!$G$13="Yes",Projects!$F$13="Yes",59&gt;=Projects!$C$13,59&lt;Projects!$C$13+Projects!$D$13),Projects!$B$13*(1-SUMPRODUCT((Curves!$B$2:$AO$2)*(COLUMN(Curves!$B$2:$AO$2)-COLUMN(Curves!$B$2)+1&lt;=59-Projects!$C$13+1))),0)</f>
        <v>0</v>
      </c>
      <c r="BJ14" s="287" t="n">
        <f aca="false">IF(AND(Projects!$G$13="Yes",Projects!$F$13="Yes",60&gt;=Projects!$C$13,60&lt;Projects!$C$13+Projects!$D$13),Projects!$B$13*(1-SUMPRODUCT((Curves!$B$2:$AO$2)*(COLUMN(Curves!$B$2:$AO$2)-COLUMN(Curves!$B$2)+1&lt;=60-Projects!$C$13+1))),0)</f>
        <v>0</v>
      </c>
      <c r="BK14" s="287" t="n">
        <f aca="false">IF(AND(Projects!$G$13="Yes",Projects!$F$13="Yes",61&gt;=Projects!$C$13,61&lt;Projects!$C$13+Projects!$D$13),Projects!$B$13*(1-SUMPRODUCT((Curves!$B$2:$AO$2)*(COLUMN(Curves!$B$2:$AO$2)-COLUMN(Curves!$B$2)+1&lt;=61-Projects!$C$13+1))),0)</f>
        <v>0</v>
      </c>
      <c r="BL14" s="287" t="n">
        <f aca="false">IF(AND(Projects!$G$13="Yes",Projects!$F$13="Yes",62&gt;=Projects!$C$13,62&lt;Projects!$C$13+Projects!$D$13),Projects!$B$13*(1-SUMPRODUCT((Curves!$B$2:$AO$2)*(COLUMN(Curves!$B$2:$AO$2)-COLUMN(Curves!$B$2)+1&lt;=62-Projects!$C$13+1))),0)</f>
        <v>0</v>
      </c>
      <c r="BM14" s="287" t="n">
        <f aca="false">IF(AND(Projects!$G$13="Yes",Projects!$F$13="Yes",63&gt;=Projects!$C$13,63&lt;Projects!$C$13+Projects!$D$13),Projects!$B$13*(1-SUMPRODUCT((Curves!$B$2:$AO$2)*(COLUMN(Curves!$B$2:$AO$2)-COLUMN(Curves!$B$2)+1&lt;=63-Projects!$C$13+1))),0)</f>
        <v>0</v>
      </c>
      <c r="BN14" s="287" t="n">
        <f aca="false">IF(AND(Projects!$G$13="Yes",Projects!$F$13="Yes",64&gt;=Projects!$C$13,64&lt;Projects!$C$13+Projects!$D$13),Projects!$B$13*(1-SUMPRODUCT((Curves!$B$2:$AO$2)*(COLUMN(Curves!$B$2:$AO$2)-COLUMN(Curves!$B$2)+1&lt;=64-Projects!$C$13+1))),0)</f>
        <v>0</v>
      </c>
      <c r="BO14" s="287" t="n">
        <f aca="false">IF(AND(Projects!$G$13="Yes",Projects!$F$13="Yes",65&gt;=Projects!$C$13,65&lt;Projects!$C$13+Projects!$D$13),Projects!$B$13*(1-SUMPRODUCT((Curves!$B$2:$AO$2)*(COLUMN(Curves!$B$2:$AO$2)-COLUMN(Curves!$B$2)+1&lt;=65-Projects!$C$13+1))),0)</f>
        <v>0</v>
      </c>
      <c r="BP14" s="287" t="n">
        <f aca="false">IF(AND(Projects!$G$13="Yes",Projects!$F$13="Yes",66&gt;=Projects!$C$13,66&lt;Projects!$C$13+Projects!$D$13),Projects!$B$13*(1-SUMPRODUCT((Curves!$B$2:$AO$2)*(COLUMN(Curves!$B$2:$AO$2)-COLUMN(Curves!$B$2)+1&lt;=66-Projects!$C$13+1))),0)</f>
        <v>0</v>
      </c>
      <c r="BQ14" s="287" t="n">
        <f aca="false">IF(AND(Projects!$G$13="Yes",Projects!$F$13="Yes",67&gt;=Projects!$C$13,67&lt;Projects!$C$13+Projects!$D$13),Projects!$B$13*(1-SUMPRODUCT((Curves!$B$2:$AO$2)*(COLUMN(Curves!$B$2:$AO$2)-COLUMN(Curves!$B$2)+1&lt;=67-Projects!$C$13+1))),0)</f>
        <v>0</v>
      </c>
      <c r="BR14" s="287" t="n">
        <f aca="false">IF(AND(Projects!$G$13="Yes",Projects!$F$13="Yes",68&gt;=Projects!$C$13,68&lt;Projects!$C$13+Projects!$D$13),Projects!$B$13*(1-SUMPRODUCT((Curves!$B$2:$AO$2)*(COLUMN(Curves!$B$2:$AO$2)-COLUMN(Curves!$B$2)+1&lt;=68-Projects!$C$13+1))),0)</f>
        <v>0</v>
      </c>
      <c r="BS14" s="287" t="n">
        <f aca="false">IF(AND(Projects!$G$13="Yes",Projects!$F$13="Yes",69&gt;=Projects!$C$13,69&lt;Projects!$C$13+Projects!$D$13),Projects!$B$13*(1-SUMPRODUCT((Curves!$B$2:$AO$2)*(COLUMN(Curves!$B$2:$AO$2)-COLUMN(Curves!$B$2)+1&lt;=69-Projects!$C$13+1))),0)</f>
        <v>0</v>
      </c>
      <c r="BT14" s="287" t="n">
        <f aca="false">IF(AND(Projects!$G$13="Yes",Projects!$F$13="Yes",70&gt;=Projects!$C$13,70&lt;Projects!$C$13+Projects!$D$13),Projects!$B$13*(1-SUMPRODUCT((Curves!$B$2:$AO$2)*(COLUMN(Curves!$B$2:$AO$2)-COLUMN(Curves!$B$2)+1&lt;=70-Projects!$C$13+1))),0)</f>
        <v>0</v>
      </c>
      <c r="BU14" s="287" t="n">
        <f aca="false">IF(AND(Projects!$G$13="Yes",Projects!$F$13="Yes",71&gt;=Projects!$C$13,71&lt;Projects!$C$13+Projects!$D$13),Projects!$B$13*(1-SUMPRODUCT((Curves!$B$2:$AO$2)*(COLUMN(Curves!$B$2:$AO$2)-COLUMN(Curves!$B$2)+1&lt;=71-Projects!$C$13+1))),0)</f>
        <v>0</v>
      </c>
      <c r="BV14" s="287" t="n">
        <f aca="false">IF(AND(Projects!$G$13="Yes",Projects!$F$13="Yes",72&gt;=Projects!$C$13,72&lt;Projects!$C$13+Projects!$D$13),Projects!$B$13*(1-SUMPRODUCT((Curves!$B$2:$AO$2)*(COLUMN(Curves!$B$2:$AO$2)-COLUMN(Curves!$B$2)+1&lt;=72-Projects!$C$13+1))),0)</f>
        <v>0</v>
      </c>
      <c r="BW14" s="287" t="n">
        <f aca="false">IF(AND(Projects!$G$13="Yes",Projects!$F$13="Yes",73&gt;=Projects!$C$13,73&lt;Projects!$C$13+Projects!$D$13),Projects!$B$13*(1-SUMPRODUCT((Curves!$B$2:$AO$2)*(COLUMN(Curves!$B$2:$AO$2)-COLUMN(Curves!$B$2)+1&lt;=73-Projects!$C$13+1))),0)</f>
        <v>0</v>
      </c>
      <c r="BX14" s="287" t="n">
        <f aca="false">IF(AND(Projects!$G$13="Yes",Projects!$F$13="Yes",74&gt;=Projects!$C$13,74&lt;Projects!$C$13+Projects!$D$13),Projects!$B$13*(1-SUMPRODUCT((Curves!$B$2:$AO$2)*(COLUMN(Curves!$B$2:$AO$2)-COLUMN(Curves!$B$2)+1&lt;=74-Projects!$C$13+1))),0)</f>
        <v>0</v>
      </c>
      <c r="BY14" s="287" t="n">
        <f aca="false">IF(AND(Projects!$G$13="Yes",Projects!$F$13="Yes",75&gt;=Projects!$C$13,75&lt;Projects!$C$13+Projects!$D$13),Projects!$B$13*(1-SUMPRODUCT((Curves!$B$2:$AO$2)*(COLUMN(Curves!$B$2:$AO$2)-COLUMN(Curves!$B$2)+1&lt;=75-Projects!$C$13+1))),0)</f>
        <v>0</v>
      </c>
      <c r="BZ14" s="287" t="n">
        <f aca="false">IF(AND(Projects!$G$13="Yes",Projects!$F$13="Yes",76&gt;=Projects!$C$13,76&lt;Projects!$C$13+Projects!$D$13),Projects!$B$13*(1-SUMPRODUCT((Curves!$B$2:$AO$2)*(COLUMN(Curves!$B$2:$AO$2)-COLUMN(Curves!$B$2)+1&lt;=76-Projects!$C$13+1))),0)</f>
        <v>0</v>
      </c>
      <c r="CA14" s="287" t="n">
        <f aca="false">IF(AND(Projects!$G$13="Yes",Projects!$F$13="Yes",77&gt;=Projects!$C$13,77&lt;Projects!$C$13+Projects!$D$13),Projects!$B$13*(1-SUMPRODUCT((Curves!$B$2:$AO$2)*(COLUMN(Curves!$B$2:$AO$2)-COLUMN(Curves!$B$2)+1&lt;=77-Projects!$C$13+1))),0)</f>
        <v>0</v>
      </c>
      <c r="CB14" s="287" t="n">
        <f aca="false">IF(AND(Projects!$G$13="Yes",Projects!$F$13="Yes",78&gt;=Projects!$C$13,78&lt;Projects!$C$13+Projects!$D$13),Projects!$B$13*(1-SUMPRODUCT((Curves!$B$2:$AO$2)*(COLUMN(Curves!$B$2:$AO$2)-COLUMN(Curves!$B$2)+1&lt;=78-Projects!$C$13+1))),0)</f>
        <v>0</v>
      </c>
      <c r="CC14" s="287" t="n">
        <f aca="false">IF(AND(Projects!$G$13="Yes",Projects!$F$13="Yes",79&gt;=Projects!$C$13,79&lt;Projects!$C$13+Projects!$D$13),Projects!$B$13*(1-SUMPRODUCT((Curves!$B$2:$AO$2)*(COLUMN(Curves!$B$2:$AO$2)-COLUMN(Curves!$B$2)+1&lt;=79-Projects!$C$13+1))),0)</f>
        <v>0</v>
      </c>
      <c r="CD14" s="287" t="n">
        <f aca="false">IF(AND(Projects!$G$13="Yes",Projects!$F$13="Yes",80&gt;=Projects!$C$13,80&lt;Projects!$C$13+Projects!$D$13),Projects!$B$13*(1-SUMPRODUCT((Curves!$B$2:$AO$2)*(COLUMN(Curves!$B$2:$AO$2)-COLUMN(Curves!$B$2)+1&lt;=80-Projects!$C$13+1))),0)</f>
        <v>0</v>
      </c>
      <c r="CE14" s="287" t="n">
        <f aca="false">IF(AND(Projects!$G$13="Yes",Projects!$F$13="Yes",81&gt;=Projects!$C$13,81&lt;Projects!$C$13+Projects!$D$13),Projects!$B$13*(1-SUMPRODUCT((Curves!$B$2:$AO$2)*(COLUMN(Curves!$B$2:$AO$2)-COLUMN(Curves!$B$2)+1&lt;=81-Projects!$C$13+1))),0)</f>
        <v>0</v>
      </c>
      <c r="CF14" s="287" t="n">
        <f aca="false">IF(AND(Projects!$G$13="Yes",Projects!$F$13="Yes",82&gt;=Projects!$C$13,82&lt;Projects!$C$13+Projects!$D$13),Projects!$B$13*(1-SUMPRODUCT((Curves!$B$2:$AO$2)*(COLUMN(Curves!$B$2:$AO$2)-COLUMN(Curves!$B$2)+1&lt;=82-Projects!$C$13+1))),0)</f>
        <v>0</v>
      </c>
      <c r="CG14" s="287" t="n">
        <f aca="false">IF(AND(Projects!$G$13="Yes",Projects!$F$13="Yes",83&gt;=Projects!$C$13,83&lt;Projects!$C$13+Projects!$D$13),Projects!$B$13*(1-SUMPRODUCT((Curves!$B$2:$AO$2)*(COLUMN(Curves!$B$2:$AO$2)-COLUMN(Curves!$B$2)+1&lt;=83-Projects!$C$13+1))),0)</f>
        <v>0</v>
      </c>
      <c r="CH14" s="287" t="n">
        <f aca="false">IF(AND(Projects!$G$13="Yes",Projects!$F$13="Yes",84&gt;=Projects!$C$13,84&lt;Projects!$C$13+Projects!$D$13),Projects!$B$13*(1-SUMPRODUCT((Curves!$B$2:$AO$2)*(COLUMN(Curves!$B$2:$AO$2)-COLUMN(Curves!$B$2)+1&lt;=84-Projects!$C$13+1))),0)</f>
        <v>0</v>
      </c>
      <c r="CI14" s="287" t="n">
        <f aca="false">IF(AND(Projects!$G$13="Yes",Projects!$F$13="Yes",85&gt;=Projects!$C$13,85&lt;Projects!$C$13+Projects!$D$13),Projects!$B$13*(1-SUMPRODUCT((Curves!$B$2:$AO$2)*(COLUMN(Curves!$B$2:$AO$2)-COLUMN(Curves!$B$2)+1&lt;=85-Projects!$C$13+1))),0)</f>
        <v>0</v>
      </c>
      <c r="CJ14" s="287" t="n">
        <f aca="false">IF(AND(Projects!$G$13="Yes",Projects!$F$13="Yes",86&gt;=Projects!$C$13,86&lt;Projects!$C$13+Projects!$D$13),Projects!$B$13*(1-SUMPRODUCT((Curves!$B$2:$AO$2)*(COLUMN(Curves!$B$2:$AO$2)-COLUMN(Curves!$B$2)+1&lt;=86-Projects!$C$13+1))),0)</f>
        <v>0</v>
      </c>
      <c r="CK14" s="287" t="n">
        <f aca="false">IF(AND(Projects!$G$13="Yes",Projects!$F$13="Yes",87&gt;=Projects!$C$13,87&lt;Projects!$C$13+Projects!$D$13),Projects!$B$13*(1-SUMPRODUCT((Curves!$B$2:$AO$2)*(COLUMN(Curves!$B$2:$AO$2)-COLUMN(Curves!$B$2)+1&lt;=87-Projects!$C$13+1))),0)</f>
        <v>0</v>
      </c>
      <c r="CL14" s="287" t="n">
        <f aca="false">IF(AND(Projects!$G$13="Yes",Projects!$F$13="Yes",88&gt;=Projects!$C$13,88&lt;Projects!$C$13+Projects!$D$13),Projects!$B$13*(1-SUMPRODUCT((Curves!$B$2:$AO$2)*(COLUMN(Curves!$B$2:$AO$2)-COLUMN(Curves!$B$2)+1&lt;=88-Projects!$C$13+1))),0)</f>
        <v>0</v>
      </c>
      <c r="CM14" s="287" t="n">
        <f aca="false">IF(AND(Projects!$G$13="Yes",Projects!$F$13="Yes",89&gt;=Projects!$C$13,89&lt;Projects!$C$13+Projects!$D$13),Projects!$B$13*(1-SUMPRODUCT((Curves!$B$2:$AO$2)*(COLUMN(Curves!$B$2:$AO$2)-COLUMN(Curves!$B$2)+1&lt;=89-Projects!$C$13+1))),0)</f>
        <v>0</v>
      </c>
      <c r="CN14" s="287" t="n">
        <f aca="false">IF(AND(Projects!$G$13="Yes",Projects!$F$13="Yes",90&gt;=Projects!$C$13,90&lt;Projects!$C$13+Projects!$D$13),Projects!$B$13*(1-SUMPRODUCT((Curves!$B$2:$AO$2)*(COLUMN(Curves!$B$2:$AO$2)-COLUMN(Curves!$B$2)+1&lt;=90-Projects!$C$13+1))),0)</f>
        <v>0</v>
      </c>
      <c r="CO14" s="287" t="n">
        <f aca="false">IF(AND(Projects!$G$13="Yes",Projects!$F$13="Yes",91&gt;=Projects!$C$13,91&lt;Projects!$C$13+Projects!$D$13),Projects!$B$13*(1-SUMPRODUCT((Curves!$B$2:$AO$2)*(COLUMN(Curves!$B$2:$AO$2)-COLUMN(Curves!$B$2)+1&lt;=91-Projects!$C$13+1))),0)</f>
        <v>0</v>
      </c>
      <c r="CP14" s="287" t="n">
        <f aca="false">IF(AND(Projects!$G$13="Yes",Projects!$F$13="Yes",92&gt;=Projects!$C$13,92&lt;Projects!$C$13+Projects!$D$13),Projects!$B$13*(1-SUMPRODUCT((Curves!$B$2:$AO$2)*(COLUMN(Curves!$B$2:$AO$2)-COLUMN(Curves!$B$2)+1&lt;=92-Projects!$C$13+1))),0)</f>
        <v>0</v>
      </c>
      <c r="CQ14" s="28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7" t="n">
        <f aca="false">IF(AND(Projects!$G$14="Yes",Projects!$F$14="Yes",1&gt;=Projects!$C$14,1&lt;Projects!$C$14+Projects!$D$14),Projects!$B$14*(1-SUMPRODUCT((Curves!$B$2:$AO$2)*(COLUMN(Curves!$B$2:$AO$2)-COLUMN(Curves!$B$2)+1&lt;=1-Projects!$C$14+1))),0)</f>
        <v>0</v>
      </c>
      <c r="D15" s="287" t="n">
        <f aca="false">IF(AND(Projects!$G$14="Yes",Projects!$F$14="Yes",2&gt;=Projects!$C$14,2&lt;Projects!$C$14+Projects!$D$14),Projects!$B$14*(1-SUMPRODUCT((Curves!$B$2:$AO$2)*(COLUMN(Curves!$B$2:$AO$2)-COLUMN(Curves!$B$2)+1&lt;=2-Projects!$C$14+1))),0)</f>
        <v>0</v>
      </c>
      <c r="E15" s="287" t="n">
        <f aca="false">IF(AND(Projects!$G$14="Yes",Projects!$F$14="Yes",3&gt;=Projects!$C$14,3&lt;Projects!$C$14+Projects!$D$14),Projects!$B$14*(1-SUMPRODUCT((Curves!$B$2:$AO$2)*(COLUMN(Curves!$B$2:$AO$2)-COLUMN(Curves!$B$2)+1&lt;=3-Projects!$C$14+1))),0)</f>
        <v>0</v>
      </c>
      <c r="F15" s="287" t="n">
        <f aca="false">IF(AND(Projects!$G$14="Yes",Projects!$F$14="Yes",4&gt;=Projects!$C$14,4&lt;Projects!$C$14+Projects!$D$14),Projects!$B$14*(1-SUMPRODUCT((Curves!$B$2:$AO$2)*(COLUMN(Curves!$B$2:$AO$2)-COLUMN(Curves!$B$2)+1&lt;=4-Projects!$C$14+1))),0)</f>
        <v>0</v>
      </c>
      <c r="G15" s="287" t="n">
        <f aca="false">IF(AND(Projects!$G$14="Yes",Projects!$F$14="Yes",5&gt;=Projects!$C$14,5&lt;Projects!$C$14+Projects!$D$14),Projects!$B$14*(1-SUMPRODUCT((Curves!$B$2:$AO$2)*(COLUMN(Curves!$B$2:$AO$2)-COLUMN(Curves!$B$2)+1&lt;=5-Projects!$C$14+1))),0)</f>
        <v>0</v>
      </c>
      <c r="H15" s="287" t="n">
        <f aca="false">IF(AND(Projects!$G$14="Yes",Projects!$F$14="Yes",6&gt;=Projects!$C$14,6&lt;Projects!$C$14+Projects!$D$14),Projects!$B$14*(1-SUMPRODUCT((Curves!$B$2:$AO$2)*(COLUMN(Curves!$B$2:$AO$2)-COLUMN(Curves!$B$2)+1&lt;=6-Projects!$C$14+1))),0)</f>
        <v>0</v>
      </c>
      <c r="I15" s="287" t="n">
        <f aca="false">IF(AND(Projects!$G$14="Yes",Projects!$F$14="Yes",7&gt;=Projects!$C$14,7&lt;Projects!$C$14+Projects!$D$14),Projects!$B$14*(1-SUMPRODUCT((Curves!$B$2:$AO$2)*(COLUMN(Curves!$B$2:$AO$2)-COLUMN(Curves!$B$2)+1&lt;=7-Projects!$C$14+1))),0)</f>
        <v>0</v>
      </c>
      <c r="J15" s="287" t="n">
        <f aca="false">IF(AND(Projects!$G$14="Yes",Projects!$F$14="Yes",8&gt;=Projects!$C$14,8&lt;Projects!$C$14+Projects!$D$14),Projects!$B$14*(1-SUMPRODUCT((Curves!$B$2:$AO$2)*(COLUMN(Curves!$B$2:$AO$2)-COLUMN(Curves!$B$2)+1&lt;=8-Projects!$C$14+1))),0)</f>
        <v>0</v>
      </c>
      <c r="K15" s="287" t="n">
        <f aca="false">IF(AND(Projects!$G$14="Yes",Projects!$F$14="Yes",9&gt;=Projects!$C$14,9&lt;Projects!$C$14+Projects!$D$14),Projects!$B$14*(1-SUMPRODUCT((Curves!$B$2:$AO$2)*(COLUMN(Curves!$B$2:$AO$2)-COLUMN(Curves!$B$2)+1&lt;=9-Projects!$C$14+1))),0)</f>
        <v>0</v>
      </c>
      <c r="L15" s="287" t="n">
        <f aca="false">IF(AND(Projects!$G$14="Yes",Projects!$F$14="Yes",10&gt;=Projects!$C$14,10&lt;Projects!$C$14+Projects!$D$14),Projects!$B$14*(1-SUMPRODUCT((Curves!$B$2:$AO$2)*(COLUMN(Curves!$B$2:$AO$2)-COLUMN(Curves!$B$2)+1&lt;=10-Projects!$C$14+1))),0)</f>
        <v>0</v>
      </c>
      <c r="M15" s="287" t="n">
        <f aca="false">IF(AND(Projects!$G$14="Yes",Projects!$F$14="Yes",11&gt;=Projects!$C$14,11&lt;Projects!$C$14+Projects!$D$14),Projects!$B$14*(1-SUMPRODUCT((Curves!$B$2:$AO$2)*(COLUMN(Curves!$B$2:$AO$2)-COLUMN(Curves!$B$2)+1&lt;=11-Projects!$C$14+1))),0)</f>
        <v>0</v>
      </c>
      <c r="N15" s="287" t="n">
        <f aca="false">IF(AND(Projects!$G$14="Yes",Projects!$F$14="Yes",12&gt;=Projects!$C$14,12&lt;Projects!$C$14+Projects!$D$14),Projects!$B$14*(1-SUMPRODUCT((Curves!$B$2:$AO$2)*(COLUMN(Curves!$B$2:$AO$2)-COLUMN(Curves!$B$2)+1&lt;=12-Projects!$C$14+1))),0)</f>
        <v>0</v>
      </c>
      <c r="O15" s="287" t="n">
        <f aca="false">IF(AND(Projects!$G$14="Yes",Projects!$F$14="Yes",13&gt;=Projects!$C$14,13&lt;Projects!$C$14+Projects!$D$14),Projects!$B$14*(1-SUMPRODUCT((Curves!$B$2:$AO$2)*(COLUMN(Curves!$B$2:$AO$2)-COLUMN(Curves!$B$2)+1&lt;=13-Projects!$C$14+1))),0)</f>
        <v>0</v>
      </c>
      <c r="P15" s="287" t="n">
        <f aca="false">IF(AND(Projects!$G$14="Yes",Projects!$F$14="Yes",14&gt;=Projects!$C$14,14&lt;Projects!$C$14+Projects!$D$14),Projects!$B$14*(1-SUMPRODUCT((Curves!$B$2:$AO$2)*(COLUMN(Curves!$B$2:$AO$2)-COLUMN(Curves!$B$2)+1&lt;=14-Projects!$C$14+1))),0)</f>
        <v>0</v>
      </c>
      <c r="Q15" s="287" t="n">
        <f aca="false">IF(AND(Projects!$G$14="Yes",Projects!$F$14="Yes",15&gt;=Projects!$C$14,15&lt;Projects!$C$14+Projects!$D$14),Projects!$B$14*(1-SUMPRODUCT((Curves!$B$2:$AO$2)*(COLUMN(Curves!$B$2:$AO$2)-COLUMN(Curves!$B$2)+1&lt;=15-Projects!$C$14+1))),0)</f>
        <v>0</v>
      </c>
      <c r="R15" s="287" t="n">
        <f aca="false">IF(AND(Projects!$G$14="Yes",Projects!$F$14="Yes",16&gt;=Projects!$C$14,16&lt;Projects!$C$14+Projects!$D$14),Projects!$B$14*(1-SUMPRODUCT((Curves!$B$2:$AO$2)*(COLUMN(Curves!$B$2:$AO$2)-COLUMN(Curves!$B$2)+1&lt;=16-Projects!$C$14+1))),0)</f>
        <v>0</v>
      </c>
      <c r="S15" s="287" t="n">
        <f aca="false">IF(AND(Projects!$G$14="Yes",Projects!$F$14="Yes",17&gt;=Projects!$C$14,17&lt;Projects!$C$14+Projects!$D$14),Projects!$B$14*(1-SUMPRODUCT((Curves!$B$2:$AO$2)*(COLUMN(Curves!$B$2:$AO$2)-COLUMN(Curves!$B$2)+1&lt;=17-Projects!$C$14+1))),0)</f>
        <v>0</v>
      </c>
      <c r="T15" s="287" t="n">
        <f aca="false">IF(AND(Projects!$G$14="Yes",Projects!$F$14="Yes",18&gt;=Projects!$C$14,18&lt;Projects!$C$14+Projects!$D$14),Projects!$B$14*(1-SUMPRODUCT((Curves!$B$2:$AO$2)*(COLUMN(Curves!$B$2:$AO$2)-COLUMN(Curves!$B$2)+1&lt;=18-Projects!$C$14+1))),0)</f>
        <v>0</v>
      </c>
      <c r="U15" s="287" t="n">
        <f aca="false">IF(AND(Projects!$G$14="Yes",Projects!$F$14="Yes",19&gt;=Projects!$C$14,19&lt;Projects!$C$14+Projects!$D$14),Projects!$B$14*(1-SUMPRODUCT((Curves!$B$2:$AO$2)*(COLUMN(Curves!$B$2:$AO$2)-COLUMN(Curves!$B$2)+1&lt;=19-Projects!$C$14+1))),0)</f>
        <v>0</v>
      </c>
      <c r="V15" s="287" t="n">
        <f aca="false">IF(AND(Projects!$G$14="Yes",Projects!$F$14="Yes",20&gt;=Projects!$C$14,20&lt;Projects!$C$14+Projects!$D$14),Projects!$B$14*(1-SUMPRODUCT((Curves!$B$2:$AO$2)*(COLUMN(Curves!$B$2:$AO$2)-COLUMN(Curves!$B$2)+1&lt;=20-Projects!$C$14+1))),0)</f>
        <v>0</v>
      </c>
      <c r="W15" s="287" t="n">
        <f aca="false">IF(AND(Projects!$G$14="Yes",Projects!$F$14="Yes",21&gt;=Projects!$C$14,21&lt;Projects!$C$14+Projects!$D$14),Projects!$B$14*(1-SUMPRODUCT((Curves!$B$2:$AO$2)*(COLUMN(Curves!$B$2:$AO$2)-COLUMN(Curves!$B$2)+1&lt;=21-Projects!$C$14+1))),0)</f>
        <v>0</v>
      </c>
      <c r="X15" s="287" t="n">
        <f aca="false">IF(AND(Projects!$G$14="Yes",Projects!$F$14="Yes",22&gt;=Projects!$C$14,22&lt;Projects!$C$14+Projects!$D$14),Projects!$B$14*(1-SUMPRODUCT((Curves!$B$2:$AO$2)*(COLUMN(Curves!$B$2:$AO$2)-COLUMN(Curves!$B$2)+1&lt;=22-Projects!$C$14+1))),0)</f>
        <v>0</v>
      </c>
      <c r="Y15" s="287" t="n">
        <f aca="false">IF(AND(Projects!$G$14="Yes",Projects!$F$14="Yes",23&gt;=Projects!$C$14,23&lt;Projects!$C$14+Projects!$D$14),Projects!$B$14*(1-SUMPRODUCT((Curves!$B$2:$AO$2)*(COLUMN(Curves!$B$2:$AO$2)-COLUMN(Curves!$B$2)+1&lt;=23-Projects!$C$14+1))),0)</f>
        <v>0</v>
      </c>
      <c r="Z15" s="287" t="n">
        <f aca="false">IF(AND(Projects!$G$14="Yes",Projects!$F$14="Yes",24&gt;=Projects!$C$14,24&lt;Projects!$C$14+Projects!$D$14),Projects!$B$14*(1-SUMPRODUCT((Curves!$B$2:$AO$2)*(COLUMN(Curves!$B$2:$AO$2)-COLUMN(Curves!$B$2)+1&lt;=24-Projects!$C$14+1))),0)</f>
        <v>0</v>
      </c>
      <c r="AA15" s="287" t="n">
        <f aca="false">IF(AND(Projects!$G$14="Yes",Projects!$F$14="Yes",25&gt;=Projects!$C$14,25&lt;Projects!$C$14+Projects!$D$14),Projects!$B$14*(1-SUMPRODUCT((Curves!$B$2:$AO$2)*(COLUMN(Curves!$B$2:$AO$2)-COLUMN(Curves!$B$2)+1&lt;=25-Projects!$C$14+1))),0)</f>
        <v>0</v>
      </c>
      <c r="AB15" s="287" t="n">
        <f aca="false">IF(AND(Projects!$G$14="Yes",Projects!$F$14="Yes",26&gt;=Projects!$C$14,26&lt;Projects!$C$14+Projects!$D$14),Projects!$B$14*(1-SUMPRODUCT((Curves!$B$2:$AO$2)*(COLUMN(Curves!$B$2:$AO$2)-COLUMN(Curves!$B$2)+1&lt;=26-Projects!$C$14+1))),0)</f>
        <v>0</v>
      </c>
      <c r="AC15" s="287" t="n">
        <f aca="false">IF(AND(Projects!$G$14="Yes",Projects!$F$14="Yes",27&gt;=Projects!$C$14,27&lt;Projects!$C$14+Projects!$D$14),Projects!$B$14*(1-SUMPRODUCT((Curves!$B$2:$AO$2)*(COLUMN(Curves!$B$2:$AO$2)-COLUMN(Curves!$B$2)+1&lt;=27-Projects!$C$14+1))),0)</f>
        <v>40688781.070168</v>
      </c>
      <c r="AD15" s="287" t="n">
        <f aca="false">IF(AND(Projects!$G$14="Yes",Projects!$F$14="Yes",28&gt;=Projects!$C$14,28&lt;Projects!$C$14+Projects!$D$14),Projects!$B$14*(1-SUMPRODUCT((Curves!$B$2:$AO$2)*(COLUMN(Curves!$B$2:$AO$2)-COLUMN(Curves!$B$2)+1&lt;=28-Projects!$C$14+1))),0)</f>
        <v>39922975.994792</v>
      </c>
      <c r="AE15" s="287" t="n">
        <f aca="false">IF(AND(Projects!$G$14="Yes",Projects!$F$14="Yes",29&gt;=Projects!$C$14,29&lt;Projects!$C$14+Projects!$D$14),Projects!$B$14*(1-SUMPRODUCT((Curves!$B$2:$AO$2)*(COLUMN(Curves!$B$2:$AO$2)-COLUMN(Curves!$B$2)+1&lt;=29-Projects!$C$14+1))),0)</f>
        <v>39050930.869808</v>
      </c>
      <c r="AF15" s="287" t="n">
        <f aca="false">IF(AND(Projects!$G$14="Yes",Projects!$F$14="Yes",30&gt;=Projects!$C$14,30&lt;Projects!$C$14+Projects!$D$14),Projects!$B$14*(1-SUMPRODUCT((Curves!$B$2:$AO$2)*(COLUMN(Curves!$B$2:$AO$2)-COLUMN(Curves!$B$2)+1&lt;=30-Projects!$C$14+1))),0)</f>
        <v>38067807.203272</v>
      </c>
      <c r="AG15" s="287" t="n">
        <f aca="false">IF(AND(Projects!$G$14="Yes",Projects!$F$14="Yes",31&gt;=Projects!$C$14,31&lt;Projects!$C$14+Projects!$D$14),Projects!$B$14*(1-SUMPRODUCT((Curves!$B$2:$AO$2)*(COLUMN(Curves!$B$2:$AO$2)-COLUMN(Curves!$B$2)+1&lt;=31-Projects!$C$14+1))),0)</f>
        <v>36970462.043152</v>
      </c>
      <c r="AH15" s="287" t="n">
        <f aca="false">IF(AND(Projects!$G$14="Yes",Projects!$F$14="Yes",32&gt;=Projects!$C$14,32&lt;Projects!$C$14+Projects!$D$14),Projects!$B$14*(1-SUMPRODUCT((Curves!$B$2:$AO$2)*(COLUMN(Curves!$B$2:$AO$2)-COLUMN(Curves!$B$2)+1&lt;=32-Projects!$C$14+1))),0)</f>
        <v>35757820.169016</v>
      </c>
      <c r="AI15" s="287" t="n">
        <f aca="false">IF(AND(Projects!$G$14="Yes",Projects!$F$14="Yes",33&gt;=Projects!$C$14,33&lt;Projects!$C$14+Projects!$D$14),Projects!$B$14*(1-SUMPRODUCT((Curves!$B$2:$AO$2)*(COLUMN(Curves!$B$2:$AO$2)-COLUMN(Curves!$B$2)+1&lt;=33-Projects!$C$14+1))),0)</f>
        <v>34431080.865192</v>
      </c>
      <c r="AJ15" s="287" t="n">
        <f aca="false">IF(AND(Projects!$G$14="Yes",Projects!$F$14="Yes",34&gt;=Projects!$C$14,34&lt;Projects!$C$14+Projects!$D$14),Projects!$B$14*(1-SUMPRODUCT((Curves!$B$2:$AO$2)*(COLUMN(Curves!$B$2:$AO$2)-COLUMN(Curves!$B$2)+1&lt;=34-Projects!$C$14+1))),0)</f>
        <v>32993924.693928</v>
      </c>
      <c r="AK15" s="287" t="n">
        <f aca="false">IF(AND(Projects!$G$14="Yes",Projects!$F$14="Yes",35&gt;=Projects!$C$14,35&lt;Projects!$C$14+Projects!$D$14),Projects!$B$14*(1-SUMPRODUCT((Curves!$B$2:$AO$2)*(COLUMN(Curves!$B$2:$AO$2)-COLUMN(Curves!$B$2)+1&lt;=35-Projects!$C$14+1))),0)</f>
        <v>31452678.91392</v>
      </c>
      <c r="AL15" s="287" t="n">
        <f aca="false">IF(AND(Projects!$G$14="Yes",Projects!$F$14="Yes",36&gt;=Projects!$C$14,36&lt;Projects!$C$14+Projects!$D$14),Projects!$B$14*(1-SUMPRODUCT((Curves!$B$2:$AO$2)*(COLUMN(Curves!$B$2:$AO$2)-COLUMN(Curves!$B$2)+1&lt;=36-Projects!$C$14+1))),0)</f>
        <v>29816193.416416</v>
      </c>
      <c r="AM15" s="287" t="n">
        <f aca="false">IF(AND(Projects!$G$14="Yes",Projects!$F$14="Yes",37&gt;=Projects!$C$14,37&lt;Projects!$C$14+Projects!$D$14),Projects!$B$14*(1-SUMPRODUCT((Curves!$B$2:$AO$2)*(COLUMN(Curves!$B$2:$AO$2)-COLUMN(Curves!$B$2)+1&lt;=37-Projects!$C$14+1))),0)</f>
        <v>28095882.079848</v>
      </c>
      <c r="AN15" s="287" t="n">
        <f aca="false">IF(AND(Projects!$G$14="Yes",Projects!$F$14="Yes",38&gt;=Projects!$C$14,38&lt;Projects!$C$14+Projects!$D$14),Projects!$B$14*(1-SUMPRODUCT((Curves!$B$2:$AO$2)*(COLUMN(Curves!$B$2:$AO$2)-COLUMN(Curves!$B$2)+1&lt;=38-Projects!$C$14+1))),0)</f>
        <v>26305433.287408</v>
      </c>
      <c r="AO15" s="287" t="n">
        <f aca="false">IF(AND(Projects!$G$14="Yes",Projects!$F$14="Yes",39&gt;=Projects!$C$14,39&lt;Projects!$C$14+Projects!$D$14),Projects!$B$14*(1-SUMPRODUCT((Curves!$B$2:$AO$2)*(COLUMN(Curves!$B$2:$AO$2)-COLUMN(Curves!$B$2)+1&lt;=39-Projects!$C$14+1))),0)</f>
        <v>24460479.089992</v>
      </c>
      <c r="AP15" s="287" t="n">
        <f aca="false">IF(AND(Projects!$G$14="Yes",Projects!$F$14="Yes",40&gt;=Projects!$C$14,40&lt;Projects!$C$14+Projects!$D$14),Projects!$B$14*(1-SUMPRODUCT((Curves!$B$2:$AO$2)*(COLUMN(Curves!$B$2:$AO$2)-COLUMN(Curves!$B$2)+1&lt;=40-Projects!$C$14+1))),0)</f>
        <v>22578305.723776</v>
      </c>
      <c r="AQ15" s="287" t="n">
        <f aca="false">IF(AND(Projects!$G$14="Yes",Projects!$F$14="Yes",41&gt;=Projects!$C$14,41&lt;Projects!$C$14+Projects!$D$14),Projects!$B$14*(1-SUMPRODUCT((Curves!$B$2:$AO$2)*(COLUMN(Curves!$B$2:$AO$2)-COLUMN(Curves!$B$2)+1&lt;=41-Projects!$C$14+1))),0)</f>
        <v>20677233.290736</v>
      </c>
      <c r="AR15" s="287" t="n">
        <f aca="false">IF(AND(Projects!$G$14="Yes",Projects!$F$14="Yes",42&gt;=Projects!$C$14,42&lt;Projects!$C$14+Projects!$D$14),Projects!$B$14*(1-SUMPRODUCT((Curves!$B$2:$AO$2)*(COLUMN(Curves!$B$2:$AO$2)-COLUMN(Curves!$B$2)+1&lt;=42-Projects!$C$14+1))),0)</f>
        <v>18776160.857696</v>
      </c>
      <c r="AS15" s="287" t="n">
        <f aca="false">IF(AND(Projects!$G$14="Yes",Projects!$F$14="Yes",43&gt;=Projects!$C$14,43&lt;Projects!$C$14+Projects!$D$14),Projects!$B$14*(1-SUMPRODUCT((Curves!$B$2:$AO$2)*(COLUMN(Curves!$B$2:$AO$2)-COLUMN(Curves!$B$2)+1&lt;=43-Projects!$C$14+1))),0)</f>
        <v>16893987.49148</v>
      </c>
      <c r="AT15" s="287" t="n">
        <f aca="false">IF(AND(Projects!$G$14="Yes",Projects!$F$14="Yes",44&gt;=Projects!$C$14,44&lt;Projects!$C$14+Projects!$D$14),Projects!$B$14*(1-SUMPRODUCT((Curves!$B$2:$AO$2)*(COLUMN(Curves!$B$2:$AO$2)-COLUMN(Curves!$B$2)+1&lt;=44-Projects!$C$14+1))),0)</f>
        <v>15049033.294064</v>
      </c>
      <c r="AU15" s="287" t="n">
        <f aca="false">IF(AND(Projects!$G$14="Yes",Projects!$F$14="Yes",45&gt;=Projects!$C$14,45&lt;Projects!$C$14+Projects!$D$14),Projects!$B$14*(1-SUMPRODUCT((Curves!$B$2:$AO$2)*(COLUMN(Curves!$B$2:$AO$2)-COLUMN(Curves!$B$2)+1&lt;=45-Projects!$C$14+1))),0)</f>
        <v>13258584.501624</v>
      </c>
      <c r="AV15" s="287" t="n">
        <f aca="false">IF(AND(Projects!$G$14="Yes",Projects!$F$14="Yes",46&gt;=Projects!$C$14,46&lt;Projects!$C$14+Projects!$D$14),Projects!$B$14*(1-SUMPRODUCT((Curves!$B$2:$AO$2)*(COLUMN(Curves!$B$2:$AO$2)-COLUMN(Curves!$B$2)+1&lt;=46-Projects!$C$14+1))),0)</f>
        <v>11538273.165056</v>
      </c>
      <c r="AW15" s="287" t="n">
        <f aca="false">IF(AND(Projects!$G$14="Yes",Projects!$F$14="Yes",47&gt;=Projects!$C$14,47&lt;Projects!$C$14+Projects!$D$14),Projects!$B$14*(1-SUMPRODUCT((Curves!$B$2:$AO$2)*(COLUMN(Curves!$B$2:$AO$2)-COLUMN(Curves!$B$2)+1&lt;=47-Projects!$C$14+1))),0)</f>
        <v>9901787.667552</v>
      </c>
      <c r="AX15" s="287" t="n">
        <f aca="false">IF(AND(Projects!$G$14="Yes",Projects!$F$14="Yes",48&gt;=Projects!$C$14,48&lt;Projects!$C$14+Projects!$D$14),Projects!$B$14*(1-SUMPRODUCT((Curves!$B$2:$AO$2)*(COLUMN(Curves!$B$2:$AO$2)-COLUMN(Curves!$B$2)+1&lt;=48-Projects!$C$14+1))),0)</f>
        <v>8360541.887544</v>
      </c>
      <c r="AY15" s="287" t="n">
        <f aca="false">IF(AND(Projects!$G$14="Yes",Projects!$F$14="Yes",49&gt;=Projects!$C$14,49&lt;Projects!$C$14+Projects!$D$14),Projects!$B$14*(1-SUMPRODUCT((Curves!$B$2:$AO$2)*(COLUMN(Curves!$B$2:$AO$2)-COLUMN(Curves!$B$2)+1&lt;=49-Projects!$C$14+1))),0)</f>
        <v>6923385.71628</v>
      </c>
      <c r="AZ15" s="287" t="n">
        <f aca="false">IF(AND(Projects!$G$14="Yes",Projects!$F$14="Yes",50&gt;=Projects!$C$14,50&lt;Projects!$C$14+Projects!$D$14),Projects!$B$14*(1-SUMPRODUCT((Curves!$B$2:$AO$2)*(COLUMN(Curves!$B$2:$AO$2)-COLUMN(Curves!$B$2)+1&lt;=50-Projects!$C$14+1))),0)</f>
        <v>5596646.412456</v>
      </c>
      <c r="BA15" s="287" t="n">
        <f aca="false">IF(AND(Projects!$G$14="Yes",Projects!$F$14="Yes",51&gt;=Projects!$C$14,51&lt;Projects!$C$14+Projects!$D$14),Projects!$B$14*(1-SUMPRODUCT((Curves!$B$2:$AO$2)*(COLUMN(Curves!$B$2:$AO$2)-COLUMN(Curves!$B$2)+1&lt;=51-Projects!$C$14+1))),0)</f>
        <v>4384004.53832</v>
      </c>
      <c r="BB15" s="287" t="n">
        <f aca="false">IF(AND(Projects!$G$14="Yes",Projects!$F$14="Yes",52&gt;=Projects!$C$14,52&lt;Projects!$C$14+Projects!$D$14),Projects!$B$14*(1-SUMPRODUCT((Curves!$B$2:$AO$2)*(COLUMN(Curves!$B$2:$AO$2)-COLUMN(Curves!$B$2)+1&lt;=52-Projects!$C$14+1))),0)</f>
        <v>3286659.3782</v>
      </c>
      <c r="BC15" s="287" t="n">
        <f aca="false">IF(AND(Projects!$G$14="Yes",Projects!$F$14="Yes",53&gt;=Projects!$C$14,53&lt;Projects!$C$14+Projects!$D$14),Projects!$B$14*(1-SUMPRODUCT((Curves!$B$2:$AO$2)*(COLUMN(Curves!$B$2:$AO$2)-COLUMN(Curves!$B$2)+1&lt;=53-Projects!$C$14+1))),0)</f>
        <v>2303535.711664</v>
      </c>
      <c r="BD15" s="287" t="n">
        <f aca="false">IF(AND(Projects!$G$14="Yes",Projects!$F$14="Yes",54&gt;=Projects!$C$14,54&lt;Projects!$C$14+Projects!$D$14),Projects!$B$14*(1-SUMPRODUCT((Curves!$B$2:$AO$2)*(COLUMN(Curves!$B$2:$AO$2)-COLUMN(Curves!$B$2)+1&lt;=54-Projects!$C$14+1))),0)</f>
        <v>1431490.58668</v>
      </c>
      <c r="BE15" s="287" t="n">
        <f aca="false">IF(AND(Projects!$G$14="Yes",Projects!$F$14="Yes",55&gt;=Projects!$C$14,55&lt;Projects!$C$14+Projects!$D$14),Projects!$B$14*(1-SUMPRODUCT((Curves!$B$2:$AO$2)*(COLUMN(Curves!$B$2:$AO$2)-COLUMN(Curves!$B$2)+1&lt;=55-Projects!$C$14+1))),0)</f>
        <v>665685.511304001</v>
      </c>
      <c r="BF15" s="287" t="n">
        <f aca="false">IF(AND(Projects!$G$14="Yes",Projects!$F$14="Yes",56&gt;=Projects!$C$14,56&lt;Projects!$C$14+Projects!$D$14),Projects!$B$14*(1-SUMPRODUCT((Curves!$B$2:$AO$2)*(COLUMN(Curves!$B$2:$AO$2)-COLUMN(Curves!$B$2)+1&lt;=56-Projects!$C$14+1))),0)</f>
        <v>-165.418527995574</v>
      </c>
      <c r="BG15" s="287" t="n">
        <f aca="false">IF(AND(Projects!$G$14="Yes",Projects!$F$14="Yes",57&gt;=Projects!$C$14,57&lt;Projects!$C$14+Projects!$D$14),Projects!$B$14*(1-SUMPRODUCT((Curves!$B$2:$AO$2)*(COLUMN(Curves!$B$2:$AO$2)-COLUMN(Curves!$B$2)+1&lt;=57-Projects!$C$14+1))),0)</f>
        <v>0</v>
      </c>
      <c r="BH15" s="287" t="n">
        <f aca="false">IF(AND(Projects!$G$14="Yes",Projects!$F$14="Yes",58&gt;=Projects!$C$14,58&lt;Projects!$C$14+Projects!$D$14),Projects!$B$14*(1-SUMPRODUCT((Curves!$B$2:$AO$2)*(COLUMN(Curves!$B$2:$AO$2)-COLUMN(Curves!$B$2)+1&lt;=58-Projects!$C$14+1))),0)</f>
        <v>0</v>
      </c>
      <c r="BI15" s="287" t="n">
        <f aca="false">IF(AND(Projects!$G$14="Yes",Projects!$F$14="Yes",59&gt;=Projects!$C$14,59&lt;Projects!$C$14+Projects!$D$14),Projects!$B$14*(1-SUMPRODUCT((Curves!$B$2:$AO$2)*(COLUMN(Curves!$B$2:$AO$2)-COLUMN(Curves!$B$2)+1&lt;=59-Projects!$C$14+1))),0)</f>
        <v>0</v>
      </c>
      <c r="BJ15" s="287" t="n">
        <f aca="false">IF(AND(Projects!$G$14="Yes",Projects!$F$14="Yes",60&gt;=Projects!$C$14,60&lt;Projects!$C$14+Projects!$D$14),Projects!$B$14*(1-SUMPRODUCT((Curves!$B$2:$AO$2)*(COLUMN(Curves!$B$2:$AO$2)-COLUMN(Curves!$B$2)+1&lt;=60-Projects!$C$14+1))),0)</f>
        <v>0</v>
      </c>
      <c r="BK15" s="287" t="n">
        <f aca="false">IF(AND(Projects!$G$14="Yes",Projects!$F$14="Yes",61&gt;=Projects!$C$14,61&lt;Projects!$C$14+Projects!$D$14),Projects!$B$14*(1-SUMPRODUCT((Curves!$B$2:$AO$2)*(COLUMN(Curves!$B$2:$AO$2)-COLUMN(Curves!$B$2)+1&lt;=61-Projects!$C$14+1))),0)</f>
        <v>0</v>
      </c>
      <c r="BL15" s="287" t="n">
        <f aca="false">IF(AND(Projects!$G$14="Yes",Projects!$F$14="Yes",62&gt;=Projects!$C$14,62&lt;Projects!$C$14+Projects!$D$14),Projects!$B$14*(1-SUMPRODUCT((Curves!$B$2:$AO$2)*(COLUMN(Curves!$B$2:$AO$2)-COLUMN(Curves!$B$2)+1&lt;=62-Projects!$C$14+1))),0)</f>
        <v>0</v>
      </c>
      <c r="BM15" s="287" t="n">
        <f aca="false">IF(AND(Projects!$G$14="Yes",Projects!$F$14="Yes",63&gt;=Projects!$C$14,63&lt;Projects!$C$14+Projects!$D$14),Projects!$B$14*(1-SUMPRODUCT((Curves!$B$2:$AO$2)*(COLUMN(Curves!$B$2:$AO$2)-COLUMN(Curves!$B$2)+1&lt;=63-Projects!$C$14+1))),0)</f>
        <v>0</v>
      </c>
      <c r="BN15" s="287" t="n">
        <f aca="false">IF(AND(Projects!$G$14="Yes",Projects!$F$14="Yes",64&gt;=Projects!$C$14,64&lt;Projects!$C$14+Projects!$D$14),Projects!$B$14*(1-SUMPRODUCT((Curves!$B$2:$AO$2)*(COLUMN(Curves!$B$2:$AO$2)-COLUMN(Curves!$B$2)+1&lt;=64-Projects!$C$14+1))),0)</f>
        <v>0</v>
      </c>
      <c r="BO15" s="287" t="n">
        <f aca="false">IF(AND(Projects!$G$14="Yes",Projects!$F$14="Yes",65&gt;=Projects!$C$14,65&lt;Projects!$C$14+Projects!$D$14),Projects!$B$14*(1-SUMPRODUCT((Curves!$B$2:$AO$2)*(COLUMN(Curves!$B$2:$AO$2)-COLUMN(Curves!$B$2)+1&lt;=65-Projects!$C$14+1))),0)</f>
        <v>0</v>
      </c>
      <c r="BP15" s="287" t="n">
        <f aca="false">IF(AND(Projects!$G$14="Yes",Projects!$F$14="Yes",66&gt;=Projects!$C$14,66&lt;Projects!$C$14+Projects!$D$14),Projects!$B$14*(1-SUMPRODUCT((Curves!$B$2:$AO$2)*(COLUMN(Curves!$B$2:$AO$2)-COLUMN(Curves!$B$2)+1&lt;=66-Projects!$C$14+1))),0)</f>
        <v>0</v>
      </c>
      <c r="BQ15" s="287" t="n">
        <f aca="false">IF(AND(Projects!$G$14="Yes",Projects!$F$14="Yes",67&gt;=Projects!$C$14,67&lt;Projects!$C$14+Projects!$D$14),Projects!$B$14*(1-SUMPRODUCT((Curves!$B$2:$AO$2)*(COLUMN(Curves!$B$2:$AO$2)-COLUMN(Curves!$B$2)+1&lt;=67-Projects!$C$14+1))),0)</f>
        <v>0</v>
      </c>
      <c r="BR15" s="287" t="n">
        <f aca="false">IF(AND(Projects!$G$14="Yes",Projects!$F$14="Yes",68&gt;=Projects!$C$14,68&lt;Projects!$C$14+Projects!$D$14),Projects!$B$14*(1-SUMPRODUCT((Curves!$B$2:$AO$2)*(COLUMN(Curves!$B$2:$AO$2)-COLUMN(Curves!$B$2)+1&lt;=68-Projects!$C$14+1))),0)</f>
        <v>0</v>
      </c>
      <c r="BS15" s="287" t="n">
        <f aca="false">IF(AND(Projects!$G$14="Yes",Projects!$F$14="Yes",69&gt;=Projects!$C$14,69&lt;Projects!$C$14+Projects!$D$14),Projects!$B$14*(1-SUMPRODUCT((Curves!$B$2:$AO$2)*(COLUMN(Curves!$B$2:$AO$2)-COLUMN(Curves!$B$2)+1&lt;=69-Projects!$C$14+1))),0)</f>
        <v>0</v>
      </c>
      <c r="BT15" s="287" t="n">
        <f aca="false">IF(AND(Projects!$G$14="Yes",Projects!$F$14="Yes",70&gt;=Projects!$C$14,70&lt;Projects!$C$14+Projects!$D$14),Projects!$B$14*(1-SUMPRODUCT((Curves!$B$2:$AO$2)*(COLUMN(Curves!$B$2:$AO$2)-COLUMN(Curves!$B$2)+1&lt;=70-Projects!$C$14+1))),0)</f>
        <v>0</v>
      </c>
      <c r="BU15" s="287" t="n">
        <f aca="false">IF(AND(Projects!$G$14="Yes",Projects!$F$14="Yes",71&gt;=Projects!$C$14,71&lt;Projects!$C$14+Projects!$D$14),Projects!$B$14*(1-SUMPRODUCT((Curves!$B$2:$AO$2)*(COLUMN(Curves!$B$2:$AO$2)-COLUMN(Curves!$B$2)+1&lt;=71-Projects!$C$14+1))),0)</f>
        <v>0</v>
      </c>
      <c r="BV15" s="287" t="n">
        <f aca="false">IF(AND(Projects!$G$14="Yes",Projects!$F$14="Yes",72&gt;=Projects!$C$14,72&lt;Projects!$C$14+Projects!$D$14),Projects!$B$14*(1-SUMPRODUCT((Curves!$B$2:$AO$2)*(COLUMN(Curves!$B$2:$AO$2)-COLUMN(Curves!$B$2)+1&lt;=72-Projects!$C$14+1))),0)</f>
        <v>0</v>
      </c>
      <c r="BW15" s="287" t="n">
        <f aca="false">IF(AND(Projects!$G$14="Yes",Projects!$F$14="Yes",73&gt;=Projects!$C$14,73&lt;Projects!$C$14+Projects!$D$14),Projects!$B$14*(1-SUMPRODUCT((Curves!$B$2:$AO$2)*(COLUMN(Curves!$B$2:$AO$2)-COLUMN(Curves!$B$2)+1&lt;=73-Projects!$C$14+1))),0)</f>
        <v>0</v>
      </c>
      <c r="BX15" s="287" t="n">
        <f aca="false">IF(AND(Projects!$G$14="Yes",Projects!$F$14="Yes",74&gt;=Projects!$C$14,74&lt;Projects!$C$14+Projects!$D$14),Projects!$B$14*(1-SUMPRODUCT((Curves!$B$2:$AO$2)*(COLUMN(Curves!$B$2:$AO$2)-COLUMN(Curves!$B$2)+1&lt;=74-Projects!$C$14+1))),0)</f>
        <v>0</v>
      </c>
      <c r="BY15" s="287" t="n">
        <f aca="false">IF(AND(Projects!$G$14="Yes",Projects!$F$14="Yes",75&gt;=Projects!$C$14,75&lt;Projects!$C$14+Projects!$D$14),Projects!$B$14*(1-SUMPRODUCT((Curves!$B$2:$AO$2)*(COLUMN(Curves!$B$2:$AO$2)-COLUMN(Curves!$B$2)+1&lt;=75-Projects!$C$14+1))),0)</f>
        <v>0</v>
      </c>
      <c r="BZ15" s="287" t="n">
        <f aca="false">IF(AND(Projects!$G$14="Yes",Projects!$F$14="Yes",76&gt;=Projects!$C$14,76&lt;Projects!$C$14+Projects!$D$14),Projects!$B$14*(1-SUMPRODUCT((Curves!$B$2:$AO$2)*(COLUMN(Curves!$B$2:$AO$2)-COLUMN(Curves!$B$2)+1&lt;=76-Projects!$C$14+1))),0)</f>
        <v>0</v>
      </c>
      <c r="CA15" s="287" t="n">
        <f aca="false">IF(AND(Projects!$G$14="Yes",Projects!$F$14="Yes",77&gt;=Projects!$C$14,77&lt;Projects!$C$14+Projects!$D$14),Projects!$B$14*(1-SUMPRODUCT((Curves!$B$2:$AO$2)*(COLUMN(Curves!$B$2:$AO$2)-COLUMN(Curves!$B$2)+1&lt;=77-Projects!$C$14+1))),0)</f>
        <v>0</v>
      </c>
      <c r="CB15" s="287" t="n">
        <f aca="false">IF(AND(Projects!$G$14="Yes",Projects!$F$14="Yes",78&gt;=Projects!$C$14,78&lt;Projects!$C$14+Projects!$D$14),Projects!$B$14*(1-SUMPRODUCT((Curves!$B$2:$AO$2)*(COLUMN(Curves!$B$2:$AO$2)-COLUMN(Curves!$B$2)+1&lt;=78-Projects!$C$14+1))),0)</f>
        <v>0</v>
      </c>
      <c r="CC15" s="287" t="n">
        <f aca="false">IF(AND(Projects!$G$14="Yes",Projects!$F$14="Yes",79&gt;=Projects!$C$14,79&lt;Projects!$C$14+Projects!$D$14),Projects!$B$14*(1-SUMPRODUCT((Curves!$B$2:$AO$2)*(COLUMN(Curves!$B$2:$AO$2)-COLUMN(Curves!$B$2)+1&lt;=79-Projects!$C$14+1))),0)</f>
        <v>0</v>
      </c>
      <c r="CD15" s="287" t="n">
        <f aca="false">IF(AND(Projects!$G$14="Yes",Projects!$F$14="Yes",80&gt;=Projects!$C$14,80&lt;Projects!$C$14+Projects!$D$14),Projects!$B$14*(1-SUMPRODUCT((Curves!$B$2:$AO$2)*(COLUMN(Curves!$B$2:$AO$2)-COLUMN(Curves!$B$2)+1&lt;=80-Projects!$C$14+1))),0)</f>
        <v>0</v>
      </c>
      <c r="CE15" s="287" t="n">
        <f aca="false">IF(AND(Projects!$G$14="Yes",Projects!$F$14="Yes",81&gt;=Projects!$C$14,81&lt;Projects!$C$14+Projects!$D$14),Projects!$B$14*(1-SUMPRODUCT((Curves!$B$2:$AO$2)*(COLUMN(Curves!$B$2:$AO$2)-COLUMN(Curves!$B$2)+1&lt;=81-Projects!$C$14+1))),0)</f>
        <v>0</v>
      </c>
      <c r="CF15" s="287" t="n">
        <f aca="false">IF(AND(Projects!$G$14="Yes",Projects!$F$14="Yes",82&gt;=Projects!$C$14,82&lt;Projects!$C$14+Projects!$D$14),Projects!$B$14*(1-SUMPRODUCT((Curves!$B$2:$AO$2)*(COLUMN(Curves!$B$2:$AO$2)-COLUMN(Curves!$B$2)+1&lt;=82-Projects!$C$14+1))),0)</f>
        <v>0</v>
      </c>
      <c r="CG15" s="287" t="n">
        <f aca="false">IF(AND(Projects!$G$14="Yes",Projects!$F$14="Yes",83&gt;=Projects!$C$14,83&lt;Projects!$C$14+Projects!$D$14),Projects!$B$14*(1-SUMPRODUCT((Curves!$B$2:$AO$2)*(COLUMN(Curves!$B$2:$AO$2)-COLUMN(Curves!$B$2)+1&lt;=83-Projects!$C$14+1))),0)</f>
        <v>0</v>
      </c>
      <c r="CH15" s="287" t="n">
        <f aca="false">IF(AND(Projects!$G$14="Yes",Projects!$F$14="Yes",84&gt;=Projects!$C$14,84&lt;Projects!$C$14+Projects!$D$14),Projects!$B$14*(1-SUMPRODUCT((Curves!$B$2:$AO$2)*(COLUMN(Curves!$B$2:$AO$2)-COLUMN(Curves!$B$2)+1&lt;=84-Projects!$C$14+1))),0)</f>
        <v>0</v>
      </c>
      <c r="CI15" s="287" t="n">
        <f aca="false">IF(AND(Projects!$G$14="Yes",Projects!$F$14="Yes",85&gt;=Projects!$C$14,85&lt;Projects!$C$14+Projects!$D$14),Projects!$B$14*(1-SUMPRODUCT((Curves!$B$2:$AO$2)*(COLUMN(Curves!$B$2:$AO$2)-COLUMN(Curves!$B$2)+1&lt;=85-Projects!$C$14+1))),0)</f>
        <v>0</v>
      </c>
      <c r="CJ15" s="287" t="n">
        <f aca="false">IF(AND(Projects!$G$14="Yes",Projects!$F$14="Yes",86&gt;=Projects!$C$14,86&lt;Projects!$C$14+Projects!$D$14),Projects!$B$14*(1-SUMPRODUCT((Curves!$B$2:$AO$2)*(COLUMN(Curves!$B$2:$AO$2)-COLUMN(Curves!$B$2)+1&lt;=86-Projects!$C$14+1))),0)</f>
        <v>0</v>
      </c>
      <c r="CK15" s="287" t="n">
        <f aca="false">IF(AND(Projects!$G$14="Yes",Projects!$F$14="Yes",87&gt;=Projects!$C$14,87&lt;Projects!$C$14+Projects!$D$14),Projects!$B$14*(1-SUMPRODUCT((Curves!$B$2:$AO$2)*(COLUMN(Curves!$B$2:$AO$2)-COLUMN(Curves!$B$2)+1&lt;=87-Projects!$C$14+1))),0)</f>
        <v>0</v>
      </c>
      <c r="CL15" s="287" t="n">
        <f aca="false">IF(AND(Projects!$G$14="Yes",Projects!$F$14="Yes",88&gt;=Projects!$C$14,88&lt;Projects!$C$14+Projects!$D$14),Projects!$B$14*(1-SUMPRODUCT((Curves!$B$2:$AO$2)*(COLUMN(Curves!$B$2:$AO$2)-COLUMN(Curves!$B$2)+1&lt;=88-Projects!$C$14+1))),0)</f>
        <v>0</v>
      </c>
      <c r="CM15" s="287" t="n">
        <f aca="false">IF(AND(Projects!$G$14="Yes",Projects!$F$14="Yes",89&gt;=Projects!$C$14,89&lt;Projects!$C$14+Projects!$D$14),Projects!$B$14*(1-SUMPRODUCT((Curves!$B$2:$AO$2)*(COLUMN(Curves!$B$2:$AO$2)-COLUMN(Curves!$B$2)+1&lt;=89-Projects!$C$14+1))),0)</f>
        <v>0</v>
      </c>
      <c r="CN15" s="287" t="n">
        <f aca="false">IF(AND(Projects!$G$14="Yes",Projects!$F$14="Yes",90&gt;=Projects!$C$14,90&lt;Projects!$C$14+Projects!$D$14),Projects!$B$14*(1-SUMPRODUCT((Curves!$B$2:$AO$2)*(COLUMN(Curves!$B$2:$AO$2)-COLUMN(Curves!$B$2)+1&lt;=90-Projects!$C$14+1))),0)</f>
        <v>0</v>
      </c>
      <c r="CO15" s="287" t="n">
        <f aca="false">IF(AND(Projects!$G$14="Yes",Projects!$F$14="Yes",91&gt;=Projects!$C$14,91&lt;Projects!$C$14+Projects!$D$14),Projects!$B$14*(1-SUMPRODUCT((Curves!$B$2:$AO$2)*(COLUMN(Curves!$B$2:$AO$2)-COLUMN(Curves!$B$2)+1&lt;=91-Projects!$C$14+1))),0)</f>
        <v>0</v>
      </c>
      <c r="CP15" s="287" t="n">
        <f aca="false">IF(AND(Projects!$G$14="Yes",Projects!$F$14="Yes",92&gt;=Projects!$C$14,92&lt;Projects!$C$14+Projects!$D$14),Projects!$B$14*(1-SUMPRODUCT((Curves!$B$2:$AO$2)*(COLUMN(Curves!$B$2:$AO$2)-COLUMN(Curves!$B$2)+1&lt;=92-Projects!$C$14+1))),0)</f>
        <v>0</v>
      </c>
      <c r="CQ15" s="28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3" t="n">
        <f aca="false">SUM(C8:C15)</f>
        <v>24716840.35</v>
      </c>
      <c r="D16" s="303" t="n">
        <f aca="false">SUM(D8:D15)</f>
        <v>22881539.17</v>
      </c>
      <c r="E16" s="303" t="n">
        <f aca="false">SUM(E8:E15)</f>
        <v>20879271.91</v>
      </c>
      <c r="F16" s="303" t="n">
        <f aca="false">SUM(F8:F15)</f>
        <v>18748519.38</v>
      </c>
      <c r="G16" s="303" t="n">
        <f aca="false">SUM(G8:G15)</f>
        <v>72424528.6691092</v>
      </c>
      <c r="H16" s="303" t="n">
        <f aca="false">SUM(H8:H15)</f>
        <v>82574509.2435969</v>
      </c>
      <c r="I16" s="303" t="n">
        <f aca="false">SUM(I8:I15)</f>
        <v>79199788.5696833</v>
      </c>
      <c r="J16" s="303" t="n">
        <f aca="false">SUM(J8:J15)</f>
        <v>76252151.8859288</v>
      </c>
      <c r="K16" s="303" t="n">
        <f aca="false">SUM(K8:K15)</f>
        <v>93841157.4299332</v>
      </c>
      <c r="L16" s="303" t="n">
        <f aca="false">SUM(L8:L15)</f>
        <v>89898626.9272109</v>
      </c>
      <c r="M16" s="303" t="n">
        <f aca="false">SUM(M8:M15)</f>
        <v>85937639.1724672</v>
      </c>
      <c r="N16" s="303" t="n">
        <f aca="false">SUM(N8:N15)</f>
        <v>81571690.8249268</v>
      </c>
      <c r="O16" s="303" t="n">
        <f aca="false">SUM(O8:O15)</f>
        <v>121727922.918202</v>
      </c>
      <c r="P16" s="303" t="n">
        <f aca="false">SUM(P8:P15)</f>
        <v>116359160.773936</v>
      </c>
      <c r="Q16" s="303" t="n">
        <f aca="false">SUM(Q8:Q15)</f>
        <v>110505183.81768</v>
      </c>
      <c r="R16" s="303" t="n">
        <f aca="false">SUM(R8:R15)</f>
        <v>103827337.409146</v>
      </c>
      <c r="S16" s="303" t="n">
        <f aca="false">SUM(S8:S15)</f>
        <v>97864629.2467563</v>
      </c>
      <c r="T16" s="303" t="n">
        <f aca="false">SUM(T8:T15)</f>
        <v>90586780.036997</v>
      </c>
      <c r="U16" s="303" t="n">
        <f aca="false">SUM(U8:U15)</f>
        <v>84468618.3098729</v>
      </c>
      <c r="V16" s="303" t="n">
        <f aca="false">SUM(V8:V15)</f>
        <v>76905288.679408</v>
      </c>
      <c r="W16" s="303" t="n">
        <f aca="false">SUM(W8:W15)</f>
        <v>70756461.80122</v>
      </c>
      <c r="X16" s="303" t="n">
        <f aca="false">SUM(X8:X15)</f>
        <v>63671060.2975435</v>
      </c>
      <c r="Y16" s="303" t="n">
        <f aca="false">SUM(Y8:Y15)</f>
        <v>57208591.0652635</v>
      </c>
      <c r="Z16" s="303" t="n">
        <f aca="false">SUM(Z8:Z15)</f>
        <v>47683777.55418</v>
      </c>
      <c r="AA16" s="303" t="n">
        <f aca="false">SUM(AA8:AA15)</f>
        <v>43788781.85796</v>
      </c>
      <c r="AB16" s="303" t="n">
        <f aca="false">SUM(AB8:AB15)</f>
        <v>39805156.423745</v>
      </c>
      <c r="AC16" s="303" t="n">
        <f aca="false">SUM(AC8:AC15)</f>
        <v>76697783.286628</v>
      </c>
      <c r="AD16" s="303" t="n">
        <f aca="false">SUM(AD8:AD15)</f>
        <v>72427246.794352</v>
      </c>
      <c r="AE16" s="303" t="n">
        <f aca="false">SUM(AE8:AE15)</f>
        <v>67022349.226358</v>
      </c>
      <c r="AF16" s="303" t="n">
        <f aca="false">SUM(AF8:AF15)</f>
        <v>61724974.909812</v>
      </c>
      <c r="AG16" s="303" t="n">
        <f aca="false">SUM(AG8:AG15)</f>
        <v>56424310.802542</v>
      </c>
      <c r="AH16" s="303" t="n">
        <f aca="false">SUM(AH8:AH15)</f>
        <v>52104602.333176</v>
      </c>
      <c r="AI16" s="303" t="n">
        <f aca="false">SUM(AI8:AI15)</f>
        <v>47970463.746912</v>
      </c>
      <c r="AJ16" s="303" t="n">
        <f aca="false">SUM(AJ8:AJ15)</f>
        <v>43711186.624518</v>
      </c>
      <c r="AK16" s="303" t="n">
        <f aca="false">SUM(AK8:AK15)</f>
        <v>39362973.61347</v>
      </c>
      <c r="AL16" s="303" t="n">
        <f aca="false">SUM(AL8:AL15)</f>
        <v>35942281.200826</v>
      </c>
      <c r="AM16" s="303" t="n">
        <f aca="false">SUM(AM8:AM15)</f>
        <v>32894612.367548</v>
      </c>
      <c r="AN16" s="303" t="n">
        <f aca="false">SUM(AN8:AN15)</f>
        <v>29903009.833158</v>
      </c>
      <c r="AO16" s="303" t="n">
        <f aca="false">SUM(AO8:AO15)</f>
        <v>26981928.712532</v>
      </c>
      <c r="AP16" s="303" t="n">
        <f aca="false">SUM(AP8:AP15)</f>
        <v>24145214.967326</v>
      </c>
      <c r="AQ16" s="303" t="n">
        <f aca="false">SUM(AQ8:AQ15)</f>
        <v>21405892.487426</v>
      </c>
      <c r="AR16" s="303" t="n">
        <f aca="false">SUM(AR8:AR15)</f>
        <v>18775979.790616</v>
      </c>
      <c r="AS16" s="303" t="n">
        <f aca="false">SUM(AS8:AS15)</f>
        <v>16893987.49148</v>
      </c>
      <c r="AT16" s="303" t="n">
        <f aca="false">SUM(AT8:AT15)</f>
        <v>15049033.294064</v>
      </c>
      <c r="AU16" s="303" t="n">
        <f aca="false">SUM(AU8:AU15)</f>
        <v>13258584.501624</v>
      </c>
      <c r="AV16" s="303" t="n">
        <f aca="false">SUM(AV8:AV15)</f>
        <v>11538273.165056</v>
      </c>
      <c r="AW16" s="303" t="n">
        <f aca="false">SUM(AW8:AW15)</f>
        <v>9901787.667552</v>
      </c>
      <c r="AX16" s="303" t="n">
        <f aca="false">SUM(AX8:AX15)</f>
        <v>8360541.887544</v>
      </c>
      <c r="AY16" s="303" t="n">
        <f aca="false">SUM(AY8:AY15)</f>
        <v>6923385.71628</v>
      </c>
      <c r="AZ16" s="303" t="n">
        <f aca="false">SUM(AZ8:AZ15)</f>
        <v>5596646.412456</v>
      </c>
      <c r="BA16" s="303" t="n">
        <f aca="false">SUM(BA8:BA15)</f>
        <v>4384004.53832</v>
      </c>
      <c r="BB16" s="303" t="n">
        <f aca="false">SUM(BB8:BB15)</f>
        <v>3286659.3782</v>
      </c>
      <c r="BC16" s="303" t="n">
        <f aca="false">SUM(BC8:BC15)</f>
        <v>2303535.711664</v>
      </c>
      <c r="BD16" s="303" t="n">
        <f aca="false">SUM(BD8:BD15)</f>
        <v>1431490.58668</v>
      </c>
      <c r="BE16" s="303" t="n">
        <f aca="false">SUM(BE8:BE15)</f>
        <v>665685.511304001</v>
      </c>
      <c r="BF16" s="303" t="n">
        <f aca="false">SUM(BF8:BF15)</f>
        <v>-165.418527995574</v>
      </c>
      <c r="BG16" s="303" t="n">
        <f aca="false">SUM(BG8:BG15)</f>
        <v>0</v>
      </c>
      <c r="BH16" s="303" t="n">
        <f aca="false">SUM(BH8:BH15)</f>
        <v>0</v>
      </c>
      <c r="BI16" s="303" t="n">
        <f aca="false">SUM(BI8:BI15)</f>
        <v>0</v>
      </c>
      <c r="BJ16" s="303" t="n">
        <f aca="false">SUM(BJ8:BJ15)</f>
        <v>0</v>
      </c>
      <c r="BK16" s="303" t="n">
        <f aca="false">SUM(BK8:BK15)</f>
        <v>0</v>
      </c>
      <c r="BL16" s="303" t="n">
        <f aca="false">SUM(BL8:BL15)</f>
        <v>0</v>
      </c>
      <c r="BM16" s="303" t="n">
        <f aca="false">SUM(BM8:BM15)</f>
        <v>0</v>
      </c>
      <c r="BN16" s="303" t="n">
        <f aca="false">SUM(BN8:BN15)</f>
        <v>0</v>
      </c>
      <c r="BO16" s="303" t="n">
        <f aca="false">SUM(BO8:BO15)</f>
        <v>0</v>
      </c>
      <c r="BP16" s="303" t="n">
        <f aca="false">SUM(BP8:BP15)</f>
        <v>0</v>
      </c>
      <c r="BQ16" s="303" t="n">
        <f aca="false">SUM(BQ8:BQ15)</f>
        <v>0</v>
      </c>
      <c r="BR16" s="303" t="n">
        <f aca="false">SUM(BR8:BR15)</f>
        <v>0</v>
      </c>
      <c r="BS16" s="303" t="n">
        <f aca="false">SUM(BS8:BS15)</f>
        <v>0</v>
      </c>
      <c r="BT16" s="303" t="n">
        <f aca="false">SUM(BT8:BT15)</f>
        <v>0</v>
      </c>
      <c r="BU16" s="303" t="n">
        <f aca="false">SUM(BU8:BU15)</f>
        <v>0</v>
      </c>
      <c r="BV16" s="303" t="n">
        <f aca="false">SUM(BV8:BV15)</f>
        <v>0</v>
      </c>
      <c r="BW16" s="303" t="n">
        <f aca="false">SUM(BW8:BW15)</f>
        <v>0</v>
      </c>
      <c r="BX16" s="303" t="n">
        <f aca="false">SUM(BX8:BX15)</f>
        <v>0</v>
      </c>
      <c r="BY16" s="303" t="n">
        <f aca="false">SUM(BY8:BY15)</f>
        <v>0</v>
      </c>
      <c r="BZ16" s="303" t="n">
        <f aca="false">SUM(BZ8:BZ15)</f>
        <v>0</v>
      </c>
      <c r="CA16" s="303" t="n">
        <f aca="false">SUM(CA8:CA15)</f>
        <v>0</v>
      </c>
      <c r="CB16" s="303" t="n">
        <f aca="false">SUM(CB8:CB15)</f>
        <v>0</v>
      </c>
      <c r="CC16" s="303" t="n">
        <f aca="false">SUM(CC8:CC15)</f>
        <v>0</v>
      </c>
      <c r="CD16" s="303" t="n">
        <f aca="false">SUM(CD8:CD15)</f>
        <v>0</v>
      </c>
      <c r="CE16" s="303" t="n">
        <f aca="false">SUM(CE8:CE15)</f>
        <v>0</v>
      </c>
      <c r="CF16" s="303" t="n">
        <f aca="false">SUM(CF8:CF15)</f>
        <v>0</v>
      </c>
      <c r="CG16" s="303" t="n">
        <f aca="false">SUM(CG8:CG15)</f>
        <v>0</v>
      </c>
      <c r="CH16" s="303" t="n">
        <f aca="false">SUM(CH8:CH15)</f>
        <v>0</v>
      </c>
      <c r="CI16" s="303" t="n">
        <f aca="false">SUM(CI8:CI15)</f>
        <v>0</v>
      </c>
      <c r="CJ16" s="303" t="n">
        <f aca="false">SUM(CJ8:CJ15)</f>
        <v>0</v>
      </c>
      <c r="CK16" s="303" t="n">
        <f aca="false">SUM(CK8:CK15)</f>
        <v>0</v>
      </c>
      <c r="CL16" s="303" t="n">
        <f aca="false">SUM(CL8:CL15)</f>
        <v>0</v>
      </c>
      <c r="CM16" s="303" t="n">
        <f aca="false">SUM(CM8:CM15)</f>
        <v>0</v>
      </c>
      <c r="CN16" s="303" t="n">
        <f aca="false">SUM(CN8:CN15)</f>
        <v>0</v>
      </c>
      <c r="CO16" s="303" t="n">
        <f aca="false">SUM(CO8:CO15)</f>
        <v>0</v>
      </c>
      <c r="CP16" s="303" t="n">
        <f aca="false">SUM(CP8:CP15)</f>
        <v>0</v>
      </c>
      <c r="CQ16" s="303" t="n">
        <f aca="false">SUM(CQ8:CQ15)</f>
        <v>0</v>
      </c>
    </row>
    <row r="18" customFormat="false" ht="15" hidden="false" customHeight="true" outlineLevel="0" collapsed="false">
      <c r="A18" s="23" t="s">
        <v>1141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1142</v>
      </c>
      <c r="C19" s="287" t="n">
        <f aca="false">IF(Projects!$G$7="Yes",Projects!$B$7*Assumptions!$B$47+Assumptions!$B$53*Assumptions!$B$48,0)</f>
        <v>577947.65</v>
      </c>
      <c r="D19" s="287" t="n">
        <f aca="false">C21</f>
        <v>577947.65</v>
      </c>
      <c r="E19" s="287" t="n">
        <f aca="false">D21</f>
        <v>577947.65</v>
      </c>
      <c r="F19" s="287" t="n">
        <f aca="false">E21</f>
        <v>577947.65</v>
      </c>
      <c r="G19" s="287" t="n">
        <f aca="false">F21</f>
        <v>577947.65</v>
      </c>
      <c r="H19" s="287" t="n">
        <f aca="false">G21</f>
        <v>577947.65</v>
      </c>
      <c r="I19" s="287" t="n">
        <f aca="false">H21</f>
        <v>577947.65</v>
      </c>
      <c r="J19" s="287" t="n">
        <f aca="false">I21</f>
        <v>577947.65</v>
      </c>
      <c r="K19" s="287" t="n">
        <f aca="false">J21</f>
        <v>577947.65</v>
      </c>
      <c r="L19" s="287" t="n">
        <f aca="false">K21</f>
        <v>577947.65</v>
      </c>
      <c r="M19" s="287" t="n">
        <f aca="false">L21</f>
        <v>577947.65</v>
      </c>
      <c r="N19" s="287" t="n">
        <f aca="false">M21</f>
        <v>577947.65</v>
      </c>
      <c r="O19" s="287" t="n">
        <f aca="false">N21</f>
        <v>577947.65</v>
      </c>
      <c r="P19" s="287" t="n">
        <f aca="false">O21</f>
        <v>577947.65</v>
      </c>
      <c r="Q19" s="287" t="n">
        <f aca="false">P21</f>
        <v>577947.65</v>
      </c>
      <c r="R19" s="287" t="n">
        <f aca="false">Q21</f>
        <v>577947.65</v>
      </c>
      <c r="S19" s="287" t="n">
        <f aca="false">R21</f>
        <v>577947.65</v>
      </c>
      <c r="T19" s="287" t="n">
        <f aca="false">S21</f>
        <v>577947.65</v>
      </c>
      <c r="U19" s="287" t="n">
        <f aca="false">T21</f>
        <v>577947.65</v>
      </c>
      <c r="V19" s="287" t="n">
        <f aca="false">U21</f>
        <v>577947.65</v>
      </c>
      <c r="W19" s="287" t="n">
        <f aca="false">V21</f>
        <v>577947.65</v>
      </c>
      <c r="X19" s="287" t="n">
        <f aca="false">W21</f>
        <v>577947.65</v>
      </c>
      <c r="Y19" s="287" t="n">
        <f aca="false">X21</f>
        <v>577947.65</v>
      </c>
      <c r="Z19" s="287" t="n">
        <f aca="false">Y21</f>
        <v>577947.65</v>
      </c>
      <c r="AA19" s="287" t="n">
        <f aca="false">Z21</f>
        <v>577947.65</v>
      </c>
      <c r="AB19" s="287" t="n">
        <f aca="false">AA21</f>
        <v>577947.65</v>
      </c>
      <c r="AC19" s="287" t="n">
        <f aca="false">AB21</f>
        <v>577947.65</v>
      </c>
      <c r="AD19" s="287" t="n">
        <f aca="false">AC21</f>
        <v>577947.65</v>
      </c>
      <c r="AE19" s="287" t="n">
        <f aca="false">AD21</f>
        <v>577947.65</v>
      </c>
      <c r="AF19" s="287" t="n">
        <f aca="false">AE21</f>
        <v>577947.65</v>
      </c>
      <c r="AG19" s="287" t="n">
        <f aca="false">AF21</f>
        <v>577947.65</v>
      </c>
      <c r="AH19" s="287" t="n">
        <f aca="false">AG21</f>
        <v>577947.65</v>
      </c>
      <c r="AI19" s="287" t="n">
        <f aca="false">AH21</f>
        <v>577947.65</v>
      </c>
      <c r="AJ19" s="287" t="n">
        <f aca="false">AI21</f>
        <v>577947.65</v>
      </c>
      <c r="AK19" s="287" t="n">
        <f aca="false">AJ21</f>
        <v>577947.65</v>
      </c>
      <c r="AL19" s="287" t="n">
        <f aca="false">AK21</f>
        <v>577947.65</v>
      </c>
      <c r="AM19" s="287" t="n">
        <f aca="false">AL21</f>
        <v>577947.65</v>
      </c>
      <c r="AN19" s="287" t="n">
        <f aca="false">AM21</f>
        <v>577947.65</v>
      </c>
      <c r="AO19" s="287" t="n">
        <f aca="false">AN21</f>
        <v>577947.65</v>
      </c>
      <c r="AP19" s="287" t="n">
        <f aca="false">AO21</f>
        <v>577947.65</v>
      </c>
      <c r="AQ19" s="287" t="n">
        <f aca="false">AP21</f>
        <v>577947.65</v>
      </c>
      <c r="AR19" s="287" t="n">
        <f aca="false">AQ21</f>
        <v>577947.65</v>
      </c>
      <c r="AS19" s="287" t="n">
        <f aca="false">AR21</f>
        <v>496264.65</v>
      </c>
      <c r="AT19" s="287" t="n">
        <f aca="false">AS21</f>
        <v>496264.65</v>
      </c>
      <c r="AU19" s="287" t="n">
        <f aca="false">AT21</f>
        <v>496264.65</v>
      </c>
      <c r="AV19" s="287" t="n">
        <f aca="false">AU21</f>
        <v>414582.65</v>
      </c>
      <c r="AW19" s="287" t="n">
        <f aca="false">AV21</f>
        <v>414582.65</v>
      </c>
      <c r="AX19" s="287" t="n">
        <f aca="false">AW21</f>
        <v>414582.65</v>
      </c>
      <c r="AY19" s="287" t="n">
        <f aca="false">AX21</f>
        <v>332900.65</v>
      </c>
      <c r="AZ19" s="287" t="n">
        <f aca="false">AY21</f>
        <v>332900.65</v>
      </c>
      <c r="BA19" s="287" t="n">
        <f aca="false">AZ21</f>
        <v>332900.65</v>
      </c>
      <c r="BB19" s="287" t="n">
        <f aca="false">BA21</f>
        <v>251218.65</v>
      </c>
      <c r="BC19" s="287" t="n">
        <f aca="false">BB21</f>
        <v>251218.65</v>
      </c>
      <c r="BD19" s="287" t="n">
        <f aca="false">BC21</f>
        <v>251218.65</v>
      </c>
      <c r="BE19" s="287" t="n">
        <f aca="false">BD21</f>
        <v>192040.65</v>
      </c>
      <c r="BF19" s="287" t="n">
        <f aca="false">BE21</f>
        <v>192040.65</v>
      </c>
      <c r="BG19" s="287" t="n">
        <f aca="false">BF21</f>
        <v>192040.65</v>
      </c>
      <c r="BH19" s="287" t="n">
        <f aca="false">BG21</f>
        <v>132864.65</v>
      </c>
      <c r="BI19" s="287" t="n">
        <f aca="false">BH21</f>
        <v>132864.65</v>
      </c>
      <c r="BJ19" s="287" t="n">
        <f aca="false">BI21</f>
        <v>132864.65</v>
      </c>
      <c r="BK19" s="287" t="n">
        <f aca="false">BJ21</f>
        <v>73688.65</v>
      </c>
      <c r="BL19" s="287" t="n">
        <f aca="false">BK21</f>
        <v>73688.65</v>
      </c>
      <c r="BM19" s="287" t="n">
        <f aca="false">BL21</f>
        <v>73688.65</v>
      </c>
      <c r="BN19" s="287" t="n">
        <f aca="false">BM21</f>
        <v>14512.65</v>
      </c>
      <c r="BO19" s="287" t="n">
        <f aca="false">BN21</f>
        <v>14512.65</v>
      </c>
      <c r="BP19" s="287" t="n">
        <f aca="false">BO21</f>
        <v>14512.65</v>
      </c>
      <c r="BQ19" s="287" t="n">
        <f aca="false">BP21</f>
        <v>0</v>
      </c>
      <c r="BR19" s="287" t="n">
        <f aca="false">BQ21</f>
        <v>0</v>
      </c>
      <c r="BS19" s="287" t="n">
        <f aca="false">BR21</f>
        <v>0</v>
      </c>
      <c r="BT19" s="287" t="n">
        <f aca="false">BS21</f>
        <v>0</v>
      </c>
      <c r="BU19" s="287" t="n">
        <f aca="false">BT21</f>
        <v>0</v>
      </c>
      <c r="BV19" s="287" t="n">
        <f aca="false">BU21</f>
        <v>0</v>
      </c>
      <c r="BW19" s="287" t="n">
        <f aca="false">BV21</f>
        <v>0</v>
      </c>
      <c r="BX19" s="287" t="n">
        <f aca="false">BW21</f>
        <v>0</v>
      </c>
      <c r="BY19" s="287" t="n">
        <f aca="false">BX21</f>
        <v>0</v>
      </c>
      <c r="BZ19" s="287" t="n">
        <f aca="false">BY21</f>
        <v>0</v>
      </c>
      <c r="CA19" s="287" t="n">
        <f aca="false">BZ21</f>
        <v>0</v>
      </c>
      <c r="CB19" s="287" t="n">
        <f aca="false">CA21</f>
        <v>0</v>
      </c>
      <c r="CC19" s="287" t="n">
        <f aca="false">CB21</f>
        <v>0</v>
      </c>
      <c r="CD19" s="287" t="n">
        <f aca="false">CC21</f>
        <v>0</v>
      </c>
      <c r="CE19" s="287" t="n">
        <f aca="false">CD21</f>
        <v>0</v>
      </c>
      <c r="CF19" s="287" t="n">
        <f aca="false">CE21</f>
        <v>0</v>
      </c>
      <c r="CG19" s="287" t="n">
        <f aca="false">CF21</f>
        <v>0</v>
      </c>
      <c r="CH19" s="287" t="n">
        <f aca="false">CG21</f>
        <v>0</v>
      </c>
      <c r="CI19" s="287" t="n">
        <f aca="false">CH21</f>
        <v>0</v>
      </c>
      <c r="CJ19" s="287" t="n">
        <f aca="false">CI21</f>
        <v>0</v>
      </c>
      <c r="CK19" s="287" t="n">
        <f aca="false">CJ21</f>
        <v>0</v>
      </c>
      <c r="CL19" s="287" t="n">
        <f aca="false">CK21</f>
        <v>0</v>
      </c>
      <c r="CM19" s="287" t="n">
        <f aca="false">CL21</f>
        <v>0</v>
      </c>
      <c r="CN19" s="287" t="n">
        <f aca="false">CM21</f>
        <v>0</v>
      </c>
      <c r="CO19" s="287" t="n">
        <f aca="false">CN21</f>
        <v>0</v>
      </c>
      <c r="CP19" s="287" t="n">
        <f aca="false">CO21</f>
        <v>0</v>
      </c>
      <c r="CQ19" s="287" t="n">
        <f aca="false">CP21</f>
        <v>0</v>
      </c>
    </row>
    <row r="20" customFormat="false" ht="15" hidden="false" customHeight="true" outlineLevel="0" collapsed="false">
      <c r="A20" s="304" t="s">
        <v>1143</v>
      </c>
      <c r="C20" s="305" t="n">
        <f aca="false">MIN(C19,Model!E254)</f>
        <v>0</v>
      </c>
      <c r="D20" s="305" t="n">
        <f aca="false">MIN(D19,Model!F254)</f>
        <v>0</v>
      </c>
      <c r="E20" s="305" t="n">
        <f aca="false">MIN(E19,Model!G254)</f>
        <v>0</v>
      </c>
      <c r="F20" s="305" t="n">
        <f aca="false">MIN(F19,Model!H254)</f>
        <v>0</v>
      </c>
      <c r="G20" s="305" t="n">
        <f aca="false">IF(ISBLANK(Actuals!J109),MIN(G19,Model!I254),-Actuals!J109)</f>
        <v>-0</v>
      </c>
      <c r="H20" s="305" t="n">
        <f aca="false">MIN(H19,Model!J254)</f>
        <v>0</v>
      </c>
      <c r="I20" s="305" t="n">
        <f aca="false">MIN(I19,Model!K254)</f>
        <v>0</v>
      </c>
      <c r="J20" s="305" t="n">
        <f aca="false">MIN(J19,Model!L254)</f>
        <v>0</v>
      </c>
      <c r="K20" s="305" t="n">
        <f aca="false">MIN(K19,Model!M254)</f>
        <v>0</v>
      </c>
      <c r="L20" s="305" t="n">
        <f aca="false">MIN(L19,Model!N254)</f>
        <v>0</v>
      </c>
      <c r="M20" s="305" t="n">
        <f aca="false">MIN(M19,Model!O254)</f>
        <v>0</v>
      </c>
      <c r="N20" s="305" t="n">
        <f aca="false">MIN(N19,Model!P254)</f>
        <v>0</v>
      </c>
      <c r="O20" s="305" t="n">
        <f aca="false">MIN(O19,Model!Q254)</f>
        <v>0</v>
      </c>
      <c r="P20" s="305" t="n">
        <f aca="false">MIN(P19,Model!R254)</f>
        <v>0</v>
      </c>
      <c r="Q20" s="305" t="n">
        <f aca="false">MIN(Q19,Model!S254)</f>
        <v>0</v>
      </c>
      <c r="R20" s="305" t="n">
        <f aca="false">MIN(R19,Model!T254)</f>
        <v>0</v>
      </c>
      <c r="S20" s="305" t="n">
        <f aca="false">MIN(S19,Model!U254)</f>
        <v>0</v>
      </c>
      <c r="T20" s="305" t="n">
        <f aca="false">MIN(T19,Model!V254)</f>
        <v>0</v>
      </c>
      <c r="U20" s="305" t="n">
        <f aca="false">MIN(U19,Model!W254)</f>
        <v>0</v>
      </c>
      <c r="V20" s="305" t="n">
        <f aca="false">MIN(V19,Model!X254)</f>
        <v>0</v>
      </c>
      <c r="W20" s="305" t="n">
        <f aca="false">MIN(W19,Model!Y254)</f>
        <v>0</v>
      </c>
      <c r="X20" s="305" t="n">
        <f aca="false">MIN(X19,Model!Z254)</f>
        <v>0</v>
      </c>
      <c r="Y20" s="305" t="n">
        <f aca="false">MIN(Y19,Model!AA254)</f>
        <v>0</v>
      </c>
      <c r="Z20" s="305" t="n">
        <f aca="false">MIN(Z19,Model!AB254)</f>
        <v>0</v>
      </c>
      <c r="AA20" s="305" t="n">
        <f aca="false">MIN(AA19,Model!AC254)</f>
        <v>0</v>
      </c>
      <c r="AB20" s="305" t="n">
        <f aca="false">MIN(AB19,Model!AD254)</f>
        <v>0</v>
      </c>
      <c r="AC20" s="305" t="n">
        <f aca="false">MIN(AC19,Model!AE254)</f>
        <v>0</v>
      </c>
      <c r="AD20" s="305" t="n">
        <f aca="false">MIN(AD19,Model!AF254)</f>
        <v>0</v>
      </c>
      <c r="AE20" s="305" t="n">
        <f aca="false">MIN(AE19,Model!AG254)</f>
        <v>0</v>
      </c>
      <c r="AF20" s="305" t="n">
        <f aca="false">MIN(AF19,Model!AH254)</f>
        <v>0</v>
      </c>
      <c r="AG20" s="305" t="n">
        <f aca="false">MIN(AG19,Model!AI254)</f>
        <v>0</v>
      </c>
      <c r="AH20" s="305" t="n">
        <f aca="false">MIN(AH19,Model!AJ254)</f>
        <v>0</v>
      </c>
      <c r="AI20" s="305" t="n">
        <f aca="false">MIN(AI19,Model!AK254)</f>
        <v>0</v>
      </c>
      <c r="AJ20" s="305" t="n">
        <f aca="false">MIN(AJ19,Model!AL254)</f>
        <v>0</v>
      </c>
      <c r="AK20" s="305" t="n">
        <f aca="false">MIN(AK19,Model!AM254)</f>
        <v>0</v>
      </c>
      <c r="AL20" s="305" t="n">
        <f aca="false">MIN(AL19,Model!AN254)</f>
        <v>0</v>
      </c>
      <c r="AM20" s="305" t="n">
        <f aca="false">MIN(AM19,Model!AO254)</f>
        <v>0</v>
      </c>
      <c r="AN20" s="305" t="n">
        <f aca="false">MIN(AN19,Model!AP254)</f>
        <v>0</v>
      </c>
      <c r="AO20" s="305" t="n">
        <f aca="false">MIN(AO19,Model!AQ254)</f>
        <v>0</v>
      </c>
      <c r="AP20" s="305" t="n">
        <f aca="false">MIN(AP19,Model!AR254)</f>
        <v>0</v>
      </c>
      <c r="AQ20" s="305" t="n">
        <f aca="false">MIN(AQ19,Model!AS254)</f>
        <v>0</v>
      </c>
      <c r="AR20" s="305" t="n">
        <f aca="false">MIN(AR19,Model!AT254)</f>
        <v>81683</v>
      </c>
      <c r="AS20" s="305" t="n">
        <f aca="false">MIN(AS19,Model!AU254)</f>
        <v>0</v>
      </c>
      <c r="AT20" s="305" t="n">
        <f aca="false">MIN(AT19,Model!AV254)</f>
        <v>0</v>
      </c>
      <c r="AU20" s="305" t="n">
        <f aca="false">MIN(AU19,Model!AW254)</f>
        <v>81682</v>
      </c>
      <c r="AV20" s="305" t="n">
        <f aca="false">MIN(AV19,Model!AX254)</f>
        <v>0</v>
      </c>
      <c r="AW20" s="305" t="n">
        <f aca="false">MIN(AW19,Model!AY254)</f>
        <v>0</v>
      </c>
      <c r="AX20" s="305" t="n">
        <f aca="false">MIN(AX19,Model!AZ254)</f>
        <v>81682</v>
      </c>
      <c r="AY20" s="305" t="n">
        <f aca="false">MIN(AY19,Model!BA254)</f>
        <v>0</v>
      </c>
      <c r="AZ20" s="305" t="n">
        <f aca="false">MIN(AZ19,Model!BB254)</f>
        <v>0</v>
      </c>
      <c r="BA20" s="305" t="n">
        <f aca="false">MIN(BA19,Model!BC254)</f>
        <v>81682</v>
      </c>
      <c r="BB20" s="305" t="n">
        <f aca="false">MIN(BB19,Model!BD254)</f>
        <v>0</v>
      </c>
      <c r="BC20" s="305" t="n">
        <f aca="false">MIN(BC19,Model!BE254)</f>
        <v>0</v>
      </c>
      <c r="BD20" s="305" t="n">
        <f aca="false">MIN(BD19,Model!BF254)</f>
        <v>59178</v>
      </c>
      <c r="BE20" s="305" t="n">
        <f aca="false">MIN(BE19,Model!BG254)</f>
        <v>0</v>
      </c>
      <c r="BF20" s="305" t="n">
        <f aca="false">MIN(BF19,Model!BH254)</f>
        <v>0</v>
      </c>
      <c r="BG20" s="305" t="n">
        <f aca="false">MIN(BG19,Model!BI254)</f>
        <v>59176</v>
      </c>
      <c r="BH20" s="305" t="n">
        <f aca="false">MIN(BH19,Model!BJ254)</f>
        <v>0</v>
      </c>
      <c r="BI20" s="305" t="n">
        <f aca="false">MIN(BI19,Model!BK254)</f>
        <v>0</v>
      </c>
      <c r="BJ20" s="305" t="n">
        <f aca="false">MIN(BJ19,Model!BL254)</f>
        <v>59176</v>
      </c>
      <c r="BK20" s="305" t="n">
        <f aca="false">MIN(BK19,Model!BM254)</f>
        <v>0</v>
      </c>
      <c r="BL20" s="305" t="n">
        <f aca="false">MIN(BL19,Model!BN254)</f>
        <v>0</v>
      </c>
      <c r="BM20" s="305" t="n">
        <f aca="false">MIN(BM19,Model!BO254)</f>
        <v>59176</v>
      </c>
      <c r="BN20" s="305" t="n">
        <f aca="false">MIN(BN19,Model!BP254)</f>
        <v>0</v>
      </c>
      <c r="BO20" s="305" t="n">
        <f aca="false">MIN(BO19,Model!BQ254)</f>
        <v>0</v>
      </c>
      <c r="BP20" s="305" t="n">
        <f aca="false">MIN(BP19,Model!BR254)</f>
        <v>14512.65</v>
      </c>
      <c r="BQ20" s="305" t="n">
        <f aca="false">MIN(BQ19,Model!BS254)</f>
        <v>0</v>
      </c>
      <c r="BR20" s="305" t="n">
        <f aca="false">MIN(BR19,Model!BT254)</f>
        <v>0</v>
      </c>
      <c r="BS20" s="305" t="n">
        <f aca="false">MIN(BS19,Model!BU254)</f>
        <v>0</v>
      </c>
      <c r="BT20" s="305" t="n">
        <f aca="false">MIN(BT19,Model!BV254)</f>
        <v>0</v>
      </c>
      <c r="BU20" s="305" t="n">
        <f aca="false">MIN(BU19,Model!BW254)</f>
        <v>0</v>
      </c>
      <c r="BV20" s="305" t="n">
        <f aca="false">MIN(BV19,Model!BX254)</f>
        <v>0</v>
      </c>
      <c r="BW20" s="305" t="n">
        <f aca="false">MIN(BW19,Model!BY254)</f>
        <v>0</v>
      </c>
      <c r="BX20" s="305" t="n">
        <f aca="false">MIN(BX19,Model!BZ254)</f>
        <v>0</v>
      </c>
      <c r="BY20" s="305" t="n">
        <f aca="false">MIN(BY19,Model!CA254)</f>
        <v>0</v>
      </c>
      <c r="BZ20" s="305" t="n">
        <f aca="false">MIN(BZ19,Model!CB254)</f>
        <v>0</v>
      </c>
      <c r="CA20" s="305" t="n">
        <f aca="false">MIN(CA19,Model!CC254)</f>
        <v>0</v>
      </c>
      <c r="CB20" s="305" t="n">
        <f aca="false">MIN(CB19,Model!CD254)</f>
        <v>0</v>
      </c>
      <c r="CC20" s="305" t="n">
        <f aca="false">MIN(CC19,Model!CE254)</f>
        <v>0</v>
      </c>
      <c r="CD20" s="305" t="n">
        <f aca="false">MIN(CD19,Model!CF254)</f>
        <v>0</v>
      </c>
      <c r="CE20" s="305" t="n">
        <f aca="false">MIN(CE19,Model!CG254)</f>
        <v>0</v>
      </c>
      <c r="CF20" s="305" t="n">
        <f aca="false">MIN(CF19,Model!CH254)</f>
        <v>0</v>
      </c>
      <c r="CG20" s="305" t="n">
        <f aca="false">MIN(CG19,Model!CI254)</f>
        <v>0</v>
      </c>
      <c r="CH20" s="305" t="n">
        <f aca="false">MIN(CH19,Model!CJ254)</f>
        <v>0</v>
      </c>
      <c r="CI20" s="305" t="n">
        <f aca="false">MIN(CI19,Model!CK254)</f>
        <v>0</v>
      </c>
      <c r="CJ20" s="305" t="n">
        <f aca="false">MIN(CJ19,Model!CL254)</f>
        <v>0</v>
      </c>
      <c r="CK20" s="305" t="n">
        <f aca="false">MIN(CK19,Model!CM254)</f>
        <v>0</v>
      </c>
      <c r="CL20" s="305" t="n">
        <f aca="false">MIN(CL19,Model!CN254)</f>
        <v>0</v>
      </c>
      <c r="CM20" s="305" t="n">
        <f aca="false">MIN(CM19,Model!CO254)</f>
        <v>0</v>
      </c>
      <c r="CN20" s="305" t="n">
        <f aca="false">MIN(CN19,Model!CP254)</f>
        <v>0</v>
      </c>
      <c r="CO20" s="305" t="n">
        <f aca="false">MIN(CO19,Model!CQ254)</f>
        <v>0</v>
      </c>
      <c r="CP20" s="305" t="n">
        <f aca="false">MIN(CP19,Model!CR254)</f>
        <v>0</v>
      </c>
      <c r="CQ20" s="305" t="n">
        <f aca="false">MIN(CQ19,Model!CS254)</f>
        <v>0</v>
      </c>
    </row>
    <row r="21" customFormat="false" ht="15" hidden="false" customHeight="true" outlineLevel="0" collapsed="false">
      <c r="A21" s="94" t="s">
        <v>1144</v>
      </c>
      <c r="C21" s="303" t="n">
        <f aca="false">MAX(0,C19-C20)</f>
        <v>577947.65</v>
      </c>
      <c r="D21" s="303" t="n">
        <f aca="false">MAX(0,D19-D20)</f>
        <v>577947.65</v>
      </c>
      <c r="E21" s="303" t="n">
        <f aca="false">MAX(0,E19-E20)</f>
        <v>577947.65</v>
      </c>
      <c r="F21" s="303" t="n">
        <f aca="false">MAX(0,F19-F20)</f>
        <v>577947.65</v>
      </c>
      <c r="G21" s="303" t="n">
        <f aca="false">MAX(0,G19-G20)</f>
        <v>577947.65</v>
      </c>
      <c r="H21" s="303" t="n">
        <f aca="false">MAX(0,H19-H20)</f>
        <v>577947.65</v>
      </c>
      <c r="I21" s="303" t="n">
        <f aca="false">MAX(0,I19-I20)</f>
        <v>577947.65</v>
      </c>
      <c r="J21" s="303" t="n">
        <f aca="false">MAX(0,J19-J20)</f>
        <v>577947.65</v>
      </c>
      <c r="K21" s="303" t="n">
        <f aca="false">MAX(0,K19-K20)</f>
        <v>577947.65</v>
      </c>
      <c r="L21" s="303" t="n">
        <f aca="false">MAX(0,L19-L20)</f>
        <v>577947.65</v>
      </c>
      <c r="M21" s="303" t="n">
        <f aca="false">MAX(0,M19-M20)</f>
        <v>577947.65</v>
      </c>
      <c r="N21" s="303" t="n">
        <f aca="false">MAX(0,N19-N20)</f>
        <v>577947.65</v>
      </c>
      <c r="O21" s="303" t="n">
        <f aca="false">MAX(0,O19-O20)</f>
        <v>577947.65</v>
      </c>
      <c r="P21" s="303" t="n">
        <f aca="false">MAX(0,P19-P20)</f>
        <v>577947.65</v>
      </c>
      <c r="Q21" s="303" t="n">
        <f aca="false">MAX(0,Q19-Q20)</f>
        <v>577947.65</v>
      </c>
      <c r="R21" s="303" t="n">
        <f aca="false">MAX(0,R19-R20)</f>
        <v>577947.65</v>
      </c>
      <c r="S21" s="303" t="n">
        <f aca="false">MAX(0,S19-S20)</f>
        <v>577947.65</v>
      </c>
      <c r="T21" s="303" t="n">
        <f aca="false">MAX(0,T19-T20)</f>
        <v>577947.65</v>
      </c>
      <c r="U21" s="303" t="n">
        <f aca="false">MAX(0,U19-U20)</f>
        <v>577947.65</v>
      </c>
      <c r="V21" s="303" t="n">
        <f aca="false">MAX(0,V19-V20)</f>
        <v>577947.65</v>
      </c>
      <c r="W21" s="303" t="n">
        <f aca="false">MAX(0,W19-W20)</f>
        <v>577947.65</v>
      </c>
      <c r="X21" s="303" t="n">
        <f aca="false">MAX(0,X19-X20)</f>
        <v>577947.65</v>
      </c>
      <c r="Y21" s="303" t="n">
        <f aca="false">MAX(0,Y19-Y20)</f>
        <v>577947.65</v>
      </c>
      <c r="Z21" s="303" t="n">
        <f aca="false">MAX(0,Z19-Z20)</f>
        <v>577947.65</v>
      </c>
      <c r="AA21" s="303" t="n">
        <f aca="false">MAX(0,AA19-AA20)</f>
        <v>577947.65</v>
      </c>
      <c r="AB21" s="303" t="n">
        <f aca="false">MAX(0,AB19-AB20)</f>
        <v>577947.65</v>
      </c>
      <c r="AC21" s="303" t="n">
        <f aca="false">MAX(0,AC19-AC20)</f>
        <v>577947.65</v>
      </c>
      <c r="AD21" s="303" t="n">
        <f aca="false">MAX(0,AD19-AD20)</f>
        <v>577947.65</v>
      </c>
      <c r="AE21" s="303" t="n">
        <f aca="false">MAX(0,AE19-AE20)</f>
        <v>577947.65</v>
      </c>
      <c r="AF21" s="303" t="n">
        <f aca="false">MAX(0,AF19-AF20)</f>
        <v>577947.65</v>
      </c>
      <c r="AG21" s="303" t="n">
        <f aca="false">MAX(0,AG19-AG20)</f>
        <v>577947.65</v>
      </c>
      <c r="AH21" s="303" t="n">
        <f aca="false">MAX(0,AH19-AH20)</f>
        <v>577947.65</v>
      </c>
      <c r="AI21" s="303" t="n">
        <f aca="false">MAX(0,AI19-AI20)</f>
        <v>577947.65</v>
      </c>
      <c r="AJ21" s="303" t="n">
        <f aca="false">MAX(0,AJ19-AJ20)</f>
        <v>577947.65</v>
      </c>
      <c r="AK21" s="303" t="n">
        <f aca="false">MAX(0,AK19-AK20)</f>
        <v>577947.65</v>
      </c>
      <c r="AL21" s="303" t="n">
        <f aca="false">MAX(0,AL19-AL20)</f>
        <v>577947.65</v>
      </c>
      <c r="AM21" s="303" t="n">
        <f aca="false">MAX(0,AM19-AM20)</f>
        <v>577947.65</v>
      </c>
      <c r="AN21" s="303" t="n">
        <f aca="false">MAX(0,AN19-AN20)</f>
        <v>577947.65</v>
      </c>
      <c r="AO21" s="303" t="n">
        <f aca="false">MAX(0,AO19-AO20)</f>
        <v>577947.65</v>
      </c>
      <c r="AP21" s="303" t="n">
        <f aca="false">MAX(0,AP19-AP20)</f>
        <v>577947.65</v>
      </c>
      <c r="AQ21" s="303" t="n">
        <f aca="false">MAX(0,AQ19-AQ20)</f>
        <v>577947.65</v>
      </c>
      <c r="AR21" s="303" t="n">
        <f aca="false">MAX(0,AR19-AR20)</f>
        <v>496264.65</v>
      </c>
      <c r="AS21" s="303" t="n">
        <f aca="false">MAX(0,AS19-AS20)</f>
        <v>496264.65</v>
      </c>
      <c r="AT21" s="303" t="n">
        <f aca="false">MAX(0,AT19-AT20)</f>
        <v>496264.65</v>
      </c>
      <c r="AU21" s="303" t="n">
        <f aca="false">MAX(0,AU19-AU20)</f>
        <v>414582.65</v>
      </c>
      <c r="AV21" s="303" t="n">
        <f aca="false">MAX(0,AV19-AV20)</f>
        <v>414582.65</v>
      </c>
      <c r="AW21" s="303" t="n">
        <f aca="false">MAX(0,AW19-AW20)</f>
        <v>414582.65</v>
      </c>
      <c r="AX21" s="303" t="n">
        <f aca="false">MAX(0,AX19-AX20)</f>
        <v>332900.65</v>
      </c>
      <c r="AY21" s="303" t="n">
        <f aca="false">MAX(0,AY19-AY20)</f>
        <v>332900.65</v>
      </c>
      <c r="AZ21" s="303" t="n">
        <f aca="false">MAX(0,AZ19-AZ20)</f>
        <v>332900.65</v>
      </c>
      <c r="BA21" s="303" t="n">
        <f aca="false">MAX(0,BA19-BA20)</f>
        <v>251218.65</v>
      </c>
      <c r="BB21" s="303" t="n">
        <f aca="false">MAX(0,BB19-BB20)</f>
        <v>251218.65</v>
      </c>
      <c r="BC21" s="303" t="n">
        <f aca="false">MAX(0,BC19-BC20)</f>
        <v>251218.65</v>
      </c>
      <c r="BD21" s="303" t="n">
        <f aca="false">MAX(0,BD19-BD20)</f>
        <v>192040.65</v>
      </c>
      <c r="BE21" s="303" t="n">
        <f aca="false">MAX(0,BE19-BE20)</f>
        <v>192040.65</v>
      </c>
      <c r="BF21" s="303" t="n">
        <f aca="false">MAX(0,BF19-BF20)</f>
        <v>192040.65</v>
      </c>
      <c r="BG21" s="303" t="n">
        <f aca="false">MAX(0,BG19-BG20)</f>
        <v>132864.65</v>
      </c>
      <c r="BH21" s="303" t="n">
        <f aca="false">MAX(0,BH19-BH20)</f>
        <v>132864.65</v>
      </c>
      <c r="BI21" s="303" t="n">
        <f aca="false">MAX(0,BI19-BI20)</f>
        <v>132864.65</v>
      </c>
      <c r="BJ21" s="303" t="n">
        <f aca="false">MAX(0,BJ19-BJ20)</f>
        <v>73688.65</v>
      </c>
      <c r="BK21" s="303" t="n">
        <f aca="false">MAX(0,BK19-BK20)</f>
        <v>73688.65</v>
      </c>
      <c r="BL21" s="303" t="n">
        <f aca="false">MAX(0,BL19-BL20)</f>
        <v>73688.65</v>
      </c>
      <c r="BM21" s="303" t="n">
        <f aca="false">MAX(0,BM19-BM20)</f>
        <v>14512.65</v>
      </c>
      <c r="BN21" s="303" t="n">
        <f aca="false">MAX(0,BN19-BN20)</f>
        <v>14512.65</v>
      </c>
      <c r="BO21" s="303" t="n">
        <f aca="false">MAX(0,BO19-BO20)</f>
        <v>14512.65</v>
      </c>
      <c r="BP21" s="303" t="n">
        <f aca="false">MAX(0,BP19-BP20)</f>
        <v>0</v>
      </c>
      <c r="BQ21" s="303" t="n">
        <f aca="false">MAX(0,BQ19-BQ20)</f>
        <v>0</v>
      </c>
      <c r="BR21" s="303" t="n">
        <f aca="false">MAX(0,BR19-BR20)</f>
        <v>0</v>
      </c>
      <c r="BS21" s="303" t="n">
        <f aca="false">MAX(0,BS19-BS20)</f>
        <v>0</v>
      </c>
      <c r="BT21" s="303" t="n">
        <f aca="false">MAX(0,BT19-BT20)</f>
        <v>0</v>
      </c>
      <c r="BU21" s="303" t="n">
        <f aca="false">MAX(0,BU19-BU20)</f>
        <v>0</v>
      </c>
      <c r="BV21" s="303" t="n">
        <f aca="false">MAX(0,BV19-BV20)</f>
        <v>0</v>
      </c>
      <c r="BW21" s="303" t="n">
        <f aca="false">MAX(0,BW19-BW20)</f>
        <v>0</v>
      </c>
      <c r="BX21" s="303" t="n">
        <f aca="false">MAX(0,BX19-BX20)</f>
        <v>0</v>
      </c>
      <c r="BY21" s="303" t="n">
        <f aca="false">MAX(0,BY19-BY20)</f>
        <v>0</v>
      </c>
      <c r="BZ21" s="303" t="n">
        <f aca="false">MAX(0,BZ19-BZ20)</f>
        <v>0</v>
      </c>
      <c r="CA21" s="303" t="n">
        <f aca="false">MAX(0,CA19-CA20)</f>
        <v>0</v>
      </c>
      <c r="CB21" s="303" t="n">
        <f aca="false">MAX(0,CB19-CB20)</f>
        <v>0</v>
      </c>
      <c r="CC21" s="303" t="n">
        <f aca="false">MAX(0,CC19-CC20)</f>
        <v>0</v>
      </c>
      <c r="CD21" s="303" t="n">
        <f aca="false">MAX(0,CD19-CD20)</f>
        <v>0</v>
      </c>
      <c r="CE21" s="303" t="n">
        <f aca="false">MAX(0,CE19-CE20)</f>
        <v>0</v>
      </c>
      <c r="CF21" s="303" t="n">
        <f aca="false">MAX(0,CF19-CF20)</f>
        <v>0</v>
      </c>
      <c r="CG21" s="303" t="n">
        <f aca="false">MAX(0,CG19-CG20)</f>
        <v>0</v>
      </c>
      <c r="CH21" s="303" t="n">
        <f aca="false">MAX(0,CH19-CH20)</f>
        <v>0</v>
      </c>
      <c r="CI21" s="303" t="n">
        <f aca="false">MAX(0,CI19-CI20)</f>
        <v>0</v>
      </c>
      <c r="CJ21" s="303" t="n">
        <f aca="false">MAX(0,CJ19-CJ20)</f>
        <v>0</v>
      </c>
      <c r="CK21" s="303" t="n">
        <f aca="false">MAX(0,CK19-CK20)</f>
        <v>0</v>
      </c>
      <c r="CL21" s="303" t="n">
        <f aca="false">MAX(0,CL19-CL20)</f>
        <v>0</v>
      </c>
      <c r="CM21" s="303" t="n">
        <f aca="false">MAX(0,CM19-CM20)</f>
        <v>0</v>
      </c>
      <c r="CN21" s="303" t="n">
        <f aca="false">MAX(0,CN19-CN20)</f>
        <v>0</v>
      </c>
      <c r="CO21" s="303" t="n">
        <f aca="false">MAX(0,CO19-CO20)</f>
        <v>0</v>
      </c>
      <c r="CP21" s="303" t="n">
        <f aca="false">MAX(0,CP19-CP20)</f>
        <v>0</v>
      </c>
      <c r="CQ21" s="303" t="n">
        <f aca="false">MAX(0,CQ19-CQ20)</f>
        <v>0</v>
      </c>
    </row>
    <row r="22" customFormat="false" ht="15" hidden="false" customHeight="true" outlineLevel="0" collapsed="false">
      <c r="A22" s="177" t="s">
        <v>1145</v>
      </c>
      <c r="C22" s="287" t="n">
        <f aca="false">IF(Projects!$G$13="Yes",Projects!$B$13*Assumptions!$B$47+Assumptions!$B$54*Assumptions!$B$48,0)</f>
        <v>602667.7</v>
      </c>
      <c r="D22" s="287" t="n">
        <f aca="false">C24</f>
        <v>602667.7</v>
      </c>
      <c r="E22" s="287" t="n">
        <f aca="false">D24</f>
        <v>602667.7</v>
      </c>
      <c r="F22" s="287" t="n">
        <f aca="false">E24</f>
        <v>602667.7</v>
      </c>
      <c r="G22" s="287" t="n">
        <f aca="false">F24</f>
        <v>602667.7</v>
      </c>
      <c r="H22" s="287" t="n">
        <f aca="false">G24</f>
        <v>602667.7</v>
      </c>
      <c r="I22" s="287" t="n">
        <f aca="false">H24</f>
        <v>602667.7</v>
      </c>
      <c r="J22" s="287" t="n">
        <f aca="false">I24</f>
        <v>602667.7</v>
      </c>
      <c r="K22" s="287" t="n">
        <f aca="false">J24</f>
        <v>602667.7</v>
      </c>
      <c r="L22" s="287" t="n">
        <f aca="false">K24</f>
        <v>602667.7</v>
      </c>
      <c r="M22" s="287" t="n">
        <f aca="false">L24</f>
        <v>602667.7</v>
      </c>
      <c r="N22" s="287" t="n">
        <f aca="false">M24</f>
        <v>602667.7</v>
      </c>
      <c r="O22" s="287" t="n">
        <f aca="false">N24</f>
        <v>602667.7</v>
      </c>
      <c r="P22" s="287" t="n">
        <f aca="false">O24</f>
        <v>602667.7</v>
      </c>
      <c r="Q22" s="287" t="n">
        <f aca="false">P24</f>
        <v>602667.7</v>
      </c>
      <c r="R22" s="287" t="n">
        <f aca="false">Q24</f>
        <v>602667.7</v>
      </c>
      <c r="S22" s="287" t="n">
        <f aca="false">R24</f>
        <v>602667.7</v>
      </c>
      <c r="T22" s="287" t="n">
        <f aca="false">S24</f>
        <v>602667.7</v>
      </c>
      <c r="U22" s="287" t="n">
        <f aca="false">T24</f>
        <v>602667.7</v>
      </c>
      <c r="V22" s="287" t="n">
        <f aca="false">U24</f>
        <v>602667.7</v>
      </c>
      <c r="W22" s="287" t="n">
        <f aca="false">V24</f>
        <v>602667.7</v>
      </c>
      <c r="X22" s="287" t="n">
        <f aca="false">W24</f>
        <v>602667.7</v>
      </c>
      <c r="Y22" s="287" t="n">
        <f aca="false">X24</f>
        <v>602667.7</v>
      </c>
      <c r="Z22" s="287" t="n">
        <f aca="false">Y24</f>
        <v>602667.7</v>
      </c>
      <c r="AA22" s="287" t="n">
        <f aca="false">Z24</f>
        <v>602667.7</v>
      </c>
      <c r="AB22" s="287" t="n">
        <f aca="false">AA24</f>
        <v>602667.7</v>
      </c>
      <c r="AC22" s="287" t="n">
        <f aca="false">AB24</f>
        <v>602667.7</v>
      </c>
      <c r="AD22" s="287" t="n">
        <f aca="false">AC24</f>
        <v>602667.7</v>
      </c>
      <c r="AE22" s="287" t="n">
        <f aca="false">AD24</f>
        <v>602667.7</v>
      </c>
      <c r="AF22" s="287" t="n">
        <f aca="false">AE24</f>
        <v>602667.7</v>
      </c>
      <c r="AG22" s="287" t="n">
        <f aca="false">AF24</f>
        <v>602667.7</v>
      </c>
      <c r="AH22" s="287" t="n">
        <f aca="false">AG24</f>
        <v>602667.7</v>
      </c>
      <c r="AI22" s="287" t="n">
        <f aca="false">AH24</f>
        <v>602667.7</v>
      </c>
      <c r="AJ22" s="287" t="n">
        <f aca="false">AI24</f>
        <v>602667.7</v>
      </c>
      <c r="AK22" s="287" t="n">
        <f aca="false">AJ24</f>
        <v>602667.7</v>
      </c>
      <c r="AL22" s="287" t="n">
        <f aca="false">AK24</f>
        <v>602667.7</v>
      </c>
      <c r="AM22" s="287" t="n">
        <f aca="false">AL24</f>
        <v>602667.7</v>
      </c>
      <c r="AN22" s="287" t="n">
        <f aca="false">AM24</f>
        <v>602667.7</v>
      </c>
      <c r="AO22" s="287" t="n">
        <f aca="false">AN24</f>
        <v>602667.7</v>
      </c>
      <c r="AP22" s="287" t="n">
        <f aca="false">AO24</f>
        <v>602667.7</v>
      </c>
      <c r="AQ22" s="287" t="n">
        <f aca="false">AP24</f>
        <v>602667.7</v>
      </c>
      <c r="AR22" s="287" t="n">
        <f aca="false">AQ24</f>
        <v>602667.7</v>
      </c>
      <c r="AS22" s="287" t="n">
        <f aca="false">AR24</f>
        <v>602667.7</v>
      </c>
      <c r="AT22" s="287" t="n">
        <f aca="false">AS24</f>
        <v>602667.7</v>
      </c>
      <c r="AU22" s="287" t="n">
        <f aca="false">AT24</f>
        <v>602667.7</v>
      </c>
      <c r="AV22" s="287" t="n">
        <f aca="false">AU24</f>
        <v>602667.7</v>
      </c>
      <c r="AW22" s="287" t="n">
        <f aca="false">AV24</f>
        <v>602667.7</v>
      </c>
      <c r="AX22" s="287" t="n">
        <f aca="false">AW24</f>
        <v>602667.7</v>
      </c>
      <c r="AY22" s="287" t="n">
        <f aca="false">AX24</f>
        <v>602667.7</v>
      </c>
      <c r="AZ22" s="287" t="n">
        <f aca="false">AY24</f>
        <v>602667.7</v>
      </c>
      <c r="BA22" s="287" t="n">
        <f aca="false">AZ24</f>
        <v>602667.7</v>
      </c>
      <c r="BB22" s="287" t="n">
        <f aca="false">BA24</f>
        <v>0</v>
      </c>
      <c r="BC22" s="287" t="n">
        <f aca="false">BB24</f>
        <v>0</v>
      </c>
      <c r="BD22" s="287" t="n">
        <f aca="false">BC24</f>
        <v>0</v>
      </c>
      <c r="BE22" s="287" t="n">
        <f aca="false">BD24</f>
        <v>0</v>
      </c>
      <c r="BF22" s="287" t="n">
        <f aca="false">BE24</f>
        <v>0</v>
      </c>
      <c r="BG22" s="287" t="n">
        <f aca="false">BF24</f>
        <v>0</v>
      </c>
      <c r="BH22" s="287" t="n">
        <f aca="false">BG24</f>
        <v>0</v>
      </c>
      <c r="BI22" s="287" t="n">
        <f aca="false">BH24</f>
        <v>0</v>
      </c>
      <c r="BJ22" s="287" t="n">
        <f aca="false">BI24</f>
        <v>0</v>
      </c>
      <c r="BK22" s="287" t="n">
        <f aca="false">BJ24</f>
        <v>0</v>
      </c>
      <c r="BL22" s="287" t="n">
        <f aca="false">BK24</f>
        <v>0</v>
      </c>
      <c r="BM22" s="287" t="n">
        <f aca="false">BL24</f>
        <v>0</v>
      </c>
      <c r="BN22" s="287" t="n">
        <f aca="false">BM24</f>
        <v>0</v>
      </c>
      <c r="BO22" s="287" t="n">
        <f aca="false">BN24</f>
        <v>0</v>
      </c>
      <c r="BP22" s="287" t="n">
        <f aca="false">BO24</f>
        <v>0</v>
      </c>
      <c r="BQ22" s="287" t="n">
        <f aca="false">BP24</f>
        <v>0</v>
      </c>
      <c r="BR22" s="287" t="n">
        <f aca="false">BQ24</f>
        <v>0</v>
      </c>
      <c r="BS22" s="287" t="n">
        <f aca="false">BR24</f>
        <v>0</v>
      </c>
      <c r="BT22" s="287" t="n">
        <f aca="false">BS24</f>
        <v>0</v>
      </c>
      <c r="BU22" s="287" t="n">
        <f aca="false">BT24</f>
        <v>0</v>
      </c>
      <c r="BV22" s="287" t="n">
        <f aca="false">BU24</f>
        <v>0</v>
      </c>
      <c r="BW22" s="287" t="n">
        <f aca="false">BV24</f>
        <v>0</v>
      </c>
      <c r="BX22" s="287" t="n">
        <f aca="false">BW24</f>
        <v>0</v>
      </c>
      <c r="BY22" s="287" t="n">
        <f aca="false">BX24</f>
        <v>0</v>
      </c>
      <c r="BZ22" s="287" t="n">
        <f aca="false">BY24</f>
        <v>0</v>
      </c>
      <c r="CA22" s="287" t="n">
        <f aca="false">BZ24</f>
        <v>0</v>
      </c>
      <c r="CB22" s="287" t="n">
        <f aca="false">CA24</f>
        <v>0</v>
      </c>
      <c r="CC22" s="287" t="n">
        <f aca="false">CB24</f>
        <v>0</v>
      </c>
      <c r="CD22" s="287" t="n">
        <f aca="false">CC24</f>
        <v>0</v>
      </c>
      <c r="CE22" s="287" t="n">
        <f aca="false">CD24</f>
        <v>0</v>
      </c>
      <c r="CF22" s="287" t="n">
        <f aca="false">CE24</f>
        <v>0</v>
      </c>
      <c r="CG22" s="287" t="n">
        <f aca="false">CF24</f>
        <v>0</v>
      </c>
      <c r="CH22" s="287" t="n">
        <f aca="false">CG24</f>
        <v>0</v>
      </c>
      <c r="CI22" s="287" t="n">
        <f aca="false">CH24</f>
        <v>0</v>
      </c>
      <c r="CJ22" s="287" t="n">
        <f aca="false">CI24</f>
        <v>0</v>
      </c>
      <c r="CK22" s="287" t="n">
        <f aca="false">CJ24</f>
        <v>0</v>
      </c>
      <c r="CL22" s="287" t="n">
        <f aca="false">CK24</f>
        <v>0</v>
      </c>
      <c r="CM22" s="287" t="n">
        <f aca="false">CL24</f>
        <v>0</v>
      </c>
      <c r="CN22" s="287" t="n">
        <f aca="false">CM24</f>
        <v>0</v>
      </c>
      <c r="CO22" s="287" t="n">
        <f aca="false">CN24</f>
        <v>0</v>
      </c>
      <c r="CP22" s="287" t="n">
        <f aca="false">CO24</f>
        <v>0</v>
      </c>
      <c r="CQ22" s="287" t="n">
        <f aca="false">CP24</f>
        <v>0</v>
      </c>
    </row>
    <row r="23" customFormat="false" ht="15" hidden="false" customHeight="true" outlineLevel="0" collapsed="false">
      <c r="A23" s="304" t="s">
        <v>1146</v>
      </c>
      <c r="C23" s="305" t="n">
        <f aca="false">MIN(C22,Model!E255)</f>
        <v>0</v>
      </c>
      <c r="D23" s="305" t="n">
        <f aca="false">MIN(D22,Model!F255)</f>
        <v>0</v>
      </c>
      <c r="E23" s="305" t="n">
        <f aca="false">MIN(E22,Model!G255)</f>
        <v>0</v>
      </c>
      <c r="F23" s="305" t="n">
        <f aca="false">MIN(F22,Model!H255)</f>
        <v>0</v>
      </c>
      <c r="G23" s="305" t="n">
        <f aca="false">MIN(G22,Model!I255)</f>
        <v>0</v>
      </c>
      <c r="H23" s="305" t="n">
        <f aca="false">MIN(H22,Model!J255)</f>
        <v>0</v>
      </c>
      <c r="I23" s="305" t="n">
        <f aca="false">MIN(I22,Model!K255)</f>
        <v>0</v>
      </c>
      <c r="J23" s="305" t="n">
        <f aca="false">MIN(J22,Model!L255)</f>
        <v>0</v>
      </c>
      <c r="K23" s="305" t="n">
        <f aca="false">MIN(K22,Model!M255)</f>
        <v>0</v>
      </c>
      <c r="L23" s="305" t="n">
        <f aca="false">MIN(L22,Model!N255)</f>
        <v>0</v>
      </c>
      <c r="M23" s="305" t="n">
        <f aca="false">MIN(M22,Model!O255)</f>
        <v>0</v>
      </c>
      <c r="N23" s="305" t="n">
        <f aca="false">MIN(N22,Model!P255)</f>
        <v>0</v>
      </c>
      <c r="O23" s="305" t="n">
        <f aca="false">MIN(O22,Model!Q255)</f>
        <v>0</v>
      </c>
      <c r="P23" s="305" t="n">
        <f aca="false">MIN(P22,Model!R255)</f>
        <v>0</v>
      </c>
      <c r="Q23" s="305" t="n">
        <f aca="false">MIN(Q22,Model!S255)</f>
        <v>0</v>
      </c>
      <c r="R23" s="305" t="n">
        <f aca="false">MIN(R22,Model!T255)</f>
        <v>0</v>
      </c>
      <c r="S23" s="305" t="n">
        <f aca="false">MIN(S22,Model!U255)</f>
        <v>0</v>
      </c>
      <c r="T23" s="305" t="n">
        <f aca="false">MIN(T22,Model!V255)</f>
        <v>0</v>
      </c>
      <c r="U23" s="305" t="n">
        <f aca="false">MIN(U22,Model!W255)</f>
        <v>0</v>
      </c>
      <c r="V23" s="305" t="n">
        <f aca="false">MIN(V22,Model!X255)</f>
        <v>0</v>
      </c>
      <c r="W23" s="305" t="n">
        <f aca="false">MIN(W22,Model!Y255)</f>
        <v>0</v>
      </c>
      <c r="X23" s="305" t="n">
        <f aca="false">MIN(X22,Model!Z255)</f>
        <v>0</v>
      </c>
      <c r="Y23" s="305" t="n">
        <f aca="false">MIN(Y22,Model!AA255)</f>
        <v>0</v>
      </c>
      <c r="Z23" s="305" t="n">
        <f aca="false">MIN(Z22,Model!AB255)</f>
        <v>0</v>
      </c>
      <c r="AA23" s="305" t="n">
        <f aca="false">MIN(AA22,Model!AC255)</f>
        <v>0</v>
      </c>
      <c r="AB23" s="305" t="n">
        <f aca="false">MIN(AB22,Model!AD255)</f>
        <v>0</v>
      </c>
      <c r="AC23" s="305" t="n">
        <f aca="false">MIN(AC22,Model!AE255)</f>
        <v>0</v>
      </c>
      <c r="AD23" s="305" t="n">
        <f aca="false">MIN(AD22,Model!AF255)</f>
        <v>0</v>
      </c>
      <c r="AE23" s="305" t="n">
        <f aca="false">MIN(AE22,Model!AG255)</f>
        <v>0</v>
      </c>
      <c r="AF23" s="305" t="n">
        <f aca="false">MIN(AF22,Model!AH255)</f>
        <v>0</v>
      </c>
      <c r="AG23" s="305" t="n">
        <f aca="false">MIN(AG22,Model!AI255)</f>
        <v>0</v>
      </c>
      <c r="AH23" s="305" t="n">
        <f aca="false">MIN(AH22,Model!AJ255)</f>
        <v>0</v>
      </c>
      <c r="AI23" s="305" t="n">
        <f aca="false">MIN(AI22,Model!AK255)</f>
        <v>0</v>
      </c>
      <c r="AJ23" s="305" t="n">
        <f aca="false">MIN(AJ22,Model!AL255)</f>
        <v>0</v>
      </c>
      <c r="AK23" s="305" t="n">
        <f aca="false">MIN(AK22,Model!AM255)</f>
        <v>0</v>
      </c>
      <c r="AL23" s="305" t="n">
        <f aca="false">MIN(AL22,Model!AN255)</f>
        <v>0</v>
      </c>
      <c r="AM23" s="305" t="n">
        <f aca="false">MIN(AM22,Model!AO255)</f>
        <v>0</v>
      </c>
      <c r="AN23" s="305" t="n">
        <f aca="false">MIN(AN22,Model!AP255)</f>
        <v>0</v>
      </c>
      <c r="AO23" s="305" t="n">
        <f aca="false">MIN(AO22,Model!AQ255)</f>
        <v>0</v>
      </c>
      <c r="AP23" s="305" t="n">
        <f aca="false">MIN(AP22,Model!AR255)</f>
        <v>0</v>
      </c>
      <c r="AQ23" s="305" t="n">
        <f aca="false">MIN(AQ22,Model!AS255)</f>
        <v>0</v>
      </c>
      <c r="AR23" s="305" t="n">
        <f aca="false">MIN(AR22,Model!AT255)</f>
        <v>0</v>
      </c>
      <c r="AS23" s="305" t="n">
        <f aca="false">MIN(AS22,Model!AU255)</f>
        <v>0</v>
      </c>
      <c r="AT23" s="305" t="n">
        <f aca="false">MIN(AT22,Model!AV255)</f>
        <v>0</v>
      </c>
      <c r="AU23" s="305" t="n">
        <f aca="false">MIN(AU22,Model!AW255)</f>
        <v>0</v>
      </c>
      <c r="AV23" s="305" t="n">
        <f aca="false">MIN(AV22,Model!AX255)</f>
        <v>0</v>
      </c>
      <c r="AW23" s="305" t="n">
        <f aca="false">MIN(AW22,Model!AY255)</f>
        <v>0</v>
      </c>
      <c r="AX23" s="305" t="n">
        <f aca="false">MIN(AX22,Model!AZ255)</f>
        <v>0</v>
      </c>
      <c r="AY23" s="305" t="n">
        <f aca="false">MIN(AY22,Model!BA255)</f>
        <v>0</v>
      </c>
      <c r="AZ23" s="305" t="n">
        <f aca="false">MIN(AZ22,Model!BB255)</f>
        <v>0</v>
      </c>
      <c r="BA23" s="305" t="n">
        <f aca="false">MIN(BA22,Model!BC255)</f>
        <v>602667.7</v>
      </c>
      <c r="BB23" s="305" t="n">
        <f aca="false">MIN(BB22,Model!BD255)</f>
        <v>0</v>
      </c>
      <c r="BC23" s="305" t="n">
        <f aca="false">MIN(BC22,Model!BE255)</f>
        <v>0</v>
      </c>
      <c r="BD23" s="305" t="n">
        <f aca="false">MIN(BD22,Model!BF255)</f>
        <v>0</v>
      </c>
      <c r="BE23" s="305" t="n">
        <f aca="false">MIN(BE22,Model!BG255)</f>
        <v>0</v>
      </c>
      <c r="BF23" s="305" t="n">
        <f aca="false">MIN(BF22,Model!BH255)</f>
        <v>0</v>
      </c>
      <c r="BG23" s="305" t="n">
        <f aca="false">MIN(BG22,Model!BI255)</f>
        <v>0</v>
      </c>
      <c r="BH23" s="305" t="n">
        <f aca="false">MIN(BH22,Model!BJ255)</f>
        <v>0</v>
      </c>
      <c r="BI23" s="305" t="n">
        <f aca="false">MIN(BI22,Model!BK255)</f>
        <v>0</v>
      </c>
      <c r="BJ23" s="305" t="n">
        <f aca="false">MIN(BJ22,Model!BL255)</f>
        <v>0</v>
      </c>
      <c r="BK23" s="305" t="n">
        <f aca="false">MIN(BK22,Model!BM255)</f>
        <v>0</v>
      </c>
      <c r="BL23" s="305" t="n">
        <f aca="false">MIN(BL22,Model!BN255)</f>
        <v>0</v>
      </c>
      <c r="BM23" s="305" t="n">
        <f aca="false">MIN(BM22,Model!BO255)</f>
        <v>0</v>
      </c>
      <c r="BN23" s="305" t="n">
        <f aca="false">MIN(BN22,Model!BP255)</f>
        <v>0</v>
      </c>
      <c r="BO23" s="305" t="n">
        <f aca="false">MIN(BO22,Model!BQ255)</f>
        <v>0</v>
      </c>
      <c r="BP23" s="305" t="n">
        <f aca="false">MIN(BP22,Model!BR255)</f>
        <v>0</v>
      </c>
      <c r="BQ23" s="305" t="n">
        <f aca="false">MIN(BQ22,Model!BS255)</f>
        <v>0</v>
      </c>
      <c r="BR23" s="305" t="n">
        <f aca="false">MIN(BR22,Model!BT255)</f>
        <v>0</v>
      </c>
      <c r="BS23" s="305" t="n">
        <f aca="false">MIN(BS22,Model!BU255)</f>
        <v>0</v>
      </c>
      <c r="BT23" s="305" t="n">
        <f aca="false">MIN(BT22,Model!BV255)</f>
        <v>0</v>
      </c>
      <c r="BU23" s="305" t="n">
        <f aca="false">MIN(BU22,Model!BW255)</f>
        <v>0</v>
      </c>
      <c r="BV23" s="305" t="n">
        <f aca="false">MIN(BV22,Model!BX255)</f>
        <v>0</v>
      </c>
      <c r="BW23" s="305" t="n">
        <f aca="false">MIN(BW22,Model!BY255)</f>
        <v>0</v>
      </c>
      <c r="BX23" s="305" t="n">
        <f aca="false">MIN(BX22,Model!BZ255)</f>
        <v>0</v>
      </c>
      <c r="BY23" s="305" t="n">
        <f aca="false">MIN(BY22,Model!CA255)</f>
        <v>0</v>
      </c>
      <c r="BZ23" s="305" t="n">
        <f aca="false">MIN(BZ22,Model!CB255)</f>
        <v>0</v>
      </c>
      <c r="CA23" s="305" t="n">
        <f aca="false">MIN(CA22,Model!CC255)</f>
        <v>0</v>
      </c>
      <c r="CB23" s="305" t="n">
        <f aca="false">MIN(CB22,Model!CD255)</f>
        <v>0</v>
      </c>
      <c r="CC23" s="305" t="n">
        <f aca="false">MIN(CC22,Model!CE255)</f>
        <v>0</v>
      </c>
      <c r="CD23" s="305" t="n">
        <f aca="false">MIN(CD22,Model!CF255)</f>
        <v>0</v>
      </c>
      <c r="CE23" s="305" t="n">
        <f aca="false">MIN(CE22,Model!CG255)</f>
        <v>0</v>
      </c>
      <c r="CF23" s="305" t="n">
        <f aca="false">MIN(CF22,Model!CH255)</f>
        <v>0</v>
      </c>
      <c r="CG23" s="305" t="n">
        <f aca="false">MIN(CG22,Model!CI255)</f>
        <v>0</v>
      </c>
      <c r="CH23" s="305" t="n">
        <f aca="false">MIN(CH22,Model!CJ255)</f>
        <v>0</v>
      </c>
      <c r="CI23" s="305" t="n">
        <f aca="false">MIN(CI22,Model!CK255)</f>
        <v>0</v>
      </c>
      <c r="CJ23" s="305" t="n">
        <f aca="false">MIN(CJ22,Model!CL255)</f>
        <v>0</v>
      </c>
      <c r="CK23" s="305" t="n">
        <f aca="false">MIN(CK22,Model!CM255)</f>
        <v>0</v>
      </c>
      <c r="CL23" s="305" t="n">
        <f aca="false">MIN(CL22,Model!CN255)</f>
        <v>0</v>
      </c>
      <c r="CM23" s="305" t="n">
        <f aca="false">MIN(CM22,Model!CO255)</f>
        <v>0</v>
      </c>
      <c r="CN23" s="305" t="n">
        <f aca="false">MIN(CN22,Model!CP255)</f>
        <v>0</v>
      </c>
      <c r="CO23" s="305" t="n">
        <f aca="false">MIN(CO22,Model!CQ255)</f>
        <v>0</v>
      </c>
      <c r="CP23" s="305" t="n">
        <f aca="false">MIN(CP22,Model!CR255)</f>
        <v>0</v>
      </c>
      <c r="CQ23" s="305" t="n">
        <f aca="false">MIN(CQ22,Model!CS255)</f>
        <v>0</v>
      </c>
    </row>
    <row r="24" customFormat="false" ht="15" hidden="false" customHeight="true" outlineLevel="0" collapsed="false">
      <c r="A24" s="94" t="s">
        <v>1147</v>
      </c>
      <c r="C24" s="303" t="n">
        <f aca="false">MAX(0,C22-C23)</f>
        <v>602667.7</v>
      </c>
      <c r="D24" s="303" t="n">
        <f aca="false">MAX(0,D22-D23)</f>
        <v>602667.7</v>
      </c>
      <c r="E24" s="303" t="n">
        <f aca="false">MAX(0,E22-E23)</f>
        <v>602667.7</v>
      </c>
      <c r="F24" s="303" t="n">
        <f aca="false">MAX(0,F22-F23)</f>
        <v>602667.7</v>
      </c>
      <c r="G24" s="303" t="n">
        <f aca="false">MAX(0,G22-G23)</f>
        <v>602667.7</v>
      </c>
      <c r="H24" s="303" t="n">
        <f aca="false">MAX(0,H22-H23)</f>
        <v>602667.7</v>
      </c>
      <c r="I24" s="303" t="n">
        <f aca="false">MAX(0,I22-I23)</f>
        <v>602667.7</v>
      </c>
      <c r="J24" s="303" t="n">
        <f aca="false">MAX(0,J22-J23)</f>
        <v>602667.7</v>
      </c>
      <c r="K24" s="303" t="n">
        <f aca="false">MAX(0,K22-K23)</f>
        <v>602667.7</v>
      </c>
      <c r="L24" s="303" t="n">
        <f aca="false">MAX(0,L22-L23)</f>
        <v>602667.7</v>
      </c>
      <c r="M24" s="303" t="n">
        <f aca="false">MAX(0,M22-M23)</f>
        <v>602667.7</v>
      </c>
      <c r="N24" s="303" t="n">
        <f aca="false">MAX(0,N22-N23)</f>
        <v>602667.7</v>
      </c>
      <c r="O24" s="303" t="n">
        <f aca="false">MAX(0,O22-O23)</f>
        <v>602667.7</v>
      </c>
      <c r="P24" s="303" t="n">
        <f aca="false">MAX(0,P22-P23)</f>
        <v>602667.7</v>
      </c>
      <c r="Q24" s="303" t="n">
        <f aca="false">MAX(0,Q22-Q23)</f>
        <v>602667.7</v>
      </c>
      <c r="R24" s="303" t="n">
        <f aca="false">MAX(0,R22-R23)</f>
        <v>602667.7</v>
      </c>
      <c r="S24" s="303" t="n">
        <f aca="false">MAX(0,S22-S23)</f>
        <v>602667.7</v>
      </c>
      <c r="T24" s="303" t="n">
        <f aca="false">MAX(0,T22-T23)</f>
        <v>602667.7</v>
      </c>
      <c r="U24" s="303" t="n">
        <f aca="false">MAX(0,U22-U23)</f>
        <v>602667.7</v>
      </c>
      <c r="V24" s="303" t="n">
        <f aca="false">MAX(0,V22-V23)</f>
        <v>602667.7</v>
      </c>
      <c r="W24" s="303" t="n">
        <f aca="false">MAX(0,W22-W23)</f>
        <v>602667.7</v>
      </c>
      <c r="X24" s="303" t="n">
        <f aca="false">MAX(0,X22-X23)</f>
        <v>602667.7</v>
      </c>
      <c r="Y24" s="303" t="n">
        <f aca="false">MAX(0,Y22-Y23)</f>
        <v>602667.7</v>
      </c>
      <c r="Z24" s="303" t="n">
        <f aca="false">MAX(0,Z22-Z23)</f>
        <v>602667.7</v>
      </c>
      <c r="AA24" s="303" t="n">
        <f aca="false">MAX(0,AA22-AA23)</f>
        <v>602667.7</v>
      </c>
      <c r="AB24" s="303" t="n">
        <f aca="false">MAX(0,AB22-AB23)</f>
        <v>602667.7</v>
      </c>
      <c r="AC24" s="303" t="n">
        <f aca="false">MAX(0,AC22-AC23)</f>
        <v>602667.7</v>
      </c>
      <c r="AD24" s="303" t="n">
        <f aca="false">MAX(0,AD22-AD23)</f>
        <v>602667.7</v>
      </c>
      <c r="AE24" s="303" t="n">
        <f aca="false">MAX(0,AE22-AE23)</f>
        <v>602667.7</v>
      </c>
      <c r="AF24" s="303" t="n">
        <f aca="false">MAX(0,AF22-AF23)</f>
        <v>602667.7</v>
      </c>
      <c r="AG24" s="303" t="n">
        <f aca="false">MAX(0,AG22-AG23)</f>
        <v>602667.7</v>
      </c>
      <c r="AH24" s="303" t="n">
        <f aca="false">MAX(0,AH22-AH23)</f>
        <v>602667.7</v>
      </c>
      <c r="AI24" s="303" t="n">
        <f aca="false">MAX(0,AI22-AI23)</f>
        <v>602667.7</v>
      </c>
      <c r="AJ24" s="303" t="n">
        <f aca="false">MAX(0,AJ22-AJ23)</f>
        <v>602667.7</v>
      </c>
      <c r="AK24" s="303" t="n">
        <f aca="false">MAX(0,AK22-AK23)</f>
        <v>602667.7</v>
      </c>
      <c r="AL24" s="303" t="n">
        <f aca="false">MAX(0,AL22-AL23)</f>
        <v>602667.7</v>
      </c>
      <c r="AM24" s="303" t="n">
        <f aca="false">MAX(0,AM22-AM23)</f>
        <v>602667.7</v>
      </c>
      <c r="AN24" s="303" t="n">
        <f aca="false">MAX(0,AN22-AN23)</f>
        <v>602667.7</v>
      </c>
      <c r="AO24" s="303" t="n">
        <f aca="false">MAX(0,AO22-AO23)</f>
        <v>602667.7</v>
      </c>
      <c r="AP24" s="303" t="n">
        <f aca="false">MAX(0,AP22-AP23)</f>
        <v>602667.7</v>
      </c>
      <c r="AQ24" s="303" t="n">
        <f aca="false">MAX(0,AQ22-AQ23)</f>
        <v>602667.7</v>
      </c>
      <c r="AR24" s="303" t="n">
        <f aca="false">MAX(0,AR22-AR23)</f>
        <v>602667.7</v>
      </c>
      <c r="AS24" s="303" t="n">
        <f aca="false">MAX(0,AS22-AS23)</f>
        <v>602667.7</v>
      </c>
      <c r="AT24" s="303" t="n">
        <f aca="false">MAX(0,AT22-AT23)</f>
        <v>602667.7</v>
      </c>
      <c r="AU24" s="303" t="n">
        <f aca="false">MAX(0,AU22-AU23)</f>
        <v>602667.7</v>
      </c>
      <c r="AV24" s="303" t="n">
        <f aca="false">MAX(0,AV22-AV23)</f>
        <v>602667.7</v>
      </c>
      <c r="AW24" s="303" t="n">
        <f aca="false">MAX(0,AW22-AW23)</f>
        <v>602667.7</v>
      </c>
      <c r="AX24" s="303" t="n">
        <f aca="false">MAX(0,AX22-AX23)</f>
        <v>602667.7</v>
      </c>
      <c r="AY24" s="303" t="n">
        <f aca="false">MAX(0,AY22-AY23)</f>
        <v>602667.7</v>
      </c>
      <c r="AZ24" s="303" t="n">
        <f aca="false">MAX(0,AZ22-AZ23)</f>
        <v>602667.7</v>
      </c>
      <c r="BA24" s="303" t="n">
        <f aca="false">MAX(0,BA22-BA23)</f>
        <v>0</v>
      </c>
      <c r="BB24" s="303" t="n">
        <f aca="false">MAX(0,BB22-BB23)</f>
        <v>0</v>
      </c>
      <c r="BC24" s="303" t="n">
        <f aca="false">MAX(0,BC22-BC23)</f>
        <v>0</v>
      </c>
      <c r="BD24" s="303" t="n">
        <f aca="false">MAX(0,BD22-BD23)</f>
        <v>0</v>
      </c>
      <c r="BE24" s="303" t="n">
        <f aca="false">MAX(0,BE22-BE23)</f>
        <v>0</v>
      </c>
      <c r="BF24" s="303" t="n">
        <f aca="false">MAX(0,BF22-BF23)</f>
        <v>0</v>
      </c>
      <c r="BG24" s="303" t="n">
        <f aca="false">MAX(0,BG22-BG23)</f>
        <v>0</v>
      </c>
      <c r="BH24" s="303" t="n">
        <f aca="false">MAX(0,BH22-BH23)</f>
        <v>0</v>
      </c>
      <c r="BI24" s="303" t="n">
        <f aca="false">MAX(0,BI22-BI23)</f>
        <v>0</v>
      </c>
      <c r="BJ24" s="303" t="n">
        <f aca="false">MAX(0,BJ22-BJ23)</f>
        <v>0</v>
      </c>
      <c r="BK24" s="303" t="n">
        <f aca="false">MAX(0,BK22-BK23)</f>
        <v>0</v>
      </c>
      <c r="BL24" s="303" t="n">
        <f aca="false">MAX(0,BL22-BL23)</f>
        <v>0</v>
      </c>
      <c r="BM24" s="303" t="n">
        <f aca="false">MAX(0,BM22-BM23)</f>
        <v>0</v>
      </c>
      <c r="BN24" s="303" t="n">
        <f aca="false">MAX(0,BN22-BN23)</f>
        <v>0</v>
      </c>
      <c r="BO24" s="303" t="n">
        <f aca="false">MAX(0,BO22-BO23)</f>
        <v>0</v>
      </c>
      <c r="BP24" s="303" t="n">
        <f aca="false">MAX(0,BP22-BP23)</f>
        <v>0</v>
      </c>
      <c r="BQ24" s="303" t="n">
        <f aca="false">MAX(0,BQ22-BQ23)</f>
        <v>0</v>
      </c>
      <c r="BR24" s="303" t="n">
        <f aca="false">MAX(0,BR22-BR23)</f>
        <v>0</v>
      </c>
      <c r="BS24" s="303" t="n">
        <f aca="false">MAX(0,BS22-BS23)</f>
        <v>0</v>
      </c>
      <c r="BT24" s="303" t="n">
        <f aca="false">MAX(0,BT22-BT23)</f>
        <v>0</v>
      </c>
      <c r="BU24" s="303" t="n">
        <f aca="false">MAX(0,BU22-BU23)</f>
        <v>0</v>
      </c>
      <c r="BV24" s="303" t="n">
        <f aca="false">MAX(0,BV22-BV23)</f>
        <v>0</v>
      </c>
      <c r="BW24" s="303" t="n">
        <f aca="false">MAX(0,BW22-BW23)</f>
        <v>0</v>
      </c>
      <c r="BX24" s="303" t="n">
        <f aca="false">MAX(0,BX22-BX23)</f>
        <v>0</v>
      </c>
      <c r="BY24" s="303" t="n">
        <f aca="false">MAX(0,BY22-BY23)</f>
        <v>0</v>
      </c>
      <c r="BZ24" s="303" t="n">
        <f aca="false">MAX(0,BZ22-BZ23)</f>
        <v>0</v>
      </c>
      <c r="CA24" s="303" t="n">
        <f aca="false">MAX(0,CA22-CA23)</f>
        <v>0</v>
      </c>
      <c r="CB24" s="303" t="n">
        <f aca="false">MAX(0,CB22-CB23)</f>
        <v>0</v>
      </c>
      <c r="CC24" s="303" t="n">
        <f aca="false">MAX(0,CC22-CC23)</f>
        <v>0</v>
      </c>
      <c r="CD24" s="303" t="n">
        <f aca="false">MAX(0,CD22-CD23)</f>
        <v>0</v>
      </c>
      <c r="CE24" s="303" t="n">
        <f aca="false">MAX(0,CE22-CE23)</f>
        <v>0</v>
      </c>
      <c r="CF24" s="303" t="n">
        <f aca="false">MAX(0,CF22-CF23)</f>
        <v>0</v>
      </c>
      <c r="CG24" s="303" t="n">
        <f aca="false">MAX(0,CG22-CG23)</f>
        <v>0</v>
      </c>
      <c r="CH24" s="303" t="n">
        <f aca="false">MAX(0,CH22-CH23)</f>
        <v>0</v>
      </c>
      <c r="CI24" s="303" t="n">
        <f aca="false">MAX(0,CI22-CI23)</f>
        <v>0</v>
      </c>
      <c r="CJ24" s="303" t="n">
        <f aca="false">MAX(0,CJ22-CJ23)</f>
        <v>0</v>
      </c>
      <c r="CK24" s="303" t="n">
        <f aca="false">MAX(0,CK22-CK23)</f>
        <v>0</v>
      </c>
      <c r="CL24" s="303" t="n">
        <f aca="false">MAX(0,CL22-CL23)</f>
        <v>0</v>
      </c>
      <c r="CM24" s="303" t="n">
        <f aca="false">MAX(0,CM22-CM23)</f>
        <v>0</v>
      </c>
      <c r="CN24" s="303" t="n">
        <f aca="false">MAX(0,CN22-CN23)</f>
        <v>0</v>
      </c>
      <c r="CO24" s="303" t="n">
        <f aca="false">MAX(0,CO22-CO23)</f>
        <v>0</v>
      </c>
      <c r="CP24" s="303" t="n">
        <f aca="false">MAX(0,CP22-CP23)</f>
        <v>0</v>
      </c>
      <c r="CQ24" s="303" t="n">
        <f aca="false">MAX(0,CQ22-CQ23)</f>
        <v>0</v>
      </c>
    </row>
    <row r="25" customFormat="false" ht="15" hidden="false" customHeight="true" outlineLevel="0" collapsed="false">
      <c r="A25" s="1" t="s">
        <v>1148</v>
      </c>
      <c r="B25" s="1" t="s">
        <v>1149</v>
      </c>
      <c r="C25" s="30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1150</v>
      </c>
      <c r="C26" s="30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0" t="s">
        <v>1152</v>
      </c>
      <c r="B30" s="290"/>
      <c r="C30" s="290"/>
      <c r="D30" s="290"/>
      <c r="E30" s="290"/>
      <c r="F30" s="290"/>
      <c r="G30" s="290"/>
      <c r="H30" s="290"/>
      <c r="I30" s="290"/>
    </row>
    <row r="31" customFormat="false" ht="15" hidden="false" customHeight="true" outlineLevel="0" collapsed="false">
      <c r="A31" s="307" t="s">
        <v>1153</v>
      </c>
    </row>
    <row r="32" customFormat="false" ht="15" hidden="false" customHeight="true" outlineLevel="0" collapsed="false">
      <c r="A32" s="308" t="s">
        <v>12</v>
      </c>
      <c r="B32" s="218" t="n">
        <f aca="false">LOOKUP(2,1/(Model!E254:CG254&gt;0),Model!E254:CG254)</f>
        <v>76499</v>
      </c>
    </row>
    <row r="33" customFormat="false" ht="15" hidden="false" customHeight="true" outlineLevel="0" collapsed="false">
      <c r="A33" s="308" t="s">
        <v>19</v>
      </c>
      <c r="B33" s="218" t="n">
        <f aca="false">LOOKUP(2,1/(Model!E256:CG256&gt;0),Model!E256:CG256)</f>
        <v>73155</v>
      </c>
    </row>
    <row r="34" customFormat="false" ht="15" hidden="false" customHeight="true" outlineLevel="0" collapsed="false">
      <c r="A34" s="308" t="s">
        <v>18</v>
      </c>
      <c r="B34" s="218" t="n">
        <f aca="false">LOOKUP(2,1/(Model!E255:CG255&gt;0),Model!E255:CG255)</f>
        <v>81362</v>
      </c>
    </row>
    <row r="36" customFormat="false" ht="15" hidden="false" customHeight="true" outlineLevel="0" collapsed="false">
      <c r="A36" s="307" t="s">
        <v>1154</v>
      </c>
    </row>
    <row r="37" customFormat="false" ht="15" hidden="false" customHeight="true" outlineLevel="0" collapsed="false">
      <c r="A37" s="308" t="s">
        <v>12</v>
      </c>
      <c r="B37" s="90" t="n">
        <f aca="false">SUMPRODUCT((Model!E254:CG254&gt;0)*1)</f>
        <v>15</v>
      </c>
    </row>
    <row r="38" customFormat="false" ht="15" hidden="false" customHeight="true" outlineLevel="0" collapsed="false">
      <c r="A38" s="308" t="s">
        <v>19</v>
      </c>
      <c r="B38" s="90" t="n">
        <f aca="false">SUMPRODUCT((Model!E256:CG256&gt;0)*1)</f>
        <v>3</v>
      </c>
    </row>
    <row r="39" customFormat="false" ht="15" hidden="false" customHeight="true" outlineLevel="0" collapsed="false">
      <c r="A39" s="308" t="s">
        <v>18</v>
      </c>
      <c r="B39" s="90" t="n">
        <f aca="false">SUMPRODUCT((Model!E255:CG255&gt;0)*1)</f>
        <v>11</v>
      </c>
    </row>
    <row r="41" customFormat="false" ht="15" hidden="false" customHeight="true" outlineLevel="0" collapsed="false">
      <c r="A41" s="307" t="s">
        <v>1155</v>
      </c>
    </row>
    <row r="42" customFormat="false" ht="15" hidden="false" customHeight="true" outlineLevel="0" collapsed="false">
      <c r="A42" s="308" t="s">
        <v>12</v>
      </c>
      <c r="B42" s="90" t="n">
        <f aca="false">40-B37</f>
        <v>25</v>
      </c>
    </row>
    <row r="43" customFormat="false" ht="15" hidden="false" customHeight="true" outlineLevel="0" collapsed="false">
      <c r="A43" s="308" t="s">
        <v>19</v>
      </c>
      <c r="B43" s="90" t="n">
        <f aca="false">40-B38</f>
        <v>37</v>
      </c>
    </row>
    <row r="44" customFormat="false" ht="15" hidden="false" customHeight="true" outlineLevel="0" collapsed="false">
      <c r="A44" s="308" t="s">
        <v>18</v>
      </c>
      <c r="B44" s="90" t="n">
        <f aca="false">40-B39</f>
        <v>29</v>
      </c>
    </row>
    <row r="46" customFormat="false" ht="15" hidden="false" customHeight="true" outlineLevel="0" collapsed="false">
      <c r="A46" s="307" t="s">
        <v>1156</v>
      </c>
    </row>
    <row r="47" customFormat="false" ht="15" hidden="false" customHeight="true" outlineLevel="0" collapsed="false">
      <c r="A47" s="308" t="s">
        <v>12</v>
      </c>
      <c r="B47" s="218" t="n">
        <f aca="false">B32*B42</f>
        <v>1912475</v>
      </c>
    </row>
    <row r="48" customFormat="false" ht="15" hidden="false" customHeight="true" outlineLevel="0" collapsed="false">
      <c r="A48" s="308" t="s">
        <v>19</v>
      </c>
      <c r="B48" s="218" t="n">
        <f aca="false">B33*B43</f>
        <v>2706735</v>
      </c>
    </row>
    <row r="49" customFormat="false" ht="15" hidden="false" customHeight="true" outlineLevel="0" collapsed="false">
      <c r="A49" s="308" t="s">
        <v>18</v>
      </c>
      <c r="B49" s="218" t="n">
        <f aca="false">B34*B44</f>
        <v>2359498</v>
      </c>
    </row>
    <row r="51" customFormat="false" ht="15" hidden="false" customHeight="true" outlineLevel="0" collapsed="false">
      <c r="A51" s="290" t="s">
        <v>1157</v>
      </c>
      <c r="B51" s="290"/>
      <c r="C51" s="290"/>
      <c r="D51" s="290"/>
      <c r="E51" s="290"/>
      <c r="F51" s="290"/>
      <c r="G51" s="290"/>
    </row>
    <row r="52" customFormat="false" ht="15" hidden="false" customHeight="true" outlineLevel="0" collapsed="false">
      <c r="A52" s="307" t="s">
        <v>1158</v>
      </c>
      <c r="B52" s="307" t="s">
        <v>1159</v>
      </c>
      <c r="C52" s="307" t="s">
        <v>1160</v>
      </c>
      <c r="D52" s="307" t="s">
        <v>1161</v>
      </c>
      <c r="E52" s="307" t="s">
        <v>1162</v>
      </c>
      <c r="F52" s="307" t="s">
        <v>1163</v>
      </c>
      <c r="G52" s="307" t="s">
        <v>1164</v>
      </c>
    </row>
    <row r="53" customFormat="false" ht="15" hidden="false" customHeight="true" outlineLevel="0" collapsed="false">
      <c r="A53" s="90" t="n">
        <v>1</v>
      </c>
      <c r="B53" s="218" t="n">
        <f aca="false">$B$33</f>
        <v>73155</v>
      </c>
      <c r="C53" s="218" t="n">
        <f aca="false">CH27</f>
        <v>270925.32</v>
      </c>
      <c r="D53" s="218" t="n">
        <f aca="false">MIN(C53,B53)</f>
        <v>73155</v>
      </c>
      <c r="E53" s="218" t="n">
        <f aca="false">Model!CJ334</f>
        <v>570021.547005172</v>
      </c>
      <c r="F53" s="218" t="n">
        <f aca="false">E53*Assumptions!$B$59</f>
        <v>21375.8080126939</v>
      </c>
      <c r="G53" s="218" t="n">
        <f aca="false">MIN(E53+F53,MAX(0,B53-D53))</f>
        <v>0</v>
      </c>
    </row>
    <row r="54" customFormat="false" ht="15" hidden="false" customHeight="true" outlineLevel="0" collapsed="false">
      <c r="A54" s="90" t="n">
        <v>2</v>
      </c>
      <c r="B54" s="218" t="n">
        <f aca="false">$B$33</f>
        <v>73155</v>
      </c>
      <c r="C54" s="218" t="n">
        <f aca="false">MAX(0,C53-D53)</f>
        <v>197770.32</v>
      </c>
      <c r="D54" s="218" t="n">
        <f aca="false">MIN(C54,B54)</f>
        <v>73155</v>
      </c>
      <c r="E54" s="218" t="n">
        <f aca="false">MAX(0,E53+F53-G53)</f>
        <v>591397.355017866</v>
      </c>
      <c r="F54" s="218" t="n">
        <f aca="false">E54*Assumptions!$B$59</f>
        <v>22177.40081317</v>
      </c>
      <c r="G54" s="218" t="n">
        <f aca="false">MIN(E54+F54,MAX(0,B54-D54))</f>
        <v>0</v>
      </c>
    </row>
    <row r="55" customFormat="false" ht="15" hidden="false" customHeight="true" outlineLevel="0" collapsed="false">
      <c r="A55" s="90" t="n">
        <v>3</v>
      </c>
      <c r="B55" s="218" t="n">
        <f aca="false">$B$33</f>
        <v>73155</v>
      </c>
      <c r="C55" s="218" t="n">
        <f aca="false">MAX(0,C54-D54)</f>
        <v>124615.32</v>
      </c>
      <c r="D55" s="218" t="n">
        <f aca="false">MIN(C55,B55)</f>
        <v>73155</v>
      </c>
      <c r="E55" s="218" t="n">
        <f aca="false">MAX(0,E54+F54-G54)</f>
        <v>613574.755831036</v>
      </c>
      <c r="F55" s="218" t="n">
        <f aca="false">E55*Assumptions!$B$59</f>
        <v>23009.0533436638</v>
      </c>
      <c r="G55" s="218" t="n">
        <f aca="false">MIN(E55+F55,MAX(0,B55-D55))</f>
        <v>0</v>
      </c>
    </row>
    <row r="56" customFormat="false" ht="15" hidden="false" customHeight="true" outlineLevel="0" collapsed="false">
      <c r="A56" s="90" t="n">
        <v>4</v>
      </c>
      <c r="B56" s="218" t="n">
        <f aca="false">$B$33</f>
        <v>73155</v>
      </c>
      <c r="C56" s="218" t="n">
        <f aca="false">MAX(0,C55-D55)</f>
        <v>51460.3200000001</v>
      </c>
      <c r="D56" s="218" t="n">
        <f aca="false">MIN(C56,B56)</f>
        <v>51460.3200000001</v>
      </c>
      <c r="E56" s="218" t="n">
        <f aca="false">MAX(0,E55+F55-G55)</f>
        <v>636583.8091747</v>
      </c>
      <c r="F56" s="218" t="n">
        <f aca="false">E56*Assumptions!$B$59</f>
        <v>23871.8928440512</v>
      </c>
      <c r="G56" s="218" t="n">
        <f aca="false">MIN(E56+F56,MAX(0,B56-D56))</f>
        <v>21694.6799999999</v>
      </c>
    </row>
    <row r="57" customFormat="false" ht="15" hidden="false" customHeight="true" outlineLevel="0" collapsed="false">
      <c r="A57" s="90" t="n">
        <v>5</v>
      </c>
      <c r="B57" s="218" t="n">
        <f aca="false">$B$33</f>
        <v>73155</v>
      </c>
      <c r="C57" s="218" t="n">
        <f aca="false">MAX(0,C56-D56)</f>
        <v>0</v>
      </c>
      <c r="D57" s="218" t="n">
        <f aca="false">MIN(C57,B57)</f>
        <v>0</v>
      </c>
      <c r="E57" s="218" t="n">
        <f aca="false">MAX(0,E56+F56-G56)</f>
        <v>638761.022018751</v>
      </c>
      <c r="F57" s="218" t="n">
        <f aca="false">E57*Assumptions!$B$59</f>
        <v>23953.5383257032</v>
      </c>
      <c r="G57" s="218" t="n">
        <f aca="false">MIN(E57+F57,MAX(0,B57-D57))</f>
        <v>73155</v>
      </c>
    </row>
    <row r="58" customFormat="false" ht="15" hidden="false" customHeight="true" outlineLevel="0" collapsed="false">
      <c r="A58" s="90" t="n">
        <v>6</v>
      </c>
      <c r="B58" s="218" t="n">
        <f aca="false">$B$33</f>
        <v>73155</v>
      </c>
      <c r="C58" s="218" t="n">
        <f aca="false">MAX(0,C57-D57)</f>
        <v>0</v>
      </c>
      <c r="D58" s="218" t="n">
        <f aca="false">MIN(C58,B58)</f>
        <v>0</v>
      </c>
      <c r="E58" s="218" t="n">
        <f aca="false">MAX(0,E57+F57-G57)</f>
        <v>589559.560344454</v>
      </c>
      <c r="F58" s="218" t="n">
        <f aca="false">E58*Assumptions!$B$59</f>
        <v>22108.483512917</v>
      </c>
      <c r="G58" s="218" t="n">
        <f aca="false">MIN(E58+F58,MAX(0,B58-D58))</f>
        <v>73155</v>
      </c>
    </row>
    <row r="59" customFormat="false" ht="15" hidden="false" customHeight="true" outlineLevel="0" collapsed="false">
      <c r="A59" s="90" t="n">
        <v>7</v>
      </c>
      <c r="B59" s="218" t="n">
        <f aca="false">$B$33</f>
        <v>73155</v>
      </c>
      <c r="C59" s="218" t="n">
        <f aca="false">MAX(0,C58-D58)</f>
        <v>0</v>
      </c>
      <c r="D59" s="218" t="n">
        <f aca="false">MIN(C59,B59)</f>
        <v>0</v>
      </c>
      <c r="E59" s="218" t="n">
        <f aca="false">MAX(0,E58+F58-G58)</f>
        <v>538513.043857371</v>
      </c>
      <c r="F59" s="218" t="n">
        <f aca="false">E59*Assumptions!$B$59</f>
        <v>20194.2391446514</v>
      </c>
      <c r="G59" s="218" t="n">
        <f aca="false">MIN(E59+F59,MAX(0,B59-D59))</f>
        <v>73155</v>
      </c>
    </row>
    <row r="60" customFormat="false" ht="15" hidden="false" customHeight="true" outlineLevel="0" collapsed="false">
      <c r="A60" s="90" t="n">
        <v>8</v>
      </c>
      <c r="B60" s="218" t="n">
        <f aca="false">$B$33</f>
        <v>73155</v>
      </c>
      <c r="C60" s="218" t="n">
        <f aca="false">MAX(0,C59-D59)</f>
        <v>0</v>
      </c>
      <c r="D60" s="218" t="n">
        <f aca="false">MIN(C60,B60)</f>
        <v>0</v>
      </c>
      <c r="E60" s="218" t="n">
        <f aca="false">MAX(0,E59+F59-G59)</f>
        <v>485552.283002023</v>
      </c>
      <c r="F60" s="218" t="n">
        <f aca="false">E60*Assumptions!$B$59</f>
        <v>18208.2106125758</v>
      </c>
      <c r="G60" s="218" t="n">
        <f aca="false">MIN(E60+F60,MAX(0,B60-D60))</f>
        <v>73155</v>
      </c>
    </row>
    <row r="61" customFormat="false" ht="15" hidden="false" customHeight="true" outlineLevel="0" collapsed="false">
      <c r="A61" s="90" t="n">
        <v>9</v>
      </c>
      <c r="B61" s="218" t="n">
        <f aca="false">$B$33</f>
        <v>73155</v>
      </c>
      <c r="C61" s="218" t="n">
        <f aca="false">MAX(0,C60-D60)</f>
        <v>0</v>
      </c>
      <c r="D61" s="218" t="n">
        <f aca="false">MIN(C61,B61)</f>
        <v>0</v>
      </c>
      <c r="E61" s="218" t="n">
        <f aca="false">MAX(0,E60+F60-G60)</f>
        <v>430605.493614598</v>
      </c>
      <c r="F61" s="218" t="n">
        <f aca="false">E61*Assumptions!$B$59</f>
        <v>16147.7060105474</v>
      </c>
      <c r="G61" s="218" t="n">
        <f aca="false">MIN(E61+F61,MAX(0,B61-D61))</f>
        <v>73155</v>
      </c>
    </row>
    <row r="62" customFormat="false" ht="15" hidden="false" customHeight="true" outlineLevel="0" collapsed="false">
      <c r="A62" s="90" t="n">
        <v>10</v>
      </c>
      <c r="B62" s="218" t="n">
        <f aca="false">$B$33</f>
        <v>73155</v>
      </c>
      <c r="C62" s="218" t="n">
        <f aca="false">MAX(0,C61-D61)</f>
        <v>0</v>
      </c>
      <c r="D62" s="218" t="n">
        <f aca="false">MIN(C62,B62)</f>
        <v>0</v>
      </c>
      <c r="E62" s="218" t="n">
        <f aca="false">MAX(0,E61+F61-G61)</f>
        <v>373598.199625146</v>
      </c>
      <c r="F62" s="218" t="n">
        <f aca="false">E62*Assumptions!$B$59</f>
        <v>14009.932485943</v>
      </c>
      <c r="G62" s="218" t="n">
        <f aca="false">MIN(E62+F62,MAX(0,B62-D62))</f>
        <v>73155</v>
      </c>
    </row>
    <row r="63" customFormat="false" ht="15" hidden="false" customHeight="true" outlineLevel="0" collapsed="false">
      <c r="A63" s="90" t="n">
        <v>11</v>
      </c>
      <c r="B63" s="218" t="n">
        <f aca="false">$B$33</f>
        <v>73155</v>
      </c>
      <c r="C63" s="218" t="n">
        <f aca="false">MAX(0,C62-D62)</f>
        <v>0</v>
      </c>
      <c r="D63" s="218" t="n">
        <f aca="false">MIN(C63,B63)</f>
        <v>0</v>
      </c>
      <c r="E63" s="218" t="n">
        <f aca="false">MAX(0,E62+F62-G62)</f>
        <v>314453.132111089</v>
      </c>
      <c r="F63" s="218" t="n">
        <f aca="false">E63*Assumptions!$B$59</f>
        <v>11791.9924541658</v>
      </c>
      <c r="G63" s="218" t="n">
        <f aca="false">MIN(E63+F63,MAX(0,B63-D63))</f>
        <v>73155</v>
      </c>
    </row>
    <row r="64" customFormat="false" ht="15" hidden="false" customHeight="true" outlineLevel="0" collapsed="false">
      <c r="A64" s="90" t="n">
        <v>12</v>
      </c>
      <c r="B64" s="218" t="n">
        <f aca="false">$B$33</f>
        <v>73155</v>
      </c>
      <c r="C64" s="218" t="n">
        <f aca="false">MAX(0,C63-D63)</f>
        <v>0</v>
      </c>
      <c r="D64" s="218" t="n">
        <f aca="false">MIN(C64,B64)</f>
        <v>0</v>
      </c>
      <c r="E64" s="218" t="n">
        <f aca="false">MAX(0,E63+F63-G63)</f>
        <v>253090.124565255</v>
      </c>
      <c r="F64" s="218" t="n">
        <f aca="false">E64*Assumptions!$B$59</f>
        <v>9490.87967119705</v>
      </c>
      <c r="G64" s="218" t="n">
        <f aca="false">MIN(E64+F64,MAX(0,B64-D64))</f>
        <v>73155</v>
      </c>
    </row>
    <row r="65" customFormat="false" ht="15" hidden="false" customHeight="true" outlineLevel="0" collapsed="false">
      <c r="A65" s="90" t="n">
        <v>13</v>
      </c>
      <c r="B65" s="218" t="n">
        <f aca="false">$B$33</f>
        <v>73155</v>
      </c>
      <c r="C65" s="218" t="n">
        <f aca="false">MAX(0,C64-D64)</f>
        <v>0</v>
      </c>
      <c r="D65" s="218" t="n">
        <f aca="false">MIN(C65,B65)</f>
        <v>0</v>
      </c>
      <c r="E65" s="218" t="n">
        <f aca="false">MAX(0,E64+F64-G64)</f>
        <v>189426.004236452</v>
      </c>
      <c r="F65" s="218" t="n">
        <f aca="false">E65*Assumptions!$B$59</f>
        <v>7103.47515886694</v>
      </c>
      <c r="G65" s="218" t="n">
        <f aca="false">MIN(E65+F65,MAX(0,B65-D65))</f>
        <v>73155</v>
      </c>
    </row>
    <row r="66" customFormat="false" ht="15" hidden="false" customHeight="true" outlineLevel="0" collapsed="false">
      <c r="A66" s="90" t="n">
        <v>14</v>
      </c>
      <c r="B66" s="218" t="n">
        <f aca="false">$B$33</f>
        <v>73155</v>
      </c>
      <c r="C66" s="218" t="n">
        <f aca="false">MAX(0,C65-D65)</f>
        <v>0</v>
      </c>
      <c r="D66" s="218" t="n">
        <f aca="false">MIN(C66,B66)</f>
        <v>0</v>
      </c>
      <c r="E66" s="218" t="n">
        <f aca="false">MAX(0,E65+F65-G65)</f>
        <v>123374.479395319</v>
      </c>
      <c r="F66" s="218" t="n">
        <f aca="false">E66*Assumptions!$B$59</f>
        <v>4626.54297732445</v>
      </c>
      <c r="G66" s="218" t="n">
        <f aca="false">MIN(E66+F66,MAX(0,B66-D66))</f>
        <v>73155</v>
      </c>
    </row>
    <row r="67" customFormat="false" ht="15" hidden="false" customHeight="true" outlineLevel="0" collapsed="false">
      <c r="A67" s="90" t="n">
        <v>15</v>
      </c>
      <c r="B67" s="218" t="n">
        <f aca="false">$B$33</f>
        <v>73155</v>
      </c>
      <c r="C67" s="218" t="n">
        <f aca="false">MAX(0,C66-D66)</f>
        <v>0</v>
      </c>
      <c r="D67" s="218" t="n">
        <f aca="false">MIN(C67,B67)</f>
        <v>0</v>
      </c>
      <c r="E67" s="218" t="n">
        <f aca="false">MAX(0,E66+F66-G66)</f>
        <v>54846.0223726431</v>
      </c>
      <c r="F67" s="218" t="n">
        <f aca="false">E67*Assumptions!$B$59</f>
        <v>2056.72583897412</v>
      </c>
      <c r="G67" s="218" t="n">
        <f aca="false">MIN(E67+F67,MAX(0,B67-D67))</f>
        <v>56902.7482116172</v>
      </c>
    </row>
    <row r="68" customFormat="false" ht="15" hidden="false" customHeight="true" outlineLevel="0" collapsed="false">
      <c r="A68" s="90" t="n">
        <v>16</v>
      </c>
      <c r="B68" s="218" t="n">
        <f aca="false">$B$33</f>
        <v>73155</v>
      </c>
      <c r="C68" s="218" t="n">
        <f aca="false">MAX(0,C67-D67)</f>
        <v>0</v>
      </c>
      <c r="D68" s="218" t="n">
        <f aca="false">MIN(C68,B68)</f>
        <v>0</v>
      </c>
      <c r="E68" s="218" t="n">
        <f aca="false">MAX(0,E67+F67-G67)</f>
        <v>0</v>
      </c>
      <c r="F68" s="218" t="n">
        <f aca="false">E68*Assumptions!$B$59</f>
        <v>0</v>
      </c>
      <c r="G68" s="218" t="n">
        <f aca="false">MIN(E68+F68,MAX(0,B68-D68))</f>
        <v>0</v>
      </c>
    </row>
    <row r="69" customFormat="false" ht="15" hidden="false" customHeight="true" outlineLevel="0" collapsed="false">
      <c r="A69" s="90" t="n">
        <v>17</v>
      </c>
      <c r="B69" s="218" t="n">
        <f aca="false">$B$33</f>
        <v>73155</v>
      </c>
      <c r="C69" s="218" t="n">
        <f aca="false">MAX(0,C68-D68)</f>
        <v>0</v>
      </c>
      <c r="D69" s="218" t="n">
        <f aca="false">MIN(C69,B69)</f>
        <v>0</v>
      </c>
      <c r="E69" s="218" t="n">
        <f aca="false">MAX(0,E68+F68-G68)</f>
        <v>0</v>
      </c>
      <c r="F69" s="218" t="n">
        <f aca="false">E69*Assumptions!$B$59</f>
        <v>0</v>
      </c>
      <c r="G69" s="218" t="n">
        <f aca="false">MIN(E69+F69,MAX(0,B69-D69))</f>
        <v>0</v>
      </c>
    </row>
    <row r="70" customFormat="false" ht="15" hidden="false" customHeight="true" outlineLevel="0" collapsed="false">
      <c r="A70" s="90" t="n">
        <v>18</v>
      </c>
      <c r="B70" s="218" t="n">
        <f aca="false">$B$33</f>
        <v>73155</v>
      </c>
      <c r="C70" s="218" t="n">
        <f aca="false">MAX(0,C69-D69)</f>
        <v>0</v>
      </c>
      <c r="D70" s="218" t="n">
        <f aca="false">MIN(C70,B70)</f>
        <v>0</v>
      </c>
      <c r="E70" s="218" t="n">
        <f aca="false">MAX(0,E69+F69-G69)</f>
        <v>0</v>
      </c>
      <c r="F70" s="218" t="n">
        <f aca="false">E70*Assumptions!$B$59</f>
        <v>0</v>
      </c>
      <c r="G70" s="218" t="n">
        <f aca="false">MIN(E70+F70,MAX(0,B70-D70))</f>
        <v>0</v>
      </c>
    </row>
    <row r="71" customFormat="false" ht="15" hidden="false" customHeight="true" outlineLevel="0" collapsed="false">
      <c r="A71" s="90" t="n">
        <v>19</v>
      </c>
      <c r="B71" s="218" t="n">
        <f aca="false">$B$33</f>
        <v>73155</v>
      </c>
      <c r="C71" s="218" t="n">
        <f aca="false">MAX(0,C70-D70)</f>
        <v>0</v>
      </c>
      <c r="D71" s="218" t="n">
        <f aca="false">MIN(C71,B71)</f>
        <v>0</v>
      </c>
      <c r="E71" s="218" t="n">
        <f aca="false">MAX(0,E70+F70-G70)</f>
        <v>0</v>
      </c>
      <c r="F71" s="218" t="n">
        <f aca="false">E71*Assumptions!$B$59</f>
        <v>0</v>
      </c>
      <c r="G71" s="218" t="n">
        <f aca="false">MIN(E71+F71,MAX(0,B71-D71))</f>
        <v>0</v>
      </c>
    </row>
    <row r="72" customFormat="false" ht="15" hidden="false" customHeight="true" outlineLevel="0" collapsed="false">
      <c r="A72" s="90" t="n">
        <v>20</v>
      </c>
      <c r="B72" s="218" t="n">
        <f aca="false">$B$33</f>
        <v>73155</v>
      </c>
      <c r="C72" s="218" t="n">
        <f aca="false">MAX(0,C71-D71)</f>
        <v>0</v>
      </c>
      <c r="D72" s="218" t="n">
        <f aca="false">MIN(C72,B72)</f>
        <v>0</v>
      </c>
      <c r="E72" s="218" t="n">
        <f aca="false">MAX(0,E71+F71-G71)</f>
        <v>0</v>
      </c>
      <c r="F72" s="218" t="n">
        <f aca="false">E72*Assumptions!$B$59</f>
        <v>0</v>
      </c>
      <c r="G72" s="218" t="n">
        <f aca="false">MIN(E72+F72,MAX(0,B72-D72))</f>
        <v>0</v>
      </c>
    </row>
    <row r="73" customFormat="false" ht="15" hidden="false" customHeight="true" outlineLevel="0" collapsed="false">
      <c r="A73" s="90" t="n">
        <v>21</v>
      </c>
      <c r="B73" s="218" t="n">
        <f aca="false">$B$33</f>
        <v>73155</v>
      </c>
      <c r="C73" s="218" t="n">
        <f aca="false">MAX(0,C72-D72)</f>
        <v>0</v>
      </c>
      <c r="D73" s="218" t="n">
        <f aca="false">MIN(C73,B73)</f>
        <v>0</v>
      </c>
      <c r="E73" s="218" t="n">
        <f aca="false">MAX(0,E72+F72-G72)</f>
        <v>0</v>
      </c>
      <c r="F73" s="218" t="n">
        <f aca="false">E73*Assumptions!$B$59</f>
        <v>0</v>
      </c>
      <c r="G73" s="218" t="n">
        <f aca="false">MIN(E73+F73,MAX(0,B73-D73))</f>
        <v>0</v>
      </c>
    </row>
    <row r="74" customFormat="false" ht="15" hidden="false" customHeight="true" outlineLevel="0" collapsed="false">
      <c r="A74" s="90" t="n">
        <v>22</v>
      </c>
      <c r="B74" s="218" t="n">
        <f aca="false">$B$33</f>
        <v>73155</v>
      </c>
      <c r="C74" s="218" t="n">
        <f aca="false">MAX(0,C73-D73)</f>
        <v>0</v>
      </c>
      <c r="D74" s="218" t="n">
        <f aca="false">MIN(C74,B74)</f>
        <v>0</v>
      </c>
      <c r="E74" s="218" t="n">
        <f aca="false">MAX(0,E73+F73-G73)</f>
        <v>0</v>
      </c>
      <c r="F74" s="218" t="n">
        <f aca="false">E74*Assumptions!$B$59</f>
        <v>0</v>
      </c>
      <c r="G74" s="218" t="n">
        <f aca="false">MIN(E74+F74,MAX(0,B74-D74))</f>
        <v>0</v>
      </c>
    </row>
    <row r="75" customFormat="false" ht="15" hidden="false" customHeight="true" outlineLevel="0" collapsed="false">
      <c r="A75" s="90" t="n">
        <v>23</v>
      </c>
      <c r="B75" s="218" t="n">
        <f aca="false">$B$33</f>
        <v>73155</v>
      </c>
      <c r="C75" s="218" t="n">
        <f aca="false">MAX(0,C74-D74)</f>
        <v>0</v>
      </c>
      <c r="D75" s="218" t="n">
        <f aca="false">MIN(C75,B75)</f>
        <v>0</v>
      </c>
      <c r="E75" s="218" t="n">
        <f aca="false">MAX(0,E74+F74-G74)</f>
        <v>0</v>
      </c>
      <c r="F75" s="218" t="n">
        <f aca="false">E75*Assumptions!$B$59</f>
        <v>0</v>
      </c>
      <c r="G75" s="218" t="n">
        <f aca="false">MIN(E75+F75,MAX(0,B75-D75))</f>
        <v>0</v>
      </c>
    </row>
    <row r="76" customFormat="false" ht="15" hidden="false" customHeight="true" outlineLevel="0" collapsed="false">
      <c r="A76" s="90" t="n">
        <v>24</v>
      </c>
      <c r="B76" s="218" t="n">
        <f aca="false">$B$33</f>
        <v>73155</v>
      </c>
      <c r="C76" s="218" t="n">
        <f aca="false">MAX(0,C75-D75)</f>
        <v>0</v>
      </c>
      <c r="D76" s="218" t="n">
        <f aca="false">MIN(C76,B76)</f>
        <v>0</v>
      </c>
      <c r="E76" s="218" t="n">
        <f aca="false">MAX(0,E75+F75-G75)</f>
        <v>0</v>
      </c>
      <c r="F76" s="218" t="n">
        <f aca="false">E76*Assumptions!$B$59</f>
        <v>0</v>
      </c>
      <c r="G76" s="218" t="n">
        <f aca="false">MIN(E76+F76,MAX(0,B76-D76))</f>
        <v>0</v>
      </c>
    </row>
    <row r="77" customFormat="false" ht="15" hidden="false" customHeight="true" outlineLevel="0" collapsed="false">
      <c r="A77" s="90" t="n">
        <v>25</v>
      </c>
      <c r="B77" s="218" t="n">
        <f aca="false">$B$33</f>
        <v>73155</v>
      </c>
      <c r="C77" s="218" t="n">
        <f aca="false">MAX(0,C76-D76)</f>
        <v>0</v>
      </c>
      <c r="D77" s="218" t="n">
        <f aca="false">MIN(C77,B77)</f>
        <v>0</v>
      </c>
      <c r="E77" s="218" t="n">
        <f aca="false">MAX(0,E76+F76-G76)</f>
        <v>0</v>
      </c>
      <c r="F77" s="218" t="n">
        <f aca="false">E77*Assumptions!$B$59</f>
        <v>0</v>
      </c>
      <c r="G77" s="218" t="n">
        <f aca="false">MIN(E77+F77,MAX(0,B77-D77))</f>
        <v>0</v>
      </c>
    </row>
    <row r="78" customFormat="false" ht="15" hidden="false" customHeight="true" outlineLevel="0" collapsed="false">
      <c r="A78" s="90" t="n">
        <v>26</v>
      </c>
      <c r="B78" s="218" t="n">
        <f aca="false">$B$33</f>
        <v>73155</v>
      </c>
      <c r="C78" s="218" t="n">
        <f aca="false">MAX(0,C77-D77)</f>
        <v>0</v>
      </c>
      <c r="D78" s="218" t="n">
        <f aca="false">MIN(C78,B78)</f>
        <v>0</v>
      </c>
      <c r="E78" s="218" t="n">
        <f aca="false">MAX(0,E77+F77-G77)</f>
        <v>0</v>
      </c>
      <c r="F78" s="218" t="n">
        <f aca="false">E78*Assumptions!$B$59</f>
        <v>0</v>
      </c>
      <c r="G78" s="218" t="n">
        <f aca="false">MIN(E78+F78,MAX(0,B78-D78))</f>
        <v>0</v>
      </c>
    </row>
    <row r="79" customFormat="false" ht="15" hidden="false" customHeight="true" outlineLevel="0" collapsed="false">
      <c r="A79" s="90" t="n">
        <v>27</v>
      </c>
      <c r="B79" s="218" t="n">
        <f aca="false">$B$33</f>
        <v>73155</v>
      </c>
      <c r="C79" s="218" t="n">
        <f aca="false">MAX(0,C78-D78)</f>
        <v>0</v>
      </c>
      <c r="D79" s="218" t="n">
        <f aca="false">MIN(C79,B79)</f>
        <v>0</v>
      </c>
      <c r="E79" s="218" t="n">
        <f aca="false">MAX(0,E78+F78-G78)</f>
        <v>0</v>
      </c>
      <c r="F79" s="218" t="n">
        <f aca="false">E79*Assumptions!$B$59</f>
        <v>0</v>
      </c>
      <c r="G79" s="218" t="n">
        <f aca="false">MIN(E79+F79,MAX(0,B79-D79))</f>
        <v>0</v>
      </c>
    </row>
    <row r="80" customFormat="false" ht="15" hidden="false" customHeight="true" outlineLevel="0" collapsed="false">
      <c r="A80" s="90" t="n">
        <v>28</v>
      </c>
      <c r="B80" s="218" t="n">
        <f aca="false">$B$33</f>
        <v>73155</v>
      </c>
      <c r="C80" s="218" t="n">
        <f aca="false">MAX(0,C79-D79)</f>
        <v>0</v>
      </c>
      <c r="D80" s="218" t="n">
        <f aca="false">MIN(C80,B80)</f>
        <v>0</v>
      </c>
      <c r="E80" s="218" t="n">
        <f aca="false">MAX(0,E79+F79-G79)</f>
        <v>0</v>
      </c>
      <c r="F80" s="218" t="n">
        <f aca="false">E80*Assumptions!$B$59</f>
        <v>0</v>
      </c>
      <c r="G80" s="218" t="n">
        <f aca="false">MIN(E80+F80,MAX(0,B80-D80))</f>
        <v>0</v>
      </c>
    </row>
    <row r="81" customFormat="false" ht="15" hidden="false" customHeight="true" outlineLevel="0" collapsed="false">
      <c r="A81" s="90" t="n">
        <v>29</v>
      </c>
      <c r="B81" s="218" t="n">
        <f aca="false">$B$33</f>
        <v>73155</v>
      </c>
      <c r="C81" s="218" t="n">
        <f aca="false">MAX(0,C80-D80)</f>
        <v>0</v>
      </c>
      <c r="D81" s="218" t="n">
        <f aca="false">MIN(C81,B81)</f>
        <v>0</v>
      </c>
      <c r="E81" s="218" t="n">
        <f aca="false">MAX(0,E80+F80-G80)</f>
        <v>0</v>
      </c>
      <c r="F81" s="218" t="n">
        <f aca="false">E81*Assumptions!$B$59</f>
        <v>0</v>
      </c>
      <c r="G81" s="218" t="n">
        <f aca="false">MIN(E81+F81,MAX(0,B81-D81))</f>
        <v>0</v>
      </c>
    </row>
    <row r="82" customFormat="false" ht="15" hidden="false" customHeight="true" outlineLevel="0" collapsed="false">
      <c r="A82" s="90" t="n">
        <v>30</v>
      </c>
      <c r="B82" s="218" t="n">
        <f aca="false">$B$33</f>
        <v>73155</v>
      </c>
      <c r="C82" s="218" t="n">
        <f aca="false">MAX(0,C81-D81)</f>
        <v>0</v>
      </c>
      <c r="D82" s="218" t="n">
        <f aca="false">MIN(C82,B82)</f>
        <v>0</v>
      </c>
      <c r="E82" s="218" t="n">
        <f aca="false">MAX(0,E81+F81-G81)</f>
        <v>0</v>
      </c>
      <c r="F82" s="218" t="n">
        <f aca="false">E82*Assumptions!$B$59</f>
        <v>0</v>
      </c>
      <c r="G82" s="218" t="n">
        <f aca="false">MIN(E82+F82,MAX(0,B82-D82))</f>
        <v>0</v>
      </c>
    </row>
    <row r="83" customFormat="false" ht="15" hidden="false" customHeight="true" outlineLevel="0" collapsed="false">
      <c r="A83" s="90" t="n">
        <v>31</v>
      </c>
      <c r="B83" s="218" t="n">
        <f aca="false">$B$33</f>
        <v>73155</v>
      </c>
      <c r="C83" s="218" t="n">
        <f aca="false">MAX(0,C82-D82)</f>
        <v>0</v>
      </c>
      <c r="D83" s="218" t="n">
        <f aca="false">MIN(C83,B83)</f>
        <v>0</v>
      </c>
      <c r="E83" s="218" t="n">
        <f aca="false">MAX(0,E82+F82-G82)</f>
        <v>0</v>
      </c>
      <c r="F83" s="218" t="n">
        <f aca="false">E83*Assumptions!$B$59</f>
        <v>0</v>
      </c>
      <c r="G83" s="218" t="n">
        <f aca="false">MIN(E83+F83,MAX(0,B83-D83))</f>
        <v>0</v>
      </c>
    </row>
    <row r="84" customFormat="false" ht="15" hidden="false" customHeight="true" outlineLevel="0" collapsed="false">
      <c r="A84" s="90" t="n">
        <v>32</v>
      </c>
      <c r="B84" s="218" t="n">
        <f aca="false">$B$33</f>
        <v>73155</v>
      </c>
      <c r="C84" s="218" t="n">
        <f aca="false">MAX(0,C83-D83)</f>
        <v>0</v>
      </c>
      <c r="D84" s="218" t="n">
        <f aca="false">MIN(C84,B84)</f>
        <v>0</v>
      </c>
      <c r="E84" s="218" t="n">
        <f aca="false">MAX(0,E83+F83-G83)</f>
        <v>0</v>
      </c>
      <c r="F84" s="218" t="n">
        <f aca="false">E84*Assumptions!$B$59</f>
        <v>0</v>
      </c>
      <c r="G84" s="218" t="n">
        <f aca="false">MIN(E84+F84,MAX(0,B84-D84))</f>
        <v>0</v>
      </c>
    </row>
    <row r="85" customFormat="false" ht="15" hidden="false" customHeight="true" outlineLevel="0" collapsed="false">
      <c r="A85" s="90" t="n">
        <v>33</v>
      </c>
      <c r="B85" s="218" t="n">
        <f aca="false">$B$33</f>
        <v>73155</v>
      </c>
      <c r="C85" s="218" t="n">
        <f aca="false">MAX(0,C84-D84)</f>
        <v>0</v>
      </c>
      <c r="D85" s="218" t="n">
        <f aca="false">MIN(C85,B85)</f>
        <v>0</v>
      </c>
      <c r="E85" s="218" t="n">
        <f aca="false">MAX(0,E84+F84-G84)</f>
        <v>0</v>
      </c>
      <c r="F85" s="218" t="n">
        <f aca="false">E85*Assumptions!$B$59</f>
        <v>0</v>
      </c>
      <c r="G85" s="218" t="n">
        <f aca="false">MIN(E85+F85,MAX(0,B85-D85))</f>
        <v>0</v>
      </c>
    </row>
    <row r="86" customFormat="false" ht="15" hidden="false" customHeight="true" outlineLevel="0" collapsed="false">
      <c r="A86" s="90" t="n">
        <v>34</v>
      </c>
      <c r="B86" s="218" t="n">
        <f aca="false">$B$33</f>
        <v>73155</v>
      </c>
      <c r="C86" s="218" t="n">
        <f aca="false">MAX(0,C85-D85)</f>
        <v>0</v>
      </c>
      <c r="D86" s="218" t="n">
        <f aca="false">MIN(C86,B86)</f>
        <v>0</v>
      </c>
      <c r="E86" s="218" t="n">
        <f aca="false">MAX(0,E85+F85-G85)</f>
        <v>0</v>
      </c>
      <c r="F86" s="218" t="n">
        <f aca="false">E86*Assumptions!$B$59</f>
        <v>0</v>
      </c>
      <c r="G86" s="218" t="n">
        <f aca="false">MIN(E86+F86,MAX(0,B86-D86))</f>
        <v>0</v>
      </c>
    </row>
    <row r="87" customFormat="false" ht="15" hidden="false" customHeight="true" outlineLevel="0" collapsed="false">
      <c r="A87" s="90" t="n">
        <v>35</v>
      </c>
      <c r="B87" s="218" t="n">
        <f aca="false">$B$33</f>
        <v>73155</v>
      </c>
      <c r="C87" s="218" t="n">
        <f aca="false">MAX(0,C86-D86)</f>
        <v>0</v>
      </c>
      <c r="D87" s="218" t="n">
        <f aca="false">MIN(C87,B87)</f>
        <v>0</v>
      </c>
      <c r="E87" s="218" t="n">
        <f aca="false">MAX(0,E86+F86-G86)</f>
        <v>0</v>
      </c>
      <c r="F87" s="218" t="n">
        <f aca="false">E87*Assumptions!$B$59</f>
        <v>0</v>
      </c>
      <c r="G87" s="218" t="n">
        <f aca="false">MIN(E87+F87,MAX(0,B87-D87))</f>
        <v>0</v>
      </c>
    </row>
    <row r="88" customFormat="false" ht="15" hidden="false" customHeight="true" outlineLevel="0" collapsed="false">
      <c r="A88" s="90" t="n">
        <v>36</v>
      </c>
      <c r="B88" s="218" t="n">
        <f aca="false">$B$33</f>
        <v>73155</v>
      </c>
      <c r="C88" s="218" t="n">
        <f aca="false">MAX(0,C87-D87)</f>
        <v>0</v>
      </c>
      <c r="D88" s="218" t="n">
        <f aca="false">MIN(C88,B88)</f>
        <v>0</v>
      </c>
      <c r="E88" s="218" t="n">
        <f aca="false">MAX(0,E87+F87-G87)</f>
        <v>0</v>
      </c>
      <c r="F88" s="218" t="n">
        <f aca="false">E88*Assumptions!$B$59</f>
        <v>0</v>
      </c>
      <c r="G88" s="218" t="n">
        <f aca="false">MIN(E88+F88,MAX(0,B88-D88))</f>
        <v>0</v>
      </c>
    </row>
    <row r="89" customFormat="false" ht="15" hidden="false" customHeight="true" outlineLevel="0" collapsed="false">
      <c r="A89" s="90" t="n">
        <v>37</v>
      </c>
      <c r="B89" s="218" t="n">
        <f aca="false">$B$33</f>
        <v>73155</v>
      </c>
      <c r="C89" s="218" t="n">
        <f aca="false">MAX(0,C88-D88)</f>
        <v>0</v>
      </c>
      <c r="D89" s="218" t="n">
        <f aca="false">MIN(C89,B89)</f>
        <v>0</v>
      </c>
      <c r="E89" s="218" t="n">
        <f aca="false">MAX(0,E88+F88-G88)</f>
        <v>0</v>
      </c>
      <c r="F89" s="218" t="n">
        <f aca="false">E89*Assumptions!$B$59</f>
        <v>0</v>
      </c>
      <c r="G89" s="218" t="n">
        <f aca="false">MIN(E89+F89,MAX(0,B89-D89))</f>
        <v>0</v>
      </c>
    </row>
    <row r="90" customFormat="false" ht="15" hidden="false" customHeight="true" outlineLevel="0" collapsed="false">
      <c r="A90" s="90" t="n">
        <v>38</v>
      </c>
      <c r="B90" s="218" t="n">
        <f aca="false">$B$33</f>
        <v>73155</v>
      </c>
      <c r="C90" s="218" t="n">
        <f aca="false">MAX(0,C89-D89)</f>
        <v>0</v>
      </c>
      <c r="D90" s="218" t="n">
        <f aca="false">MIN(C90,B90)</f>
        <v>0</v>
      </c>
      <c r="E90" s="218" t="n">
        <f aca="false">MAX(0,E89+F89-G89)</f>
        <v>0</v>
      </c>
      <c r="F90" s="218" t="n">
        <f aca="false">E90*Assumptions!$B$59</f>
        <v>0</v>
      </c>
      <c r="G90" s="218" t="n">
        <f aca="false">MIN(E90+F90,MAX(0,B90-D90))</f>
        <v>0</v>
      </c>
    </row>
    <row r="91" customFormat="false" ht="15" hidden="false" customHeight="true" outlineLevel="0" collapsed="false">
      <c r="A91" s="90" t="n">
        <v>39</v>
      </c>
      <c r="B91" s="218" t="n">
        <f aca="false">$B$33</f>
        <v>73155</v>
      </c>
      <c r="C91" s="218" t="n">
        <f aca="false">MAX(0,C90-D90)</f>
        <v>0</v>
      </c>
      <c r="D91" s="218" t="n">
        <f aca="false">MIN(C91,B91)</f>
        <v>0</v>
      </c>
      <c r="E91" s="218" t="n">
        <f aca="false">MAX(0,E90+F90-G90)</f>
        <v>0</v>
      </c>
      <c r="F91" s="218" t="n">
        <f aca="false">E91*Assumptions!$B$59</f>
        <v>0</v>
      </c>
      <c r="G91" s="218" t="n">
        <f aca="false">MIN(E91+F91,MAX(0,B91-D91))</f>
        <v>0</v>
      </c>
    </row>
    <row r="92" customFormat="false" ht="15" hidden="false" customHeight="true" outlineLevel="0" collapsed="false">
      <c r="A92" s="90" t="n">
        <v>40</v>
      </c>
      <c r="B92" s="218" t="n">
        <f aca="false">$B$33</f>
        <v>73155</v>
      </c>
      <c r="C92" s="218" t="n">
        <f aca="false">MAX(0,C91-D91)</f>
        <v>0</v>
      </c>
      <c r="D92" s="218" t="n">
        <f aca="false">MIN(C92,B92)</f>
        <v>0</v>
      </c>
      <c r="E92" s="218" t="n">
        <f aca="false">MAX(0,E91+F91-G91)</f>
        <v>0</v>
      </c>
      <c r="F92" s="218" t="n">
        <f aca="false">E92*Assumptions!$B$59</f>
        <v>0</v>
      </c>
      <c r="G92" s="218" t="n">
        <f aca="false">MIN(E92+F92,MAX(0,B92-D92))</f>
        <v>0</v>
      </c>
    </row>
    <row r="93" customFormat="false" ht="15" hidden="false" customHeight="true" outlineLevel="0" collapsed="false">
      <c r="A93" s="307" t="s">
        <v>1165</v>
      </c>
      <c r="D93" s="309" t="n">
        <f aca="false">SUM(D53:D92)</f>
        <v>270925.32</v>
      </c>
      <c r="F93" s="309" t="n">
        <f aca="false">SUM(F53:F92)</f>
        <v>240125.881206445</v>
      </c>
      <c r="G93" s="309" t="n">
        <f aca="false">SUM(G53:G92)</f>
        <v>810147.428211617</v>
      </c>
    </row>
    <row r="94" customFormat="false" ht="15" hidden="false" customHeight="true" outlineLevel="0" collapsed="false">
      <c r="A94" s="1" t="s">
        <v>1166</v>
      </c>
    </row>
    <row r="95" customFormat="false" ht="15" hidden="false" customHeight="true" outlineLevel="0" collapsed="false">
      <c r="A95" s="1" t="s">
        <v>1167</v>
      </c>
    </row>
    <row r="96" customFormat="false" ht="15" hidden="false" customHeight="true" outlineLevel="0" collapsed="false">
      <c r="A96" s="72" t="s">
        <v>1168</v>
      </c>
      <c r="B96" s="310" t="n">
        <f aca="false">SUM(Actuals!C112:N112)</f>
        <v>-1672913.98</v>
      </c>
      <c r="C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1"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1"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1"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1"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1"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1"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1"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1"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1"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1"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1"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1"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1"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1"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1"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1"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1"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1"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1"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1"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1"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1"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1"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1"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1"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1"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1"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1"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1"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1"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1"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1"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1"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1"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1"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1"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1"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1"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1"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1"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1"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1"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1"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1"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1"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1"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1"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1"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1"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1"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1"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1"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1"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1"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1"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1"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1"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1"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1"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1"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1"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1"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1"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1"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1"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1"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1"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1"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1"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1"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1"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1"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1"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1"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1"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1"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1"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1"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1"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1"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1"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1"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1"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1"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1"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1"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1"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1"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1"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1"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1"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1"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1"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1"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1"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1"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1"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1"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1"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1"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1"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1"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1"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1"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1169</v>
      </c>
      <c r="C97" s="311"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1"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1"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1"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1"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1"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1"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1"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1"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1"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1"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1"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1"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1"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1"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1"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1"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1"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1"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1"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1"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1"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1"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1"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1"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1"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1"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1"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1"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1"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1"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1"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1"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1"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1"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1"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1"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1"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1"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1"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1"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1"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1"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1"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1"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1"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1"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1"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1"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1"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1"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1"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1"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1"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1"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1"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1"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1"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1"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1"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1"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1"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1"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1"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1"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1"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1"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1"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1"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1"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1"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1"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1"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1"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1"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1"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1"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1"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1"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1"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1"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1"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1"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1"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1"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1"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1"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1"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1"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1"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1"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1"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1"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1"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1"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1"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1"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1"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1"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1"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1"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1"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1"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1"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1"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1"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1"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1"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1170</v>
      </c>
      <c r="C98" s="312" t="n">
        <f aca="false">IFERROR((C97-C96)/(Model!B199-(Model!B196)),0)</f>
        <v>0</v>
      </c>
      <c r="D98" s="312" t="n">
        <f aca="false">IFERROR((D97-D96)/(Model!C199-(Model!C196)),0)</f>
        <v>-0</v>
      </c>
      <c r="E98" s="312" t="n">
        <f aca="false">IFERROR((E97-E96)/(Model!D199-(Model!D196)),0)</f>
        <v>0</v>
      </c>
      <c r="F98" s="312" t="n">
        <f aca="false">IFERROR((F97-F96)/(Model!E199-(Model!E196)),0)</f>
        <v>0</v>
      </c>
      <c r="G98" s="312" t="n">
        <f aca="false">IFERROR((G97-G96)/(Model!F199-(Model!F196)),0)</f>
        <v>0</v>
      </c>
      <c r="H98" s="312" t="n">
        <f aca="false">IFERROR((H97-H96)/(Model!G199-(Model!G196)),0)</f>
        <v>0</v>
      </c>
      <c r="I98" s="312" t="n">
        <f aca="false">IFERROR((I97-I96)/(Model!H199-(Model!H196)),0)</f>
        <v>0</v>
      </c>
      <c r="J98" s="312" t="n">
        <f aca="false">IFERROR((J97-J96)/(Model!I199-(Model!I196)),0)</f>
        <v>0</v>
      </c>
      <c r="K98" s="312" t="n">
        <f aca="false">IFERROR((K97-K96)/(Model!J199-(Model!J196)),0)</f>
        <v>0</v>
      </c>
      <c r="L98" s="312" t="n">
        <f aca="false">IFERROR((L97-L96)/(Model!K199-(Model!K196)),0)</f>
        <v>0</v>
      </c>
      <c r="M98" s="312" t="n">
        <f aca="false">IFERROR((M97-M96)/(Model!L199-(Model!L196)),0)</f>
        <v>0</v>
      </c>
      <c r="N98" s="312" t="n">
        <f aca="false">IFERROR((N97-N96)/(Model!M199-(Model!M196)),0)</f>
        <v>0</v>
      </c>
      <c r="O98" s="312" t="n">
        <f aca="false">IFERROR((O97-O96)/(Model!N199-(Model!N196)),0)</f>
        <v>0.0992555403703348</v>
      </c>
      <c r="P98" s="312" t="n">
        <f aca="false">IFERROR((P97-P96)/(Model!O199-(Model!O196)),0)</f>
        <v>0.109898823276752</v>
      </c>
      <c r="Q98" s="312" t="n">
        <f aca="false">IFERROR((Q97-Q96)/(Model!P199-(Model!P196)),0)</f>
        <v>0.10721535904604</v>
      </c>
      <c r="R98" s="312" t="n">
        <f aca="false">IFERROR((R97-R96)/(Model!Q199-(Model!Q196)),0)</f>
        <v>0.0941036661188074</v>
      </c>
      <c r="S98" s="312" t="n">
        <f aca="false">IFERROR((S97-S96)/(Model!R199-(Model!R196)),0)</f>
        <v>0.182188751342702</v>
      </c>
      <c r="T98" s="312" t="n">
        <f aca="false">IFERROR((T97-T96)/(Model!S199-(Model!S196)),0)</f>
        <v>0.237098905715653</v>
      </c>
      <c r="U98" s="312" t="n">
        <f aca="false">IFERROR((U97-U96)/(Model!T199-(Model!T196)),0)</f>
        <v>0.29026190615428</v>
      </c>
      <c r="V98" s="312" t="n">
        <f aca="false">IFERROR((V97-V96)/(Model!U199-(Model!U196)),0)</f>
        <v>0.317086222337306</v>
      </c>
      <c r="W98" s="312" t="n">
        <f aca="false">IFERROR((W97-W96)/(Model!V199-(Model!V196)),0)</f>
        <v>0.296707417973897</v>
      </c>
      <c r="X98" s="312" t="n">
        <f aca="false">IFERROR((X97-X96)/(Model!W199-(Model!W196)),0)</f>
        <v>0.326535447952077</v>
      </c>
      <c r="Y98" s="312" t="n">
        <f aca="false">IFERROR((Y97-Y96)/(Model!X199-(Model!X196)),0)</f>
        <v>0.343121427203544</v>
      </c>
      <c r="Z98" s="312" t="n">
        <f aca="false">IFERROR((Z97-Z96)/(Model!Y199-(Model!Y196)),0)</f>
        <v>0.387771107663847</v>
      </c>
      <c r="AA98" s="312" t="n">
        <f aca="false">IFERROR((AA97-AA96)/(Model!Z199-(Model!Z196)),0)</f>
        <v>0.351994798311129</v>
      </c>
      <c r="AB98" s="312" t="n">
        <f aca="false">IFERROR((AB97-AB96)/(Model!AA199-(Model!AA196)),0)</f>
        <v>0.344636512918073</v>
      </c>
      <c r="AC98" s="312" t="n">
        <f aca="false">IFERROR((AC97-AC96)/(Model!AB199-(Model!AB196)),0)</f>
        <v>0.397605574419749</v>
      </c>
      <c r="AD98" s="312" t="n">
        <f aca="false">IFERROR((AD97-AD96)/(Model!AC199-(Model!AC196)),0)</f>
        <v>0.490062695097457</v>
      </c>
      <c r="AE98" s="312" t="n">
        <f aca="false">IFERROR((AE97-AE96)/(Model!AD199-(Model!AD196)),0)</f>
        <v>0.478889190963359</v>
      </c>
      <c r="AF98" s="312" t="n">
        <f aca="false">IFERROR((AF97-AF96)/(Model!AE199-(Model!AE196)),0)</f>
        <v>0.417288252367377</v>
      </c>
      <c r="AG98" s="312" t="n">
        <f aca="false">IFERROR((AG97-AG96)/(Model!AF199-(Model!AF196)),0)</f>
        <v>0.43287850561696</v>
      </c>
      <c r="AH98" s="312" t="n">
        <f aca="false">IFERROR((AH97-AH96)/(Model!AG199-(Model!AG196)),0)</f>
        <v>0.316307383883303</v>
      </c>
      <c r="AI98" s="312" t="n">
        <f aca="false">IFERROR((AI97-AI96)/(Model!AH199-(Model!AH196)),0)</f>
        <v>0.355678861688736</v>
      </c>
      <c r="AJ98" s="312" t="n">
        <f aca="false">IFERROR((AJ97-AJ96)/(Model!AI199-(Model!AI196)),0)</f>
        <v>0.357687462324704</v>
      </c>
      <c r="AK98" s="312" t="n">
        <f aca="false">IFERROR((AK97-AK96)/(Model!AJ199-(Model!AJ196)),0)</f>
        <v>0.405853206272898</v>
      </c>
      <c r="AL98" s="312" t="n">
        <f aca="false">IFERROR((AL97-AL96)/(Model!AK199-(Model!AK196)),0)</f>
        <v>0.44754353115685</v>
      </c>
      <c r="AM98" s="312" t="n">
        <f aca="false">IFERROR((AM97-AM96)/(Model!AL199-(Model!AL196)),0)</f>
        <v>0.422365875007451</v>
      </c>
      <c r="AN98" s="312" t="n">
        <f aca="false">IFERROR((AN97-AN96)/(Model!AM199-(Model!AM196)),0)</f>
        <v>0.199466510433645</v>
      </c>
      <c r="AO98" s="312" t="n">
        <f aca="false">IFERROR((AO97-AO96)/(Model!AN199-(Model!AN196)),0)</f>
        <v>0.243678682180925</v>
      </c>
      <c r="AP98" s="312" t="n">
        <f aca="false">IFERROR((AP97-AP96)/(Model!AO199-(Model!AO196)),0)</f>
        <v>0.265324582610076</v>
      </c>
      <c r="AQ98" s="312" t="n">
        <f aca="false">IFERROR((AQ97-AQ96)/(Model!AP199-(Model!AP196)),0)</f>
        <v>0.265324582610076</v>
      </c>
      <c r="AR98" s="312" t="n">
        <f aca="false">IFERROR((AR97-AR96)/(Model!AQ199-(Model!AQ196)),0)</f>
        <v>0.265324582610077</v>
      </c>
      <c r="AS98" s="312" t="n">
        <f aca="false">IFERROR((AS97-AS96)/(Model!AR199-(Model!AR196)),0)</f>
        <v>0.265324582610076</v>
      </c>
      <c r="AT98" s="312" t="n">
        <f aca="false">IFERROR((AT97-AT96)/(Model!AS199-(Model!AS196)),0)</f>
        <v>0.265324582610077</v>
      </c>
      <c r="AU98" s="312" t="n">
        <f aca="false">IFERROR((AU97-AU96)/(Model!AT199-(Model!AT196)),0)</f>
        <v>0.165187542199159</v>
      </c>
      <c r="AV98" s="312" t="n">
        <f aca="false">IFERROR((AV97-AV96)/(Model!AU199-(Model!AU196)),0)</f>
        <v>0.631265287072981</v>
      </c>
      <c r="AW98" s="312" t="n">
        <f aca="false">IFERROR((AW97-AW96)/(Model!AV199-(Model!AV196)),0)</f>
        <v>0</v>
      </c>
      <c r="AX98" s="312" t="n">
        <f aca="false">IFERROR((AX97-AX96)/(Model!AW199-(Model!AW196)),0)</f>
        <v>0</v>
      </c>
      <c r="AY98" s="312" t="n">
        <f aca="false">IFERROR((AY97-AY96)/(Model!AX199-(Model!AX196)),0)</f>
        <v>0</v>
      </c>
      <c r="AZ98" s="312" t="n">
        <f aca="false">IFERROR((AZ97-AZ96)/(Model!AY199-(Model!AY196)),0)</f>
        <v>0</v>
      </c>
      <c r="BA98" s="312" t="n">
        <f aca="false">IFERROR((BA97-BA96)/(Model!AZ199-(Model!AZ196)),0)</f>
        <v>0</v>
      </c>
      <c r="BB98" s="312" t="n">
        <f aca="false">IFERROR((BB97-BB96)/(Model!BA199-(Model!BA196)),0)</f>
        <v>0</v>
      </c>
      <c r="BC98" s="312" t="n">
        <f aca="false">IFERROR((BC97-BC96)/(Model!BB199-(Model!BB196)),0)</f>
        <v>0</v>
      </c>
      <c r="BD98" s="312" t="n">
        <f aca="false">IFERROR((BD97-BD96)/(Model!BC199-(Model!BC196)),0)</f>
        <v>0</v>
      </c>
      <c r="BE98" s="312" t="n">
        <f aca="false">IFERROR((BE97-BE96)/(Model!BD199-(Model!BD196)),0)</f>
        <v>0</v>
      </c>
      <c r="BF98" s="312" t="n">
        <f aca="false">IFERROR((BF97-BF96)/(Model!BE199-(Model!BE196)),0)</f>
        <v>0</v>
      </c>
      <c r="BG98" s="312" t="n">
        <f aca="false">IFERROR((BG97-BG96)/(Model!BF199-(Model!BF196)),0)</f>
        <v>0</v>
      </c>
      <c r="BH98" s="312" t="n">
        <f aca="false">IFERROR((BH97-BH96)/(Model!BG199-(Model!BG196)),0)</f>
        <v>0</v>
      </c>
      <c r="BI98" s="312" t="n">
        <f aca="false">IFERROR((BI97-BI96)/(Model!BH199-(Model!BH196)),0)</f>
        <v>0</v>
      </c>
      <c r="BJ98" s="312" t="n">
        <f aca="false">IFERROR((BJ97-BJ96)/(Model!BI199-(Model!BI196)),0)</f>
        <v>0</v>
      </c>
      <c r="BK98" s="312" t="n">
        <f aca="false">IFERROR((BK97-BK96)/(Model!BJ199-(Model!BJ196)),0)</f>
        <v>0</v>
      </c>
      <c r="BL98" s="312" t="n">
        <f aca="false">IFERROR((BL97-BL96)/(Model!BK199-(Model!BK196)),0)</f>
        <v>0</v>
      </c>
      <c r="BM98" s="312" t="n">
        <f aca="false">IFERROR((BM97-BM96)/(Model!BL199-(Model!BL196)),0)</f>
        <v>0</v>
      </c>
      <c r="BN98" s="312" t="n">
        <f aca="false">IFERROR((BN97-BN96)/(Model!BM199-(Model!BM196)),0)</f>
        <v>0</v>
      </c>
      <c r="BO98" s="312" t="n">
        <f aca="false">IFERROR((BO97-BO96)/(Model!BN199-(Model!BN196)),0)</f>
        <v>0</v>
      </c>
      <c r="BP98" s="312" t="n">
        <f aca="false">IFERROR((BP97-BP96)/(Model!BO199-(Model!BO196)),0)</f>
        <v>0</v>
      </c>
      <c r="BQ98" s="312" t="n">
        <f aca="false">IFERROR((BQ97-BQ96)/(Model!BP199-(Model!BP196)),0)</f>
        <v>0</v>
      </c>
      <c r="BR98" s="312" t="n">
        <f aca="false">IFERROR((BR97-BR96)/(Model!BQ199-(Model!BQ196)),0)</f>
        <v>0</v>
      </c>
      <c r="BS98" s="312" t="n">
        <f aca="false">IFERROR((BS97-BS96)/(Model!BR199-(Model!BR196)),0)</f>
        <v>0</v>
      </c>
      <c r="BT98" s="312" t="n">
        <f aca="false">IFERROR((BT97-BT96)/(Model!BS199-(Model!BS196)),0)</f>
        <v>0</v>
      </c>
      <c r="BU98" s="312" t="n">
        <f aca="false">IFERROR((BU97-BU96)/(Model!BT199-(Model!BT196)),0)</f>
        <v>0</v>
      </c>
      <c r="BV98" s="312" t="n">
        <f aca="false">IFERROR((BV97-BV96)/(Model!BU199-(Model!BU196)),0)</f>
        <v>0</v>
      </c>
      <c r="BW98" s="312" t="n">
        <f aca="false">IFERROR((BW97-BW96)/(Model!BV199-(Model!BV196)),0)</f>
        <v>0</v>
      </c>
      <c r="BX98" s="312" t="n">
        <f aca="false">IFERROR((BX97-BX96)/(Model!BW199-(Model!BW196)),0)</f>
        <v>0</v>
      </c>
      <c r="BY98" s="312" t="n">
        <f aca="false">IFERROR((BY97-BY96)/(Model!BX199-(Model!BX196)),0)</f>
        <v>0</v>
      </c>
      <c r="BZ98" s="312" t="n">
        <f aca="false">IFERROR((BZ97-BZ96)/(Model!BY199-(Model!BY196)),0)</f>
        <v>0</v>
      </c>
      <c r="CA98" s="312" t="n">
        <f aca="false">IFERROR((CA97-CA96)/(Model!BZ199-(Model!BZ196)),0)</f>
        <v>0</v>
      </c>
      <c r="CB98" s="312" t="n">
        <f aca="false">IFERROR((CB97-CB96)/(Model!CA199-(Model!CA196)),0)</f>
        <v>0</v>
      </c>
      <c r="CC98" s="312" t="n">
        <f aca="false">IFERROR((CC97-CC96)/(Model!CB199-(Model!CB196)),0)</f>
        <v>0</v>
      </c>
      <c r="CD98" s="312" t="n">
        <f aca="false">IFERROR((CD97-CD96)/(Model!CC199-(Model!CC196)),0)</f>
        <v>0</v>
      </c>
      <c r="CE98" s="312" t="n">
        <f aca="false">IFERROR((CE97-CE96)/(Model!CD199-(Model!CD196)),0)</f>
        <v>0</v>
      </c>
      <c r="CF98" s="312" t="n">
        <f aca="false">IFERROR((CF97-CF96)/(Model!CE199-(Model!CE196)),0)</f>
        <v>0</v>
      </c>
      <c r="CG98" s="312" t="n">
        <f aca="false">IFERROR((CG97-CG96)/(Model!CF199-(Model!CF196)),0)</f>
        <v>0</v>
      </c>
      <c r="CH98" s="312" t="n">
        <f aca="false">IFERROR((CH97-CH96)/(Model!CG199-(Model!CG196)),0)</f>
        <v>0</v>
      </c>
      <c r="CI98" s="312" t="n">
        <f aca="false">IFERROR((CI97-CI96)/(Model!CH199-(Model!CH196)),0)</f>
        <v>0</v>
      </c>
      <c r="CJ98" s="312" t="n">
        <f aca="false">IFERROR((CJ97-CJ96)/(Model!CI199-(Model!CI196)),0)</f>
        <v>0</v>
      </c>
      <c r="CK98" s="312" t="n">
        <f aca="false">IFERROR((CK97-CK96)/(Model!CJ199-(Model!CJ196)),0)</f>
        <v>0</v>
      </c>
      <c r="CL98" s="312" t="n">
        <f aca="false">IFERROR((CL97-CL96)/(Model!CK199-(Model!CK196)),0)</f>
        <v>0</v>
      </c>
      <c r="CM98" s="312" t="n">
        <f aca="false">IFERROR((CM97-CM96)/(Model!CL199-(Model!CL196)),0)</f>
        <v>0</v>
      </c>
      <c r="CN98" s="312" t="n">
        <f aca="false">IFERROR((CN97-CN96)/(Model!CM199-(Model!CM196)),0)</f>
        <v>0</v>
      </c>
      <c r="CO98" s="312" t="n">
        <f aca="false">IFERROR((CO97-CO96)/(Model!CN199-(Model!CN196)),0)</f>
        <v>0</v>
      </c>
      <c r="CP98" s="312" t="n">
        <f aca="false">IFERROR((CP97-CP96)/(Model!CO199-(Model!CO196)),0)</f>
        <v>0</v>
      </c>
      <c r="CQ98" s="312" t="n">
        <f aca="false">IFERROR((CQ97-CQ96)/(Model!CP199-(Model!CP196)),0)</f>
        <v>0</v>
      </c>
      <c r="CR98" s="312" t="n">
        <f aca="false">IFERROR((CR97-CR96)/(Model!CQ199-(Model!CQ196)),0)</f>
        <v>0</v>
      </c>
      <c r="CS98" s="312" t="n">
        <f aca="false">IFERROR((CS97-CS96)/(Model!CR199-(Model!CR196)),0)</f>
        <v>0</v>
      </c>
      <c r="CT98" s="312" t="n">
        <f aca="false">IFERROR((CT97-CT96)/(Model!CS199-(Model!CS196)),0)</f>
        <v>0</v>
      </c>
      <c r="CU98" s="312" t="n">
        <f aca="false">IFERROR((CU97-CU96)/(Model!CT199-(Model!CT196)),0)</f>
        <v>0</v>
      </c>
      <c r="CV98" s="312" t="n">
        <f aca="false">IFERROR((CV97-CV96)/(Model!CU199-(Model!CU196)),0)</f>
        <v>0</v>
      </c>
      <c r="CW98" s="312" t="n">
        <f aca="false">IFERROR((CW97-CW96)/(Model!CV199-(Model!CV196)),0)</f>
        <v>0</v>
      </c>
      <c r="CX98" s="312" t="n">
        <f aca="false">IFERROR((CX97-CX96)/(Model!CW199-(Model!CW196)),0)</f>
        <v>0</v>
      </c>
      <c r="CY98" s="312" t="n">
        <f aca="false">IFERROR((CY97-CY96)/(Model!CX199-(Model!CX196)),0)</f>
        <v>0</v>
      </c>
      <c r="CZ98" s="312" t="n">
        <f aca="false">IFERROR((CZ97-CZ96)/(Model!CY199-(Model!CY196)),0)</f>
        <v>0</v>
      </c>
      <c r="DA98" s="312" t="n">
        <f aca="false">IFERROR((DA97-DA96)/(Model!CZ199-(Model!CZ196)),0)</f>
        <v>0</v>
      </c>
      <c r="DB98" s="312" t="n">
        <f aca="false">IFERROR((DB97-DB96)/(Model!DA199-(Model!DA196)),0)</f>
        <v>0</v>
      </c>
      <c r="DC98" s="312" t="n">
        <f aca="false">IFERROR((DC97-DC96)/(Model!DB199-(Model!DB196)),0)</f>
        <v>0</v>
      </c>
      <c r="DD98" s="312" t="n">
        <f aca="false">IFERROR((DD97-DD96)/(Model!DC199-(Model!DC196)),0)</f>
        <v>0</v>
      </c>
      <c r="DE98" s="312" t="n">
        <f aca="false">IFERROR((DE97-DE96)/(Model!DD199-(Model!DD196)),0)</f>
        <v>0</v>
      </c>
      <c r="DF98" s="312" t="n">
        <f aca="false">IFERROR((DF97-DF96)/(Model!DE199-(Model!DE196)),0)</f>
        <v>0</v>
      </c>
    </row>
    <row r="99" customFormat="false" ht="15" hidden="false" customHeight="true" outlineLevel="0" collapsed="false">
      <c r="A99" s="72" t="s">
        <v>1171</v>
      </c>
      <c r="B99" s="310" t="n">
        <f aca="false">SUM(Actuals!C17:N17)</f>
        <v>4643571.59</v>
      </c>
      <c r="C99" s="311" t="n">
        <f aca="false">Model!B199+SUM(Model!B203:B233)+Model!B235-(Model!B196)</f>
        <v>-41844.6399999999</v>
      </c>
      <c r="D99" s="311" t="n">
        <f aca="false">Model!C199+SUM(Model!C203:C233)+Model!C235-(Model!C196)</f>
        <v>-311309.31</v>
      </c>
      <c r="E99" s="311" t="n">
        <f aca="false">Model!D199+SUM(Model!D203:D233)+Model!D235-(Model!D196)</f>
        <v>242246.78</v>
      </c>
      <c r="F99" s="311" t="n">
        <f aca="false">Model!E199+SUM(Model!E203:E233)+Model!E235-(Model!E196)</f>
        <v>373926.69</v>
      </c>
      <c r="G99" s="311" t="n">
        <f aca="false">Model!F199+SUM(Model!F203:F233)+Model!F235-(Model!F196)</f>
        <v>27621.8500000002</v>
      </c>
      <c r="H99" s="311" t="n">
        <f aca="false">Model!G199+SUM(Model!G203:G233)+Model!G235-(Model!G196)</f>
        <v>318509.92</v>
      </c>
      <c r="I99" s="311" t="n">
        <f aca="false">Model!H199+SUM(Model!H203:H233)+Model!H235-(Model!H196)</f>
        <v>1446747.85</v>
      </c>
      <c r="J99" s="311" t="n">
        <f aca="false">Model!I199+SUM(Model!I203:I233)+Model!I235-(Model!I196)</f>
        <v>177182.13</v>
      </c>
      <c r="K99" s="311" t="n">
        <f aca="false">Model!J199+SUM(Model!J203:J233)+Model!J235-(Model!J196)</f>
        <v>298241.093396964</v>
      </c>
      <c r="L99" s="311" t="n">
        <f aca="false">Model!K199+SUM(Model!K203:K233)+Model!K235-(Model!K196)</f>
        <v>376129.454718767</v>
      </c>
      <c r="M99" s="311" t="n">
        <f aca="false">Model!L199+SUM(Model!L203:L233)+Model!L235-(Model!L196)</f>
        <v>214936.69311604</v>
      </c>
      <c r="N99" s="311" t="n">
        <f aca="false">Model!M199+SUM(Model!M203:M233)+Model!M235-(Model!M196)</f>
        <v>115063.696620279</v>
      </c>
      <c r="O99" s="311" t="n">
        <f aca="false">Model!N199+SUM(Model!N203:N233)+Model!N235-(Model!N196)</f>
        <v>428723.753005433</v>
      </c>
      <c r="P99" s="311" t="n">
        <f aca="false">Model!O199+SUM(Model!O203:O233)+Model!O235-(Model!O196)</f>
        <v>262757.146153049</v>
      </c>
      <c r="Q99" s="311" t="n">
        <f aca="false">Model!P199+SUM(Model!P203:P233)+Model!P235-(Model!P196)</f>
        <v>365330.63615305</v>
      </c>
      <c r="R99" s="311" t="n">
        <f aca="false">Model!Q199+SUM(Model!Q203:Q233)+Model!Q235-(Model!Q196)</f>
        <v>403917.158176932</v>
      </c>
      <c r="S99" s="311" t="n">
        <f aca="false">Model!R199+SUM(Model!R203:R233)+Model!R235-(Model!R196)</f>
        <v>391434.386270182</v>
      </c>
      <c r="T99" s="311" t="n">
        <f aca="false">Model!S199+SUM(Model!S203:S233)+Model!S235-(Model!S196)</f>
        <v>469925.266146933</v>
      </c>
      <c r="U99" s="311" t="n">
        <f aca="false">Model!T199+SUM(Model!T203:T233)+Model!T235-(Model!T196)</f>
        <v>645755.091280881</v>
      </c>
      <c r="V99" s="311" t="n">
        <f aca="false">Model!U199+SUM(Model!U203:U233)+Model!U235-(Model!U196)</f>
        <v>558775.801280881</v>
      </c>
      <c r="W99" s="311" t="n">
        <f aca="false">Model!V199+SUM(Model!V203:V233)+Model!V235-(Model!V196)</f>
        <v>637354.891280879</v>
      </c>
      <c r="X99" s="311" t="n">
        <f aca="false">Model!W199+SUM(Model!W203:W233)+Model!W235-(Model!W196)</f>
        <v>525668.591280882</v>
      </c>
      <c r="Y99" s="311" t="n">
        <f aca="false">Model!X199+SUM(Model!X203:X233)+Model!X235-(Model!X196)</f>
        <v>819546.536139797</v>
      </c>
      <c r="Z99" s="311" t="n">
        <f aca="false">Model!Y199+SUM(Model!Y203:Y233)+Model!Y235-(Model!Y196)</f>
        <v>657785.716139796</v>
      </c>
      <c r="AA99" s="311" t="n">
        <f aca="false">Model!Z199+SUM(Model!Z203:Z233)+Model!Z235-(Model!Z196)</f>
        <v>786682.136524411</v>
      </c>
      <c r="AB99" s="311" t="n">
        <f aca="false">Model!AA199+SUM(Model!AA203:AA233)+Model!AA235-(Model!AA196)</f>
        <v>825536.174500936</v>
      </c>
      <c r="AC99" s="311" t="n">
        <f aca="false">Model!AB199+SUM(Model!AB203:AB233)+Model!AB235-(Model!AB196)</f>
        <v>640836.606246588</v>
      </c>
      <c r="AD99" s="311" t="n">
        <f aca="false">Model!AC199+SUM(Model!AC203:AC233)+Model!AC235-(Model!AC196)</f>
        <v>406957.915582878</v>
      </c>
      <c r="AE99" s="311" t="n">
        <f aca="false">Model!AD199+SUM(Model!AD203:AD233)+Model!AD235-(Model!AD196)</f>
        <v>436277.126159801</v>
      </c>
      <c r="AF99" s="311" t="n">
        <f aca="false">Model!AE199+SUM(Model!AE203:AE233)+Model!AE235-(Model!AE196)</f>
        <v>606791.853951426</v>
      </c>
      <c r="AG99" s="311" t="n">
        <f aca="false">Model!AF199+SUM(Model!AF203:AF233)+Model!AF235-(Model!AF196)</f>
        <v>776411.668066138</v>
      </c>
      <c r="AH99" s="311" t="n">
        <f aca="false">Model!AG199+SUM(Model!AG203:AG233)+Model!AG235-(Model!AG196)</f>
        <v>686508.756317664</v>
      </c>
      <c r="AI99" s="311" t="n">
        <f aca="false">Model!AH199+SUM(Model!AH203:AH233)+Model!AH235-(Model!AH196)</f>
        <v>553391.181048071</v>
      </c>
      <c r="AJ99" s="311" t="n">
        <f aca="false">Model!AI199+SUM(Model!AI203:AI233)+Model!AI235-(Model!AI196)</f>
        <v>559532.003355763</v>
      </c>
      <c r="AK99" s="311" t="n">
        <f aca="false">Model!AJ199+SUM(Model!AJ203:AJ233)+Model!AJ235-(Model!AJ196)</f>
        <v>657098.621016764</v>
      </c>
      <c r="AL99" s="311" t="n">
        <f aca="false">Model!AK199+SUM(Model!AK203:AK233)+Model!AK235-(Model!AK196)</f>
        <v>286498.730898127</v>
      </c>
      <c r="AM99" s="311" t="n">
        <f aca="false">Model!AL199+SUM(Model!AL203:AL233)+Model!AL235-(Model!AL196)</f>
        <v>277362.715124731</v>
      </c>
      <c r="AN99" s="311" t="n">
        <f aca="false">Model!AM199+SUM(Model!AM203:AM233)+Model!AM235-(Model!AM196)</f>
        <v>87443.5075491389</v>
      </c>
      <c r="AO99" s="311" t="n">
        <f aca="false">Model!AN199+SUM(Model!AN203:AN233)+Model!AN235-(Model!AN196)</f>
        <v>33792.2965876007</v>
      </c>
      <c r="AP99" s="311" t="n">
        <f aca="false">Model!AO199+SUM(Model!AO203:AO233)+Model!AO235-(Model!AO196)</f>
        <v>7112.57378519768</v>
      </c>
      <c r="AQ99" s="311" t="n">
        <f aca="false">Model!AP199+SUM(Model!AP203:AP233)+Model!AP235-(Model!AP196)</f>
        <v>7112.57378519768</v>
      </c>
      <c r="AR99" s="311" t="n">
        <f aca="false">Model!AQ199+SUM(Model!AQ203:AQ233)+Model!AQ235-(Model!AQ196)</f>
        <v>13317.7063198126</v>
      </c>
      <c r="AS99" s="311" t="n">
        <f aca="false">Model!AR199+SUM(Model!AR203:AR233)+Model!AR235-(Model!AR196)</f>
        <v>32933.0909351977</v>
      </c>
      <c r="AT99" s="311" t="n">
        <f aca="false">Model!AS199+SUM(Model!AS203:AS233)+Model!AS235-(Model!AS196)</f>
        <v>35974.8225698126</v>
      </c>
      <c r="AU99" s="311" t="n">
        <f aca="false">Model!AT199+SUM(Model!AT203:AT233)+Model!AT235-(Model!AT196)</f>
        <v>318075.792538697</v>
      </c>
      <c r="AV99" s="311" t="n">
        <f aca="false">Model!AU199+SUM(Model!AU203:AU233)+Model!AU235-(Model!AU196)</f>
        <v>23663.2513708199</v>
      </c>
      <c r="AW99" s="311" t="n">
        <f aca="false">Model!AV199+SUM(Model!AV203:AV233)+Model!AV235-(Model!AV196)</f>
        <v>-246246.401730933</v>
      </c>
      <c r="AX99" s="311" t="n">
        <f aca="false">Model!AW199+SUM(Model!AW203:AW233)+Model!AW235-(Model!AW196)</f>
        <v>-246246.401730933</v>
      </c>
      <c r="AY99" s="311" t="n">
        <f aca="false">Model!AX199+SUM(Model!AX203:AX233)+Model!AX235-(Model!AX196)</f>
        <v>-246246.401730933</v>
      </c>
      <c r="AZ99" s="311" t="n">
        <f aca="false">Model!AY199+SUM(Model!AY203:AY233)+Model!AY235-(Model!AY196)</f>
        <v>-246246.401730933</v>
      </c>
      <c r="BA99" s="311" t="n">
        <f aca="false">Model!AZ199+SUM(Model!AZ203:AZ233)+Model!AZ235-(Model!AZ196)</f>
        <v>-246246.401730933</v>
      </c>
      <c r="BB99" s="311" t="n">
        <f aca="false">Model!BA199+SUM(Model!BA203:BA233)+Model!BA235-(Model!BA196)</f>
        <v>-254324.522582923</v>
      </c>
      <c r="BC99" s="311" t="n">
        <f aca="false">Model!BB199+SUM(Model!BB203:BB233)+Model!BB235-(Model!BB196)</f>
        <v>-254324.522582923</v>
      </c>
      <c r="BD99" s="311" t="n">
        <f aca="false">Model!BC199+SUM(Model!BC203:BC233)+Model!BC235-(Model!BC196)</f>
        <v>-254324.522582923</v>
      </c>
      <c r="BE99" s="311" t="n">
        <f aca="false">Model!BD199+SUM(Model!BD203:BD233)+Model!BD235-(Model!BD196)</f>
        <v>-254324.522582923</v>
      </c>
      <c r="BF99" s="311" t="n">
        <f aca="false">Model!BE199+SUM(Model!BE203:BE233)+Model!BE235-(Model!BE196)</f>
        <v>-254324.522582923</v>
      </c>
      <c r="BG99" s="311" t="n">
        <f aca="false">Model!BF199+SUM(Model!BF203:BF233)+Model!BF235-(Model!BF196)</f>
        <v>-254324.522582923</v>
      </c>
      <c r="BH99" s="311" t="n">
        <f aca="false">Model!BG199+SUM(Model!BG203:BG233)+Model!BG235-(Model!BG196)</f>
        <v>-254324.522582923</v>
      </c>
      <c r="BI99" s="311" t="n">
        <f aca="false">Model!BH199+SUM(Model!BH203:BH233)+Model!BH235-(Model!BH196)</f>
        <v>-5388.24752732294</v>
      </c>
      <c r="BJ99" s="311" t="n">
        <f aca="false">Model!BI199+SUM(Model!BI203:BI233)+Model!BI235-(Model!BI196)</f>
        <v>-411984.16345147</v>
      </c>
      <c r="BK99" s="311" t="n">
        <f aca="false">Model!BJ199+SUM(Model!BJ203:BJ233)+Model!BJ235-(Model!BJ196)</f>
        <v>-411984.16345147</v>
      </c>
      <c r="BL99" s="311" t="n">
        <f aca="false">Model!BK199+SUM(Model!BK203:BK233)+Model!BK235-(Model!BK196)</f>
        <v>-411984.16345147</v>
      </c>
      <c r="BM99" s="311" t="n">
        <f aca="false">Model!BL199+SUM(Model!BL203:BL233)+Model!BL235-(Model!BL196)</f>
        <v>-411984.16345147</v>
      </c>
      <c r="BN99" s="311" t="n">
        <f aca="false">Model!BM199+SUM(Model!BM203:BM233)+Model!BM235-(Model!BM196)</f>
        <v>-420223.846720499</v>
      </c>
      <c r="BO99" s="311" t="n">
        <f aca="false">Model!BN199+SUM(Model!BN203:BN233)+Model!BN235-(Model!BN196)</f>
        <v>-420223.846720499</v>
      </c>
      <c r="BP99" s="311" t="n">
        <f aca="false">Model!BO199+SUM(Model!BO203:BO233)+Model!BO235-(Model!BO196)</f>
        <v>-420223.846720499</v>
      </c>
      <c r="BQ99" s="311" t="n">
        <f aca="false">Model!BP199+SUM(Model!BP203:BP233)+Model!BP235-(Model!BP196)</f>
        <v>-420223.846720499</v>
      </c>
      <c r="BR99" s="311" t="n">
        <f aca="false">Model!BQ199+SUM(Model!BQ203:BQ233)+Model!BQ235-(Model!BQ196)</f>
        <v>-420223.846720499</v>
      </c>
      <c r="BS99" s="311" t="n">
        <f aca="false">Model!BR199+SUM(Model!BR203:BR233)+Model!BR235-(Model!BR196)</f>
        <v>-420223.846720499</v>
      </c>
      <c r="BT99" s="311" t="n">
        <f aca="false">Model!BS199+SUM(Model!BS203:BS233)+Model!BS235-(Model!BS196)</f>
        <v>-420223.846720499</v>
      </c>
      <c r="BU99" s="311" t="n">
        <f aca="false">Model!BT199+SUM(Model!BT203:BT233)+Model!BT235-(Model!BT196)</f>
        <v>-420223.846720499</v>
      </c>
      <c r="BV99" s="311" t="n">
        <f aca="false">Model!BU199+SUM(Model!BU203:BU233)+Model!BU235-(Model!BU196)</f>
        <v>-420223.846720499</v>
      </c>
      <c r="BW99" s="311" t="n">
        <f aca="false">Model!BV199+SUM(Model!BV203:BV233)+Model!BV235-(Model!BV196)</f>
        <v>-420223.846720499</v>
      </c>
      <c r="BX99" s="311" t="n">
        <f aca="false">Model!BW199+SUM(Model!BW203:BW233)+Model!BW235-(Model!BW196)</f>
        <v>-420223.846720499</v>
      </c>
      <c r="BY99" s="311" t="n">
        <f aca="false">Model!BX199+SUM(Model!BX203:BX233)+Model!BX235-(Model!BX196)</f>
        <v>-420223.846720499</v>
      </c>
      <c r="BZ99" s="311" t="n">
        <f aca="false">Model!BY199+SUM(Model!BY203:BY233)+Model!BY235-(Model!BY196)</f>
        <v>-428628.323654909</v>
      </c>
      <c r="CA99" s="311" t="n">
        <f aca="false">Model!BZ199+SUM(Model!BZ203:BZ233)+Model!BZ235-(Model!BZ196)</f>
        <v>-428628.323654909</v>
      </c>
      <c r="CB99" s="311" t="n">
        <f aca="false">Model!CA199+SUM(Model!CA203:CA233)+Model!CA235-(Model!CA196)</f>
        <v>-428628.323654909</v>
      </c>
      <c r="CC99" s="311" t="n">
        <f aca="false">Model!CB199+SUM(Model!CB203:CB233)+Model!CB235-(Model!CB196)</f>
        <v>-428628.323654909</v>
      </c>
      <c r="CD99" s="311" t="n">
        <f aca="false">Model!CC199+SUM(Model!CC203:CC233)+Model!CC235-(Model!CC196)</f>
        <v>-428628.323654909</v>
      </c>
      <c r="CE99" s="311" t="n">
        <f aca="false">Model!CD199+SUM(Model!CD203:CD233)+Model!CD235-(Model!CD196)</f>
        <v>-428628.323654909</v>
      </c>
      <c r="CF99" s="311" t="n">
        <f aca="false">Model!CE199+SUM(Model!CE203:CE233)+Model!CE235-(Model!CE196)</f>
        <v>-428628.323654909</v>
      </c>
      <c r="CG99" s="311" t="n">
        <f aca="false">Model!CF199+SUM(Model!CF203:CF233)+Model!CF235-(Model!CF196)</f>
        <v>-428628.323654909</v>
      </c>
      <c r="CH99" s="311" t="n">
        <f aca="false">Model!CG199+SUM(Model!CG203:CG233)+Model!CG235-(Model!CG196)</f>
        <v>-428628.323654909</v>
      </c>
      <c r="CI99" s="311" t="n">
        <f aca="false">Model!CH199+SUM(Model!CH203:CH233)+Model!CH235-(Model!CH196)</f>
        <v>-428628.323654909</v>
      </c>
      <c r="CJ99" s="311" t="n">
        <f aca="false">Model!CI199+SUM(Model!CI203:CI233)+Model!CI235-(Model!CI196)</f>
        <v>-428628.323654909</v>
      </c>
      <c r="CK99" s="311" t="n">
        <f aca="false">Model!CJ199+SUM(Model!CJ203:CJ233)+Model!CJ235-(Model!CJ196)</f>
        <v>-428628.323654909</v>
      </c>
      <c r="CL99" s="311" t="n">
        <f aca="false">Model!CK199+SUM(Model!CK203:CK233)+Model!CK235-(Model!CK196)</f>
        <v>-437200.890128007</v>
      </c>
      <c r="CM99" s="311" t="n">
        <f aca="false">Model!CL199+SUM(Model!CL203:CL233)+Model!CL235-(Model!CL196)</f>
        <v>-437200.890128007</v>
      </c>
      <c r="CN99" s="311" t="n">
        <f aca="false">Model!CM199+SUM(Model!CM203:CM233)+Model!CM235-(Model!CM196)</f>
        <v>-437200.890128007</v>
      </c>
      <c r="CO99" s="311" t="n">
        <f aca="false">Model!CN199+SUM(Model!CN203:CN233)+Model!CN235-(Model!CN196)</f>
        <v>-437200.890128007</v>
      </c>
      <c r="CP99" s="311" t="n">
        <f aca="false">Model!CO199+SUM(Model!CO203:CO233)+Model!CO235-(Model!CO196)</f>
        <v>-437200.890128007</v>
      </c>
      <c r="CQ99" s="311" t="n">
        <f aca="false">Model!CP199+SUM(Model!CP203:CP233)+Model!CP235-(Model!CP196)</f>
        <v>-437200.890128007</v>
      </c>
      <c r="CR99" s="311" t="n">
        <f aca="false">Model!CQ199+SUM(Model!CQ203:CQ233)+Model!CQ235-(Model!CQ196)</f>
        <v>-437200.890128007</v>
      </c>
      <c r="CS99" s="311" t="n">
        <f aca="false">Model!CR199+SUM(Model!CR203:CR233)+Model!CR235-(Model!CR196)</f>
        <v>-437200.890128007</v>
      </c>
      <c r="CT99" s="311" t="n">
        <f aca="false">Model!CS199+SUM(Model!CS203:CS233)+Model!CS235-(Model!CS196)</f>
        <v>-437200.890128007</v>
      </c>
      <c r="CU99" s="311" t="n">
        <f aca="false">Model!CT199+SUM(Model!CT203:CT233)+Model!CT235-(Model!CT196)</f>
        <v>-385420.730516558</v>
      </c>
      <c r="CV99" s="311" t="n">
        <f aca="false">Model!CU199+SUM(Model!CU203:CU233)+Model!CU235-(Model!CU196)</f>
        <v>-385420.730516558</v>
      </c>
      <c r="CW99" s="311" t="n">
        <f aca="false">Model!CV199+SUM(Model!CV203:CV233)+Model!CV235-(Model!CV196)</f>
        <v>-385420.730516558</v>
      </c>
      <c r="CX99" s="311" t="n">
        <f aca="false">Model!CW199+SUM(Model!CW203:CW233)+Model!CW235-(Model!CW196)</f>
        <v>-393129.145126889</v>
      </c>
      <c r="CY99" s="311" t="n">
        <f aca="false">Model!CX199+SUM(Model!CX203:CX233)+Model!CX235-(Model!CX196)</f>
        <v>-393129.145126889</v>
      </c>
      <c r="CZ99" s="311" t="n">
        <f aca="false">Model!CY199+SUM(Model!CY203:CY233)+Model!CY235-(Model!CY196)</f>
        <v>-393129.145126889</v>
      </c>
      <c r="DA99" s="311" t="n">
        <f aca="false">Model!CZ199+SUM(Model!CZ203:CZ233)+Model!CZ235-(Model!CZ196)</f>
        <v>-393129.145126889</v>
      </c>
      <c r="DB99" s="311" t="n">
        <f aca="false">Model!DA199+SUM(Model!DA203:DA233)+Model!DA235-(Model!DA196)</f>
        <v>-393129.145126889</v>
      </c>
      <c r="DC99" s="311" t="n">
        <f aca="false">Model!DB199+SUM(Model!DB203:DB233)+Model!DB235-(Model!DB196)</f>
        <v>-393129.145126889</v>
      </c>
      <c r="DD99" s="311" t="n">
        <f aca="false">Model!DC199+SUM(Model!DC203:DC233)+Model!DC235-(Model!DC196)</f>
        <v>-393129.145126889</v>
      </c>
      <c r="DE99" s="311" t="n">
        <f aca="false">Model!DD199+SUM(Model!DD203:DD233)+Model!DD235-(Model!DD196)</f>
        <v>-393129.145126889</v>
      </c>
      <c r="DF99" s="311" t="n">
        <f aca="false">Model!DE199+SUM(Model!DE203:DE233)+Model!DE235-(Model!DE196)</f>
        <v>-393129.145126889</v>
      </c>
    </row>
    <row r="100" customFormat="false" ht="15" hidden="false" customHeight="true" outlineLevel="0" collapsed="false">
      <c r="A100" s="72" t="s">
        <v>1172</v>
      </c>
      <c r="B100" s="310"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1173</v>
      </c>
      <c r="C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3"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3"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3"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3"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3"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3"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3"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3"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3"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3"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3"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3"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3"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3"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3"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3"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3"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3"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3"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3"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3"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3"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3"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3"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3"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3"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3"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3"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3"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3"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3"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3"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3"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3"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3"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3"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3"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3"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3"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3"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3"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3"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3"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3"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3"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3"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3"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3"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3"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3"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3"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3"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3"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3"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3"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3"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3"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3"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3"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3"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3"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3"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3"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3"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3"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3"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3"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3"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3"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3"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3"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3"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3"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3"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3"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3"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3"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3"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3"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3"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3"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3"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3"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3"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3"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3"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3"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3"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3"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3"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3"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3"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3"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3"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3"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3"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3"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3"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3"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3"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3"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3"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3"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3"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14"/>
      <c r="BX2" s="314"/>
      <c r="BY2" s="314"/>
      <c r="BZ2" s="314"/>
      <c r="CA2" s="314"/>
      <c r="CB2" s="314"/>
      <c r="CC2" s="314"/>
      <c r="CD2" s="314"/>
      <c r="CE2" s="314"/>
      <c r="CF2" s="314"/>
      <c r="CG2" s="314"/>
      <c r="CH2" s="314"/>
    </row>
    <row r="3" customFormat="false" ht="15" hidden="false" customHeight="true" outlineLevel="0" collapsed="false">
      <c r="A3" s="315"/>
      <c r="B3" s="316" t="s">
        <v>1175</v>
      </c>
      <c r="C3" s="316" t="s">
        <v>1176</v>
      </c>
      <c r="D3" s="316" t="s">
        <v>1177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18"/>
      <c r="C4" s="218"/>
      <c r="D4" s="218"/>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7" t="s">
        <v>12</v>
      </c>
      <c r="B5" s="318"/>
      <c r="C5" s="318"/>
      <c r="D5" s="3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row>
    <row r="6" customFormat="false" ht="15" hidden="false" customHeight="true" outlineLevel="0" collapsed="false">
      <c r="A6" s="319" t="s">
        <v>1178</v>
      </c>
      <c r="B6" s="320" t="n">
        <f aca="false">SUM(Model!E254:CG254)</f>
        <v>1114996</v>
      </c>
      <c r="C6" s="320" t="n">
        <f aca="false">Helpers!B47</f>
        <v>1912475</v>
      </c>
      <c r="D6" s="320" t="n">
        <f aca="false">B6+C6</f>
        <v>3027471</v>
      </c>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row>
    <row r="7" customFormat="false" ht="15" hidden="false" customHeight="true" outlineLevel="0" collapsed="false">
      <c r="A7" s="90" t="s">
        <v>1179</v>
      </c>
      <c r="B7" s="218" t="n">
        <f aca="false">-Projects!$B$7*Assumptions!$B$47</f>
        <v>-427947.65</v>
      </c>
      <c r="C7" s="218" t="n">
        <v>0</v>
      </c>
      <c r="D7" s="218" t="n">
        <f aca="false">B7+C7</f>
        <v>-427947.65</v>
      </c>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row>
    <row r="8" customFormat="false" ht="15" hidden="false" customHeight="true" outlineLevel="0" collapsed="false">
      <c r="A8" s="319" t="s">
        <v>1180</v>
      </c>
      <c r="B8" s="320" t="n">
        <f aca="false">-Assumptions!$B$53*Assumptions!$B$48</f>
        <v>-150000</v>
      </c>
      <c r="C8" s="320" t="n">
        <v>0</v>
      </c>
      <c r="D8" s="320"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1163</v>
      </c>
      <c r="B9" s="218" t="n">
        <v>0</v>
      </c>
      <c r="C9" s="218" t="n">
        <v>0</v>
      </c>
      <c r="D9" s="218"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7" t="s">
        <v>1181</v>
      </c>
      <c r="B10" s="230" t="n">
        <f aca="false">SUM(B6:B9)</f>
        <v>537048.35</v>
      </c>
      <c r="C10" s="230" t="n">
        <f aca="false">SUM(C6:C9)</f>
        <v>1912475</v>
      </c>
      <c r="D10" s="230" t="n">
        <f aca="false">SUM(D6:D9)</f>
        <v>2449523.35</v>
      </c>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row>
    <row r="11" customFormat="false" ht="15" hidden="false" customHeight="true" outlineLevel="0" collapsed="false">
      <c r="A11" s="321"/>
      <c r="B11" s="322"/>
      <c r="C11" s="322"/>
      <c r="D11" s="322"/>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row>
    <row r="12" customFormat="false" ht="15" hidden="false" customHeight="true" outlineLevel="0" collapsed="false">
      <c r="A12" s="290" t="s">
        <v>1182</v>
      </c>
      <c r="B12" s="290"/>
      <c r="C12" s="323"/>
      <c r="D12" s="323"/>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row>
    <row r="13" customFormat="false" ht="15" hidden="false" customHeight="true" outlineLevel="0" collapsed="false">
      <c r="A13" s="319" t="s">
        <v>1178</v>
      </c>
      <c r="B13" s="320" t="n">
        <f aca="false">SUM(Model!E256:CG256)</f>
        <v>219466</v>
      </c>
      <c r="C13" s="320" t="n">
        <f aca="false">Helpers!B48</f>
        <v>2706735</v>
      </c>
      <c r="D13" s="320" t="n">
        <f aca="false">B13+C13</f>
        <v>2926201</v>
      </c>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row>
    <row r="14" customFormat="false" ht="15" hidden="false" customHeight="true" outlineLevel="0" collapsed="false">
      <c r="A14" s="324" t="s">
        <v>1179</v>
      </c>
      <c r="B14" s="325" t="n">
        <f aca="false">-Projects!$B$14*Assumptions!$B$47</f>
        <v>-413546.32</v>
      </c>
      <c r="C14" s="325" t="n">
        <v>0</v>
      </c>
      <c r="D14" s="325" t="n">
        <f aca="false">B14+C14</f>
        <v>-413546.32</v>
      </c>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c r="CF14" s="218"/>
      <c r="CG14" s="218"/>
      <c r="CH14" s="218"/>
    </row>
    <row r="15" customFormat="false" ht="15" hidden="false" customHeight="true" outlineLevel="0" collapsed="false">
      <c r="A15" s="319" t="s">
        <v>1180</v>
      </c>
      <c r="B15" s="320" t="n">
        <f aca="false">-Assumptions!$B$55*Assumptions!$B$48</f>
        <v>-150000</v>
      </c>
      <c r="C15" s="320" t="n">
        <v>0</v>
      </c>
      <c r="D15" s="320"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4" t="s">
        <v>1163</v>
      </c>
      <c r="B16" s="325" t="n">
        <f aca="false">-SUM(Model!E331:CG331)</f>
        <v>-583237.358559202</v>
      </c>
      <c r="C16" s="325" t="n">
        <f aca="false">-Helpers!F93</f>
        <v>-240125.881206445</v>
      </c>
      <c r="D16" s="325"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1181</v>
      </c>
      <c r="B17" s="219" t="n">
        <f aca="false">SUM(B13:B16)</f>
        <v>-927317.678559202</v>
      </c>
      <c r="C17" s="219" t="n">
        <f aca="false">SUM(C13:C16)</f>
        <v>2466609.11879355</v>
      </c>
      <c r="D17" s="219" t="n">
        <f aca="false">SUM(D13:D16)</f>
        <v>1539291.44023435</v>
      </c>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c r="CF17" s="218"/>
      <c r="CG17" s="218"/>
      <c r="CH17" s="218"/>
    </row>
    <row r="18" customFormat="false" ht="15" hidden="false" customHeight="true" outlineLevel="0" collapsed="false">
      <c r="A18" s="326"/>
      <c r="B18" s="327"/>
      <c r="C18" s="327"/>
      <c r="D18" s="327"/>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row>
    <row r="19" customFormat="false" ht="15" hidden="false" customHeight="true" outlineLevel="0" collapsed="false">
      <c r="A19" s="328" t="s">
        <v>18</v>
      </c>
      <c r="B19" s="329"/>
      <c r="C19" s="329"/>
      <c r="D19" s="329"/>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c r="CF19" s="218"/>
      <c r="CG19" s="218"/>
      <c r="CH19" s="218"/>
    </row>
    <row r="20" customFormat="false" ht="15" hidden="false" customHeight="true" outlineLevel="0" collapsed="false">
      <c r="A20" s="330" t="s">
        <v>1178</v>
      </c>
      <c r="B20" s="331" t="n">
        <f aca="false">SUM(Model!E255:CG255)</f>
        <v>1599927</v>
      </c>
      <c r="C20" s="331" t="n">
        <f aca="false">Helpers!B49</f>
        <v>2359498</v>
      </c>
      <c r="D20" s="331"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2" t="s">
        <v>1179</v>
      </c>
      <c r="B21" s="333" t="n">
        <f aca="false">-Projects!$B$13*Assumptions!$B$47</f>
        <v>-452667.7</v>
      </c>
      <c r="C21" s="333" t="n">
        <v>0</v>
      </c>
      <c r="D21" s="333"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0" t="s">
        <v>1180</v>
      </c>
      <c r="B22" s="331" t="n">
        <f aca="false">-Assumptions!$B$54*Assumptions!$B$48</f>
        <v>-150000</v>
      </c>
      <c r="C22" s="331" t="n">
        <v>0</v>
      </c>
      <c r="D22" s="331" t="n">
        <f aca="false">B22+C22</f>
        <v>-150000</v>
      </c>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c r="CF22" s="218"/>
      <c r="CG22" s="218"/>
      <c r="CH22" s="218"/>
    </row>
    <row r="23" customFormat="false" ht="15" hidden="false" customHeight="true" outlineLevel="0" collapsed="false">
      <c r="A23" s="90" t="s">
        <v>1163</v>
      </c>
      <c r="B23" s="218" t="n">
        <f aca="false">-SUM(Model!E336:CG336)</f>
        <v>-735311.322547972</v>
      </c>
      <c r="C23" s="218" t="n">
        <v>0</v>
      </c>
      <c r="D23" s="218" t="n">
        <f aca="false">B23+C23</f>
        <v>-735311.322547972</v>
      </c>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c r="CF23" s="218"/>
      <c r="CG23" s="218"/>
      <c r="CH23" s="218"/>
    </row>
    <row r="24" customFormat="false" ht="15" hidden="false" customHeight="true" outlineLevel="0" collapsed="false">
      <c r="A24" s="232" t="s">
        <v>1181</v>
      </c>
      <c r="B24" s="233" t="n">
        <f aca="false">SUM(B20:B23)</f>
        <v>261947.977452028</v>
      </c>
      <c r="C24" s="233" t="n">
        <f aca="false">SUM(C20:C23)</f>
        <v>2359498</v>
      </c>
      <c r="D24" s="233" t="n">
        <f aca="false">SUM(D20:D23)</f>
        <v>2621445.97745203</v>
      </c>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c r="CF24" s="218"/>
      <c r="CG24" s="218"/>
      <c r="CH24" s="218"/>
    </row>
    <row r="25" customFormat="false" ht="15" hidden="false" customHeight="true" outlineLevel="0" collapsed="false">
      <c r="A25" s="308"/>
      <c r="B25" s="334"/>
      <c r="C25" s="334"/>
      <c r="D25" s="334"/>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row>
    <row r="26" customFormat="false" ht="15" hidden="false" customHeight="true" outlineLevel="0" collapsed="false">
      <c r="A26" s="335" t="s">
        <v>1183</v>
      </c>
      <c r="B26" s="336"/>
      <c r="C26" s="336"/>
      <c r="D26" s="336"/>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row>
    <row r="27" customFormat="false" ht="15" hidden="false" customHeight="true" outlineLevel="0" collapsed="false">
      <c r="A27" s="337" t="s">
        <v>1184</v>
      </c>
      <c r="B27" s="338" t="n">
        <f aca="false">B6+B13+B20</f>
        <v>2934389</v>
      </c>
      <c r="C27" s="338" t="n">
        <f aca="false">C6+C13+C20</f>
        <v>6978708</v>
      </c>
      <c r="D27" s="338"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1185</v>
      </c>
      <c r="B28" s="218" t="n">
        <f aca="false">B7+B14+B21</f>
        <v>-1294161.67</v>
      </c>
      <c r="C28" s="218" t="n">
        <f aca="false">C7+C14+C21</f>
        <v>0</v>
      </c>
      <c r="D28" s="218"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39" t="s">
        <v>1186</v>
      </c>
      <c r="B29" s="340" t="n">
        <f aca="false">B8+B15+B22</f>
        <v>-450000</v>
      </c>
      <c r="C29" s="340" t="n">
        <f aca="false">C8+C15+C22</f>
        <v>0</v>
      </c>
      <c r="D29" s="340" t="n">
        <f aca="false">D8+D15+D22</f>
        <v>-450000</v>
      </c>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c r="CF29" s="218"/>
      <c r="CG29" s="218"/>
      <c r="CH29" s="218"/>
    </row>
    <row r="30" customFormat="false" ht="15" hidden="false" customHeight="true" outlineLevel="0" collapsed="false">
      <c r="A30" s="341" t="s">
        <v>1187</v>
      </c>
      <c r="B30" s="342" t="n">
        <f aca="false">B9+B16+B23</f>
        <v>-1318548.68110717</v>
      </c>
      <c r="C30" s="342" t="n">
        <f aca="false">C9+C16+C23</f>
        <v>-240125.881206445</v>
      </c>
      <c r="D30" s="342" t="n">
        <f aca="false">D9+D16+D23</f>
        <v>-1558674.56231362</v>
      </c>
      <c r="E30" s="218"/>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row>
    <row r="31" customFormat="false" ht="15" hidden="false" customHeight="true" outlineLevel="0" collapsed="false">
      <c r="A31" s="97" t="s">
        <v>1188</v>
      </c>
      <c r="B31" s="219" t="n">
        <f aca="false">B10+B17+B24</f>
        <v>-128321.351107174</v>
      </c>
      <c r="C31" s="219" t="n">
        <f aca="false">C10+C17+C24</f>
        <v>6738582.11879356</v>
      </c>
      <c r="D31" s="219" t="n">
        <f aca="false">D10+D17+D24</f>
        <v>6610260.76768638</v>
      </c>
      <c r="E31" s="218"/>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row>
    <row r="32" customFormat="false" ht="15" hidden="false" customHeight="true" outlineLevel="0" collapsed="false">
      <c r="A32" s="343"/>
      <c r="B32" s="344"/>
      <c r="C32" s="344"/>
      <c r="D32" s="34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08"/>
      <c r="B33" s="334"/>
      <c r="C33" s="334"/>
      <c r="D33" s="334"/>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row>
    <row r="34" customFormat="false" ht="15" hidden="false" customHeight="true" outlineLevel="0" collapsed="false">
      <c r="A34" s="343"/>
      <c r="B34" s="344"/>
      <c r="C34" s="344"/>
      <c r="D34" s="344"/>
    </row>
    <row r="35" customFormat="false" ht="15" hidden="false" customHeight="true" outlineLevel="0" collapsed="false">
      <c r="A35" s="321"/>
      <c r="B35" s="322"/>
      <c r="C35" s="322"/>
      <c r="D35" s="322"/>
    </row>
    <row r="37" customFormat="false" ht="15" hidden="false" customHeight="true" outlineLevel="0" collapsed="false">
      <c r="A37" s="345"/>
    </row>
    <row r="38" customFormat="false" ht="15" hidden="false" customHeight="true" outlineLevel="0" collapsed="false">
      <c r="A38" s="346"/>
    </row>
    <row r="39" customFormat="false" ht="15" hidden="false" customHeight="true" outlineLevel="0" collapsed="false">
      <c r="A39" s="346"/>
    </row>
    <row r="40" customFormat="false" ht="15" hidden="false" customHeight="true" outlineLevel="0" collapsed="false">
      <c r="A40" s="346" t="s">
        <v>1189</v>
      </c>
    </row>
    <row r="41" customFormat="false" ht="15" hidden="false" customHeight="true" outlineLevel="0" collapsed="false">
      <c r="A41" s="346" t="s">
        <v>1190</v>
      </c>
    </row>
    <row r="42" customFormat="false" ht="15" hidden="false" customHeight="true" outlineLevel="0" collapsed="false">
      <c r="A42" s="346" t="s">
        <v>1191</v>
      </c>
    </row>
    <row r="43" customFormat="false" ht="15" hidden="false" customHeight="true" outlineLevel="0" collapsed="false">
      <c r="A43" s="346" t="s">
        <v>1192</v>
      </c>
    </row>
    <row r="44" customFormat="false" ht="15" hidden="false" customHeight="true" outlineLevel="0" collapsed="false">
      <c r="A44" s="346" t="s">
        <v>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1194</v>
      </c>
    </row>
    <row r="2" customFormat="false" ht="15" hidden="false" customHeight="true" outlineLevel="0" collapsed="false">
      <c r="A2" s="90" t="s">
        <v>1195</v>
      </c>
      <c r="B2" s="347" t="n">
        <v>0.0025</v>
      </c>
    </row>
    <row r="3" customFormat="false" ht="15" hidden="false" customHeight="true" outlineLevel="0" collapsed="false">
      <c r="A3" s="90" t="s">
        <v>1196</v>
      </c>
      <c r="B3" s="348" t="n">
        <v>0.1</v>
      </c>
    </row>
    <row r="4" customFormat="false" ht="15" hidden="false" customHeight="true" outlineLevel="0" collapsed="false"/>
    <row r="5" customFormat="false" ht="30" hidden="false" customHeight="true" outlineLevel="0" collapsed="false">
      <c r="A5" s="349" t="s">
        <v>1197</v>
      </c>
      <c r="B5" s="349" t="s">
        <v>1198</v>
      </c>
      <c r="C5" s="349" t="s">
        <v>1199</v>
      </c>
      <c r="D5" s="350" t="s">
        <v>1200</v>
      </c>
      <c r="E5" s="350" t="s">
        <v>1201</v>
      </c>
      <c r="F5" s="350" t="s">
        <v>1202</v>
      </c>
      <c r="G5" s="351"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2"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2"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2"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2"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2" t="n">
        <f aca="false">IF(F14&gt;=Assumptions!$B$86,Assumptions!$C$86,IF(F14&gt;=Assumptions!$B$85,Assumptions!$C$85,IF(F14&gt;=Assumptions!$B$84,Assumptions!$C$84,Assumptions!$C$83)))</f>
        <v>0.25</v>
      </c>
    </row>
    <row r="15" customFormat="false" ht="15" hidden="false" customHeight="true" outlineLevel="0" collapsed="false">
      <c r="A15" s="228"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28" t="s">
        <v>1203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28" t="s">
        <v>1204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28" t="s">
        <v>1205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1206</v>
      </c>
      <c r="B20" s="124" t="s">
        <v>896</v>
      </c>
      <c r="C20" s="124" t="s">
        <v>577</v>
      </c>
      <c r="D20" s="124" t="s">
        <v>579</v>
      </c>
      <c r="E20" s="124" t="s">
        <v>552</v>
      </c>
      <c r="F20" s="124" t="s">
        <v>1207</v>
      </c>
      <c r="G20" s="124" t="s">
        <v>578</v>
      </c>
      <c r="H20" s="124" t="s">
        <v>1208</v>
      </c>
      <c r="I20" s="124" t="s">
        <v>1209</v>
      </c>
      <c r="J20" s="124" t="s">
        <v>1210</v>
      </c>
      <c r="K20" s="124" t="s">
        <v>1211</v>
      </c>
      <c r="L20" s="124" t="s">
        <v>1212</v>
      </c>
      <c r="M20" s="124" t="s">
        <v>1213</v>
      </c>
      <c r="N20" s="124" t="s">
        <v>1214</v>
      </c>
      <c r="O20" s="124" t="s">
        <v>1215</v>
      </c>
      <c r="P20" s="124" t="s">
        <v>472</v>
      </c>
      <c r="Q20" s="124" t="s">
        <v>1216</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48"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48"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48"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48"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48"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48"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48"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48"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48"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48"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48"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48"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48"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48"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48"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48"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48"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48"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48"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48"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48"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48"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48"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48"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48"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48"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48"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48"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48"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48"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48"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48"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48"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48"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48"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48"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48"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48"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48"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48"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48"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48"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48"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48"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48"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48"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48"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48"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48"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48"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48"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48"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48"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48"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48"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48"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48"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48"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48"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48"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1217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4" customFormat="true" ht="15" hidden="false" customHeight="true" outlineLevel="0" collapsed="false">
      <c r="A1" s="353" t="s">
        <v>546</v>
      </c>
      <c r="B1" s="353" t="s">
        <v>1218</v>
      </c>
      <c r="C1" s="353" t="s">
        <v>1219</v>
      </c>
      <c r="D1" s="353" t="s">
        <v>1220</v>
      </c>
      <c r="E1" s="353" t="s">
        <v>1221</v>
      </c>
      <c r="F1" s="353" t="s">
        <v>1222</v>
      </c>
      <c r="G1" s="353" t="s">
        <v>1223</v>
      </c>
    </row>
    <row r="2" customFormat="false" ht="15" hidden="false" customHeight="true" outlineLevel="0" collapsed="false">
      <c r="A2" s="177" t="s">
        <v>7</v>
      </c>
      <c r="B2" s="178" t="n">
        <v>64068.16</v>
      </c>
      <c r="C2" s="178" t="n">
        <v>262447.96</v>
      </c>
      <c r="D2" s="355" t="n">
        <f aca="false">C2*0.05</f>
        <v>13122.398</v>
      </c>
      <c r="E2" s="355" t="n">
        <f aca="false">B2+D2</f>
        <v>77190.558</v>
      </c>
      <c r="F2" s="356" t="n">
        <f aca="false">Projects!$C$2+Projects!$D$2-1</f>
        <v>8</v>
      </c>
      <c r="G2" s="357" t="n">
        <f aca="false">EDATE(DATE(2026,4,1),F2-1)</f>
        <v>46327</v>
      </c>
    </row>
    <row r="3" customFormat="false" ht="15" hidden="false" customHeight="true" outlineLevel="0" collapsed="false">
      <c r="A3" s="177" t="s">
        <v>8</v>
      </c>
      <c r="B3" s="178" t="n">
        <v>71716.43</v>
      </c>
      <c r="C3" s="178" t="n">
        <v>1314727.24</v>
      </c>
      <c r="D3" s="355" t="n">
        <f aca="false">C3*0.05</f>
        <v>65736.362</v>
      </c>
      <c r="E3" s="355" t="n">
        <f aca="false">B3+D3</f>
        <v>137452.792</v>
      </c>
      <c r="F3" s="356" t="n">
        <v>18</v>
      </c>
      <c r="G3" s="357" t="n">
        <f aca="false">EDATE(DATE(2026,4,1),F3-1)</f>
        <v>46631</v>
      </c>
    </row>
    <row r="4" customFormat="false" ht="15" hidden="false" customHeight="true" outlineLevel="0" collapsed="false">
      <c r="A4" s="177" t="s">
        <v>9</v>
      </c>
      <c r="B4" s="178" t="n">
        <v>37008.93</v>
      </c>
      <c r="C4" s="178" t="n">
        <v>876131.96</v>
      </c>
      <c r="D4" s="355" t="n">
        <f aca="false">C4*0.05</f>
        <v>43806.598</v>
      </c>
      <c r="E4" s="355" t="n">
        <f aca="false">B4+D4</f>
        <v>80815.528</v>
      </c>
      <c r="F4" s="356" t="n">
        <v>17</v>
      </c>
      <c r="G4" s="357" t="n">
        <f aca="false">EDATE(DATE(2026,4,1),F4-1)</f>
        <v>46600</v>
      </c>
    </row>
    <row r="5" customFormat="false" ht="15" hidden="false" customHeight="true" outlineLevel="0" collapsed="false">
      <c r="A5" s="177" t="s">
        <v>10</v>
      </c>
      <c r="B5" s="178" t="n">
        <v>41184.33</v>
      </c>
      <c r="C5" s="178" t="n">
        <v>1021070.74</v>
      </c>
      <c r="D5" s="355" t="n">
        <f aca="false">C5*0.05</f>
        <v>51053.537</v>
      </c>
      <c r="E5" s="355" t="n">
        <f aca="false">B5+D5</f>
        <v>92237.867</v>
      </c>
      <c r="F5" s="356" t="n">
        <v>19</v>
      </c>
      <c r="G5" s="357" t="n">
        <f aca="false">EDATE(DATE(2026,4,1),F5-1)</f>
        <v>46661</v>
      </c>
    </row>
    <row r="6" customFormat="false" ht="15" hidden="false" customHeight="true" outlineLevel="0" collapsed="false">
      <c r="A6" s="177" t="s">
        <v>11</v>
      </c>
      <c r="B6" s="178" t="n">
        <v>15059.01</v>
      </c>
      <c r="C6" s="178" t="n">
        <v>307369.47</v>
      </c>
      <c r="D6" s="355" t="n">
        <f aca="false">C6*0.05</f>
        <v>15368.4735</v>
      </c>
      <c r="E6" s="355" t="n">
        <f aca="false">B6+D6</f>
        <v>30427.4835</v>
      </c>
      <c r="F6" s="356" t="n">
        <v>15</v>
      </c>
      <c r="G6" s="357" t="n">
        <f aca="false">EDATE(DATE(2026,4,1),F6-1)</f>
        <v>46539</v>
      </c>
    </row>
    <row r="7" customFormat="false" ht="15" hidden="false" customHeight="true" outlineLevel="0" collapsed="false">
      <c r="A7" s="177" t="s">
        <v>12</v>
      </c>
      <c r="B7" s="178" t="n">
        <v>5444.32</v>
      </c>
      <c r="C7" s="355" t="n">
        <v>5038551.52</v>
      </c>
      <c r="D7" s="355" t="n">
        <f aca="false">C7*0.05</f>
        <v>251927.576</v>
      </c>
      <c r="E7" s="355" t="n">
        <f aca="false">B7+D7</f>
        <v>257371.896</v>
      </c>
      <c r="F7" s="356" t="n">
        <v>36</v>
      </c>
      <c r="G7" s="357" t="n">
        <f aca="false">EDATE(DATE(2026,4,1),F7-1)</f>
        <v>47178</v>
      </c>
    </row>
    <row r="8" customFormat="false" ht="15" hidden="false" customHeight="true" outlineLevel="0" collapsed="false">
      <c r="A8" s="177" t="s">
        <v>13</v>
      </c>
      <c r="B8" s="178" t="n">
        <v>0</v>
      </c>
      <c r="C8" s="355" t="n">
        <f aca="false">IF(Projects!$G$8="Yes",Projects!$B$8*(Assumptions!$B$10+Assumptions!$B$11+Assumptions!$B$12),0)</f>
        <v>1564333.69243555</v>
      </c>
      <c r="D8" s="355" t="n">
        <f aca="false">C8*0.05</f>
        <v>78216.6846217775</v>
      </c>
      <c r="E8" s="355" t="n">
        <f aca="false">B8+D8</f>
        <v>78216.6846217775</v>
      </c>
      <c r="F8" s="356" t="n">
        <f aca="false">Projects!$C$8+Projects!$D$8-1</f>
        <v>24</v>
      </c>
      <c r="G8" s="357" t="n">
        <f aca="false">EDATE(DATE(2026,4,1),F8-1)</f>
        <v>46813</v>
      </c>
    </row>
    <row r="9" customFormat="false" ht="15" hidden="false" customHeight="true" outlineLevel="0" collapsed="false">
      <c r="A9" s="177" t="s">
        <v>14</v>
      </c>
      <c r="B9" s="178" t="n">
        <v>6916.62</v>
      </c>
      <c r="C9" s="355" t="n">
        <v>1587341.45</v>
      </c>
      <c r="D9" s="355" t="n">
        <f aca="false">C9*0.05</f>
        <v>79367.0725</v>
      </c>
      <c r="E9" s="355" t="n">
        <f aca="false">B9+D9</f>
        <v>86283.6925</v>
      </c>
      <c r="F9" s="356" t="n">
        <f aca="false">Projects!$C$9+Projects!$D$9-1</f>
        <v>23</v>
      </c>
      <c r="G9" s="357" t="n">
        <f aca="false">EDATE(DATE(2026,4,1),F9-1)</f>
        <v>46784</v>
      </c>
    </row>
    <row r="10" customFormat="false" ht="15" hidden="false" customHeight="true" outlineLevel="0" collapsed="false">
      <c r="A10" s="177" t="s">
        <v>15</v>
      </c>
      <c r="B10" s="178" t="n">
        <v>0</v>
      </c>
      <c r="C10" s="355" t="n">
        <f aca="false">IF(Projects!$G$10="Yes",Projects!$B$10*(Assumptions!$B$10+Assumptions!$B$11+Assumptions!$B$12),0)</f>
        <v>2559922.591355</v>
      </c>
      <c r="D10" s="355" t="n">
        <f aca="false">C10*0.05</f>
        <v>127996.12956775</v>
      </c>
      <c r="E10" s="355" t="n">
        <f aca="false">B10+D10</f>
        <v>127996.12956775</v>
      </c>
      <c r="F10" s="356" t="n">
        <f aca="false">Projects!$C$10+Projects!$D$10-1</f>
        <v>32</v>
      </c>
      <c r="G10" s="357" t="n">
        <f aca="false">EDATE(DATE(2026,4,1),F10-1)</f>
        <v>47058</v>
      </c>
    </row>
    <row r="11" customFormat="false" ht="15" hidden="false" customHeight="true" outlineLevel="0" collapsed="false">
      <c r="A11" s="177" t="s">
        <v>16</v>
      </c>
      <c r="B11" s="178" t="n">
        <v>0</v>
      </c>
      <c r="C11" s="355" t="n">
        <f aca="false">IF(Projects!$G$11="Yes",Projects!$B$11*(Assumptions!$B$10+Assumptions!$B$11+Assumptions!$B$12),0)</f>
        <v>1152997.729619</v>
      </c>
      <c r="D11" s="355" t="n">
        <f aca="false">C11*0.05</f>
        <v>57649.88648095</v>
      </c>
      <c r="E11" s="355" t="n">
        <f aca="false">B11+D11</f>
        <v>57649.88648095</v>
      </c>
      <c r="F11" s="356" t="n">
        <f aca="false">Projects!$C$11+Projects!$D$11-1</f>
        <v>29</v>
      </c>
      <c r="G11" s="357" t="n">
        <f aca="false">EDATE(DATE(2026,4,1),F11-1)</f>
        <v>46966</v>
      </c>
    </row>
    <row r="12" customFormat="false" ht="15" hidden="false" customHeight="true" outlineLevel="0" collapsed="false">
      <c r="A12" s="177" t="s">
        <v>17</v>
      </c>
      <c r="B12" s="178" t="n">
        <v>0</v>
      </c>
      <c r="C12" s="355" t="n">
        <f aca="false">IF(Projects!$G$12="Yes",Projects!$B$12*(Assumptions!$B$10+Assumptions!$B$11+Assumptions!$B$12),0)</f>
        <v>908374.534373</v>
      </c>
      <c r="D12" s="355" t="n">
        <f aca="false">C12*0.05</f>
        <v>45418.72671865</v>
      </c>
      <c r="E12" s="355" t="n">
        <f aca="false">B12+D12</f>
        <v>45418.72671865</v>
      </c>
      <c r="F12" s="356" t="n">
        <f aca="false">Projects!$C$12+Projects!$D$12-1</f>
        <v>28</v>
      </c>
      <c r="G12" s="357" t="n">
        <f aca="false">EDATE(DATE(2026,4,1),F12-1)</f>
        <v>46935</v>
      </c>
    </row>
    <row r="13" customFormat="false" ht="15" hidden="false" customHeight="true" outlineLevel="0" collapsed="false">
      <c r="A13" s="177" t="s">
        <v>18</v>
      </c>
      <c r="B13" s="178" t="n">
        <v>0</v>
      </c>
      <c r="C13" s="355" t="n">
        <f aca="false">IF(Projects!$G$13="Yes",Projects!$B$13*(Assumptions!$B$10+Assumptions!$B$11+Assumptions!$B$12),0)</f>
        <v>5449711.70707</v>
      </c>
      <c r="D13" s="355" t="n">
        <f aca="false">C13*0.05</f>
        <v>272485.5853535</v>
      </c>
      <c r="E13" s="355" t="n">
        <f aca="false">B13+D13</f>
        <v>272485.5853535</v>
      </c>
      <c r="F13" s="356" t="n">
        <f aca="false">Projects!$C$13+Projects!$D$13-1</f>
        <v>42</v>
      </c>
      <c r="G13" s="357" t="n">
        <f aca="false">EDATE(DATE(2026,4,1),F13-1)</f>
        <v>47362</v>
      </c>
    </row>
    <row r="14" customFormat="false" ht="15" hidden="false" customHeight="true" outlineLevel="0" collapsed="false">
      <c r="A14" s="177" t="s">
        <v>19</v>
      </c>
      <c r="B14" s="178" t="n">
        <v>0</v>
      </c>
      <c r="C14" s="355" t="n">
        <f aca="false">IF(Projects!$G$14="Yes",Projects!$B$14*(Assumptions!$B$10+Assumptions!$B$11+Assumptions!$B$12),0)</f>
        <v>4978725.501112</v>
      </c>
      <c r="D14" s="355" t="n">
        <f aca="false">C14*0.05</f>
        <v>248936.2750556</v>
      </c>
      <c r="E14" s="355" t="n">
        <f aca="false">B14+D14</f>
        <v>248936.2750556</v>
      </c>
      <c r="F14" s="356" t="n">
        <f aca="false">Projects!$C$14+Projects!$D$14-1</f>
        <v>56</v>
      </c>
      <c r="G14" s="357" t="n">
        <f aca="false">EDATE(DATE(2026,4,1),F14-1)</f>
        <v>47788</v>
      </c>
    </row>
    <row r="15" customFormat="false" ht="15" hidden="false" customHeight="true" outlineLevel="0" collapsed="false">
      <c r="A15" s="177" t="s">
        <v>1224</v>
      </c>
      <c r="B15" s="178" t="n">
        <v>0</v>
      </c>
      <c r="C15" s="355" t="n">
        <f aca="false">IF(Projects!$G$17="Yes",Projects!$B$17*(Assumptions!$B$10+Assumptions!$B$11+Assumptions!$B$12),0)</f>
        <v>1843910.361865</v>
      </c>
      <c r="D15" s="355" t="n">
        <f aca="false">C15*0.05</f>
        <v>92195.51809325</v>
      </c>
      <c r="E15" s="355" t="n">
        <f aca="false">B15+D15</f>
        <v>92195.51809325</v>
      </c>
      <c r="F15" s="356" t="n">
        <f aca="false">Projects!$C$17+Projects!$D$17-1</f>
        <v>32</v>
      </c>
      <c r="G15" s="357" t="n">
        <f aca="false">EDATE(DATE(2026,4,1),F15-1)</f>
        <v>47058</v>
      </c>
    </row>
    <row r="16" customFormat="false" ht="15" hidden="false" customHeight="true" outlineLevel="0" collapsed="false">
      <c r="A16" s="177" t="s">
        <v>1225</v>
      </c>
      <c r="B16" s="178" t="n">
        <v>0</v>
      </c>
      <c r="C16" s="355" t="n">
        <f aca="false">IF(Projects!$G$18="Yes",Projects!$B$18*(Assumptions!$B$10+Assumptions!$B$11+Assumptions!$B$12),0)</f>
        <v>1362511.297535</v>
      </c>
      <c r="D16" s="355" t="n">
        <f aca="false">C16*0.05</f>
        <v>68125.56487675</v>
      </c>
      <c r="E16" s="355" t="n">
        <f aca="false">B16+D16</f>
        <v>68125.56487675</v>
      </c>
      <c r="F16" s="356" t="n">
        <f aca="false">Projects!$C$18+Projects!$D$18-1</f>
        <v>33</v>
      </c>
      <c r="G16" s="357" t="n">
        <f aca="false">EDATE(DATE(2026,4,1),F16-1)</f>
        <v>47088</v>
      </c>
    </row>
    <row r="17" customFormat="false" ht="15" hidden="false" customHeight="true" outlineLevel="0" collapsed="false">
      <c r="A17" s="177" t="s">
        <v>1226</v>
      </c>
      <c r="B17" s="178" t="n">
        <v>0</v>
      </c>
      <c r="C17" s="355" t="n">
        <f aca="false">IF(Projects!$G$19="Yes",Projects!$B$19*(Assumptions!$B$10+Assumptions!$B$11+Assumptions!$B$12),0)</f>
        <v>2220343.402679</v>
      </c>
      <c r="D17" s="355" t="n">
        <f aca="false">C17*0.05</f>
        <v>111017.17013395</v>
      </c>
      <c r="E17" s="355" t="n">
        <f aca="false">B17+D17</f>
        <v>111017.17013395</v>
      </c>
      <c r="F17" s="356" t="n">
        <f aca="false">Projects!$C$19+Projects!$D$19-1</f>
        <v>34</v>
      </c>
      <c r="G17" s="357" t="n">
        <f aca="false">EDATE(DATE(2026,4,1),F17-1)</f>
        <v>47119</v>
      </c>
    </row>
    <row r="18" customFormat="false" ht="15" hidden="false" customHeight="true" outlineLevel="0" collapsed="false">
      <c r="A18" s="177" t="s">
        <v>23</v>
      </c>
      <c r="B18" s="178" t="n">
        <v>0</v>
      </c>
      <c r="C18" s="355" t="n">
        <f aca="false">IF(Projects!$G$20="Yes",Projects!$B$20*(Assumptions!$B$10+Assumptions!$B$11+Assumptions!$B$12),0)</f>
        <v>3012944.96485678</v>
      </c>
      <c r="D18" s="355" t="n">
        <f aca="false">C18*0.05</f>
        <v>150647.248242839</v>
      </c>
      <c r="E18" s="355" t="n">
        <f aca="false">B18+D18</f>
        <v>150647.248242839</v>
      </c>
      <c r="F18" s="356" t="n">
        <f aca="false">Projects!$C$20+Projects!$D$20-1</f>
        <v>43</v>
      </c>
      <c r="G18" s="357" t="n">
        <f aca="false">EDATE(DATE(2026,4,1),F18-1)</f>
        <v>47392</v>
      </c>
    </row>
    <row r="19" customFormat="false" ht="15" hidden="false" customHeight="true" outlineLevel="0" collapsed="false">
      <c r="A19" s="177" t="s">
        <v>24</v>
      </c>
      <c r="B19" s="178" t="n">
        <v>0</v>
      </c>
      <c r="C19" s="355" t="n">
        <f aca="false">IF(Projects!$G$21="Yes",Projects!$B$21*(Assumptions!$B$10+Assumptions!$B$11+Assumptions!$B$12),0)</f>
        <v>1828680.14792125</v>
      </c>
      <c r="D19" s="355" t="n">
        <f aca="false">C19*0.05</f>
        <v>91434.0073960625</v>
      </c>
      <c r="E19" s="355" t="n">
        <f aca="false">B19+D19</f>
        <v>91434.0073960625</v>
      </c>
      <c r="F19" s="356" t="n">
        <f aca="false">Projects!$C$21+Projects!$D$21-1</f>
        <v>28</v>
      </c>
      <c r="G19" s="357" t="n">
        <f aca="false">EDATE(DATE(2026,4,1),F19-1)</f>
        <v>46935</v>
      </c>
    </row>
    <row r="20" customFormat="false" ht="15" hidden="false" customHeight="true" outlineLevel="0" collapsed="false">
      <c r="A20" s="177" t="s">
        <v>25</v>
      </c>
      <c r="B20" s="178" t="n">
        <v>0</v>
      </c>
      <c r="C20" s="355" t="n">
        <f aca="false">IF(Projects!$G$22="Yes",Projects!$B$22*(Assumptions!$B$10+Assumptions!$B$11+Assumptions!$B$12),0)</f>
        <v>0</v>
      </c>
      <c r="D20" s="355" t="n">
        <f aca="false">C20*0.05</f>
        <v>0</v>
      </c>
      <c r="E20" s="355" t="n">
        <f aca="false">B20+D20</f>
        <v>0</v>
      </c>
      <c r="F20" s="356" t="n">
        <f aca="false">Projects!$C$22+Projects!$D$22-1</f>
        <v>49</v>
      </c>
      <c r="G20" s="357" t="n">
        <f aca="false">EDATE(DATE(2026,4,1),F20-1)</f>
        <v>47574</v>
      </c>
    </row>
    <row r="21" customFormat="false" ht="15" hidden="false" customHeight="true" outlineLevel="0" collapsed="false">
      <c r="A21" s="177" t="s">
        <v>26</v>
      </c>
      <c r="B21" s="178" t="n">
        <v>0</v>
      </c>
      <c r="C21" s="355" t="n">
        <f aca="false">IF(Projects!$G$23="Yes",Projects!$B$23*(Assumptions!$B$10+Assumptions!$B$11+Assumptions!$B$12),0)</f>
        <v>0</v>
      </c>
      <c r="D21" s="355" t="n">
        <f aca="false">C21*0.05</f>
        <v>0</v>
      </c>
      <c r="E21" s="355" t="n">
        <f aca="false">B21+D21</f>
        <v>0</v>
      </c>
      <c r="F21" s="356" t="n">
        <f aca="false">Projects!$C$23+Projects!$D$23-1</f>
        <v>52</v>
      </c>
      <c r="G21" s="357" t="n">
        <f aca="false">EDATE(DATE(2026,4,1),F21-1)</f>
        <v>47665</v>
      </c>
    </row>
    <row r="22" customFormat="false" ht="15" hidden="false" customHeight="true" outlineLevel="0" collapsed="false">
      <c r="A22" s="177" t="s">
        <v>27</v>
      </c>
      <c r="B22" s="178" t="n">
        <v>0</v>
      </c>
      <c r="C22" s="355" t="n">
        <f aca="false">IF(Projects!$G$24="Yes",Projects!$B$24*(Assumptions!$B$10+Assumptions!$B$11+Assumptions!$B$12),0)</f>
        <v>0</v>
      </c>
      <c r="D22" s="355" t="n">
        <f aca="false">C22*0.05</f>
        <v>0</v>
      </c>
      <c r="E22" s="355" t="n">
        <f aca="false">B22+D22</f>
        <v>0</v>
      </c>
      <c r="F22" s="356" t="n">
        <f aca="false">Projects!$C$24+Projects!$D$24-1</f>
        <v>55</v>
      </c>
      <c r="G22" s="357" t="n">
        <f aca="false">EDATE(DATE(2026,4,1),F22-1)</f>
        <v>47757</v>
      </c>
    </row>
    <row r="23" customFormat="false" ht="15" hidden="false" customHeight="true" outlineLevel="0" collapsed="false">
      <c r="A23" s="177" t="s">
        <v>28</v>
      </c>
      <c r="B23" s="178" t="n">
        <v>0</v>
      </c>
      <c r="C23" s="355" t="n">
        <f aca="false">IF(Projects!$G$25="Yes",Projects!$B$25*(Assumptions!$B$10+Assumptions!$B$11+Assumptions!$B$12),0)</f>
        <v>0</v>
      </c>
      <c r="D23" s="355" t="n">
        <f aca="false">C23*0.05</f>
        <v>0</v>
      </c>
      <c r="E23" s="355" t="n">
        <f aca="false">B23+D23</f>
        <v>0</v>
      </c>
      <c r="F23" s="356" t="n">
        <f aca="false">Projects!$C$25+Projects!$D$25-1</f>
        <v>58</v>
      </c>
      <c r="G23" s="357" t="n">
        <f aca="false">EDATE(DATE(2026,4,1),F23-1)</f>
        <v>47849</v>
      </c>
    </row>
    <row r="24" customFormat="false" ht="15" hidden="false" customHeight="true" outlineLevel="0" collapsed="false">
      <c r="A24" s="177" t="s">
        <v>29</v>
      </c>
      <c r="B24" s="178" t="n">
        <v>0</v>
      </c>
      <c r="C24" s="355" t="n">
        <f aca="false">IF(Projects!$G$26="Yes",Projects!$B$26*(Assumptions!$B$10+Assumptions!$B$11+Assumptions!$B$12),0)</f>
        <v>0</v>
      </c>
      <c r="D24" s="355" t="n">
        <f aca="false">C24*0.05</f>
        <v>0</v>
      </c>
      <c r="E24" s="355" t="n">
        <f aca="false">B24+D24</f>
        <v>0</v>
      </c>
      <c r="F24" s="356" t="n">
        <f aca="false">Projects!$C$26+Projects!$D$26-1</f>
        <v>60</v>
      </c>
      <c r="G24" s="357" t="n">
        <f aca="false">EDATE(DATE(2026,4,1),F24-1)</f>
        <v>47908</v>
      </c>
    </row>
    <row r="25" customFormat="false" ht="15" hidden="false" customHeight="true" outlineLevel="0" collapsed="false">
      <c r="A25" s="177" t="s">
        <v>30</v>
      </c>
      <c r="B25" s="178" t="n">
        <v>0</v>
      </c>
      <c r="C25" s="355" t="n">
        <f aca="false">IF(Projects!$G$27="Yes",Projects!$B$27*(Assumptions!$B$10+Assumptions!$B$11+Assumptions!$B$12),0)</f>
        <v>0</v>
      </c>
      <c r="D25" s="355" t="n">
        <f aca="false">C25*0.05</f>
        <v>0</v>
      </c>
      <c r="E25" s="355" t="n">
        <f aca="false">B25+D25</f>
        <v>0</v>
      </c>
      <c r="F25" s="356" t="n">
        <f aca="false">Projects!$C$27+Projects!$D$27-1</f>
        <v>62</v>
      </c>
      <c r="G25" s="357" t="n">
        <f aca="false">EDATE(DATE(2026,4,1),F25-1)</f>
        <v>47969</v>
      </c>
    </row>
    <row r="26" customFormat="false" ht="15" hidden="false" customHeight="true" outlineLevel="0" collapsed="false">
      <c r="A26" s="177" t="s">
        <v>31</v>
      </c>
      <c r="B26" s="178" t="n">
        <v>0</v>
      </c>
      <c r="C26" s="355" t="n">
        <f aca="false">IF(Projects!$G$28="Yes",Projects!$B$28*(Assumptions!$B$10+Assumptions!$B$11+Assumptions!$B$12),0)</f>
        <v>0</v>
      </c>
      <c r="D26" s="355" t="n">
        <f aca="false">C26*0.05</f>
        <v>0</v>
      </c>
      <c r="E26" s="355" t="n">
        <f aca="false">B26+D26</f>
        <v>0</v>
      </c>
      <c r="F26" s="356" t="n">
        <f aca="false">Projects!$C$28+Projects!$D$28-1</f>
        <v>64</v>
      </c>
      <c r="G26" s="357" t="n">
        <f aca="false">EDATE(DATE(2026,4,1),F26-1)</f>
        <v>48030</v>
      </c>
    </row>
    <row r="27" customFormat="false" ht="15" hidden="false" customHeight="true" outlineLevel="0" collapsed="false">
      <c r="A27" s="177" t="s">
        <v>32</v>
      </c>
      <c r="B27" s="178" t="n">
        <v>0</v>
      </c>
      <c r="C27" s="355" t="n">
        <f aca="false">IF(Projects!$G$29="Yes",Projects!$B$29*(Assumptions!$B$10+Assumptions!$B$11+Assumptions!$B$12),0)</f>
        <v>0</v>
      </c>
      <c r="D27" s="355" t="n">
        <f aca="false">C27*0.05</f>
        <v>0</v>
      </c>
      <c r="E27" s="355" t="n">
        <f aca="false">B27+D27</f>
        <v>0</v>
      </c>
      <c r="F27" s="356" t="n">
        <f aca="false">Projects!$C$29+Projects!$D$29-1</f>
        <v>66</v>
      </c>
      <c r="G27" s="357" t="n">
        <f aca="false">EDATE(DATE(2026,4,1),F27-1)</f>
        <v>48092</v>
      </c>
    </row>
    <row r="28" customFormat="false" ht="15" hidden="false" customHeight="true" outlineLevel="0" collapsed="false">
      <c r="A28" s="177" t="s">
        <v>33</v>
      </c>
      <c r="B28" s="178" t="n">
        <v>0</v>
      </c>
      <c r="C28" s="355" t="n">
        <f aca="false">IF(Projects!$G$30="Yes",Projects!$B$30*(Assumptions!$B$10+Assumptions!$B$11+Assumptions!$B$12),0)</f>
        <v>0</v>
      </c>
      <c r="D28" s="355" t="n">
        <f aca="false">C28*0.05</f>
        <v>0</v>
      </c>
      <c r="E28" s="355" t="n">
        <f aca="false">B28+D28</f>
        <v>0</v>
      </c>
      <c r="F28" s="356" t="n">
        <f aca="false">Projects!$C$30+Projects!$D$30-1</f>
        <v>68</v>
      </c>
      <c r="G28" s="357" t="n">
        <f aca="false">EDATE(DATE(2026,4,1),F28-1)</f>
        <v>48153</v>
      </c>
    </row>
    <row r="29" customFormat="false" ht="15" hidden="false" customHeight="true" outlineLevel="0" collapsed="false">
      <c r="A29" s="177" t="s">
        <v>34</v>
      </c>
      <c r="B29" s="178" t="n">
        <v>0</v>
      </c>
      <c r="C29" s="355" t="n">
        <f aca="false">IF(Projects!$G$31="Yes",Projects!$B$31*(Assumptions!$B$10+Assumptions!$B$11+Assumptions!$B$12),0)</f>
        <v>0</v>
      </c>
      <c r="D29" s="355" t="n">
        <f aca="false">C29*0.05</f>
        <v>0</v>
      </c>
      <c r="E29" s="355" t="n">
        <f aca="false">B29+D29</f>
        <v>0</v>
      </c>
      <c r="F29" s="356" t="n">
        <f aca="false">Projects!$C$31+Projects!$D$31-1</f>
        <v>70</v>
      </c>
      <c r="G29" s="357" t="n">
        <f aca="false">EDATE(DATE(2026,4,1),F29-1)</f>
        <v>48214</v>
      </c>
    </row>
    <row r="30" customFormat="false" ht="15" hidden="false" customHeight="true" outlineLevel="0" collapsed="false">
      <c r="A30" s="177" t="s">
        <v>35</v>
      </c>
      <c r="B30" s="178" t="n">
        <v>0</v>
      </c>
      <c r="C30" s="355" t="n">
        <f aca="false">IF(Projects!$G$32="Yes",Projects!$B$32*(Assumptions!$B$10+Assumptions!$B$11+Assumptions!$B$12),0)</f>
        <v>0</v>
      </c>
      <c r="D30" s="355" t="n">
        <f aca="false">C30*0.05</f>
        <v>0</v>
      </c>
      <c r="E30" s="355" t="n">
        <f aca="false">B30+D30</f>
        <v>0</v>
      </c>
      <c r="F30" s="356" t="n">
        <f aca="false">Projects!$C$32+Projects!$D$32-1</f>
        <v>72</v>
      </c>
      <c r="G30" s="357" t="n">
        <f aca="false">EDATE(DATE(2026,4,1),F30-1)</f>
        <v>48274</v>
      </c>
    </row>
    <row r="31" customFormat="false" ht="15" hidden="false" customHeight="true" outlineLevel="0" collapsed="false">
      <c r="A31" s="177" t="s">
        <v>36</v>
      </c>
      <c r="B31" s="178" t="n">
        <v>0</v>
      </c>
      <c r="C31" s="355" t="n">
        <f aca="false">IF(Projects!$G$33="Yes",Projects!$B$33*(Assumptions!$B$10+Assumptions!$B$11+Assumptions!$B$12),0)</f>
        <v>0</v>
      </c>
      <c r="D31" s="355" t="n">
        <f aca="false">C31*0.05</f>
        <v>0</v>
      </c>
      <c r="E31" s="355" t="n">
        <f aca="false">B31+D31</f>
        <v>0</v>
      </c>
      <c r="F31" s="356" t="n">
        <f aca="false">Projects!$C$33+Projects!$D$33-1</f>
        <v>74</v>
      </c>
      <c r="G31" s="357" t="n">
        <f aca="false">EDATE(DATE(2026,4,1),F31-1)</f>
        <v>48335</v>
      </c>
    </row>
    <row r="32" customFormat="false" ht="15" hidden="false" customHeight="true" outlineLevel="0" collapsed="false">
      <c r="A32" s="177" t="s">
        <v>37</v>
      </c>
      <c r="B32" s="178" t="n">
        <v>0</v>
      </c>
      <c r="C32" s="355" t="n">
        <f aca="false">IF(Projects!$G$34="Yes",Projects!$B$34*(Assumptions!$B$10+Assumptions!$B$11+Assumptions!$B$12),0)</f>
        <v>0</v>
      </c>
      <c r="D32" s="355" t="n">
        <f aca="false">C32*0.05</f>
        <v>0</v>
      </c>
      <c r="E32" s="355" t="n">
        <f aca="false">B32+D32</f>
        <v>0</v>
      </c>
      <c r="F32" s="356" t="n">
        <f aca="false">Projects!$C$34+Projects!$D$34-1</f>
        <v>76</v>
      </c>
      <c r="G32" s="357" t="n">
        <f aca="false">EDATE(DATE(2026,4,1),F32-1)</f>
        <v>48396</v>
      </c>
    </row>
    <row r="33" customFormat="false" ht="15" hidden="false" customHeight="true" outlineLevel="0" collapsed="false">
      <c r="A33" s="177" t="s">
        <v>38</v>
      </c>
      <c r="B33" s="178" t="n">
        <v>0</v>
      </c>
      <c r="C33" s="355" t="n">
        <f aca="false">IF(Projects!$G$35="Yes",Projects!$B$35*(Assumptions!$B$10+Assumptions!$B$11+Assumptions!$B$12),0)</f>
        <v>0</v>
      </c>
      <c r="D33" s="355" t="n">
        <f aca="false">C33*0.05</f>
        <v>0</v>
      </c>
      <c r="E33" s="355" t="n">
        <f aca="false">B33+D33</f>
        <v>0</v>
      </c>
      <c r="F33" s="356" t="n">
        <f aca="false">Projects!$C$35+Projects!$D$35-1</f>
        <v>78</v>
      </c>
      <c r="G33" s="357" t="n">
        <f aca="false">EDATE(DATE(2026,4,1),F33-1)</f>
        <v>48458</v>
      </c>
    </row>
    <row r="34" customFormat="false" ht="15" hidden="false" customHeight="true" outlineLevel="0" collapsed="false">
      <c r="A34" s="177" t="s">
        <v>39</v>
      </c>
      <c r="B34" s="178" t="n">
        <v>0</v>
      </c>
      <c r="C34" s="355" t="n">
        <f aca="false">IF(Projects!$G$36="Yes",Projects!$B$36*(Assumptions!$B$10+Assumptions!$B$11+Assumptions!$B$12),0)</f>
        <v>0</v>
      </c>
      <c r="D34" s="355" t="n">
        <f aca="false">C34*0.05</f>
        <v>0</v>
      </c>
      <c r="E34" s="355" t="n">
        <f aca="false">B34+D34</f>
        <v>0</v>
      </c>
      <c r="F34" s="356" t="n">
        <f aca="false">Projects!$C$36+Projects!$D$36-1</f>
        <v>80</v>
      </c>
      <c r="G34" s="357" t="n">
        <f aca="false">EDATE(DATE(2026,4,1),F34-1)</f>
        <v>48519</v>
      </c>
    </row>
    <row r="35" customFormat="false" ht="15" hidden="false" customHeight="true" outlineLevel="0" collapsed="false">
      <c r="A35" s="177" t="s">
        <v>40</v>
      </c>
      <c r="B35" s="178" t="n">
        <v>0</v>
      </c>
      <c r="C35" s="355" t="n">
        <f aca="false">IF(Projects!$G$37="Yes",Projects!$B$37*(Assumptions!$B$10+Assumptions!$B$11+Assumptions!$B$12),0)</f>
        <v>0</v>
      </c>
      <c r="D35" s="355" t="n">
        <f aca="false">C35*0.05</f>
        <v>0</v>
      </c>
      <c r="E35" s="355" t="n">
        <f aca="false">B35+D35</f>
        <v>0</v>
      </c>
      <c r="F35" s="356" t="n">
        <f aca="false">Projects!$C$37+Projects!$D$37-1</f>
        <v>82</v>
      </c>
      <c r="G35" s="357" t="n">
        <f aca="false">EDATE(DATE(2026,4,1),F35-1)</f>
        <v>48580</v>
      </c>
    </row>
    <row r="36" customFormat="false" ht="15" hidden="false" customHeight="true" outlineLevel="0" collapsed="false">
      <c r="A36" s="177" t="s">
        <v>41</v>
      </c>
      <c r="B36" s="178" t="n">
        <v>0</v>
      </c>
      <c r="C36" s="355" t="n">
        <f aca="false">IF(Projects!$G$38="Yes",Projects!$B$38*(Assumptions!$B$10+Assumptions!$B$11+Assumptions!$B$12),0)</f>
        <v>0</v>
      </c>
      <c r="D36" s="355" t="n">
        <f aca="false">C36*0.05</f>
        <v>0</v>
      </c>
      <c r="E36" s="355" t="n">
        <f aca="false">B36+D36</f>
        <v>0</v>
      </c>
      <c r="F36" s="356" t="n">
        <f aca="false">Projects!$C$38+Projects!$D$38-1</f>
        <v>84</v>
      </c>
      <c r="G36" s="357" t="n">
        <f aca="false">EDATE(DATE(2026,4,1),F36-1)</f>
        <v>48639</v>
      </c>
    </row>
    <row r="37" customFormat="false" ht="15" hidden="false" customHeight="true" outlineLevel="0" collapsed="false">
      <c r="A37" s="177" t="s">
        <v>42</v>
      </c>
      <c r="B37" s="178" t="n">
        <v>0</v>
      </c>
      <c r="C37" s="355" t="n">
        <f aca="false">IF(Projects!$G$39="Yes",Projects!$B$39*(Assumptions!$B$10+Assumptions!$B$11+Assumptions!$B$12),0)</f>
        <v>0</v>
      </c>
      <c r="D37" s="355" t="n">
        <f aca="false">C37*0.05</f>
        <v>0</v>
      </c>
      <c r="E37" s="355" t="n">
        <f aca="false">B37+D37</f>
        <v>0</v>
      </c>
      <c r="F37" s="356" t="n">
        <f aca="false">Projects!$C$39+Projects!$D$39-1</f>
        <v>86</v>
      </c>
      <c r="G37" s="357" t="n">
        <f aca="false">EDATE(DATE(2026,4,1),F37-1)</f>
        <v>48700</v>
      </c>
    </row>
    <row r="38" customFormat="false" ht="15" hidden="false" customHeight="true" outlineLevel="0" collapsed="false">
      <c r="A38" s="177" t="s">
        <v>43</v>
      </c>
      <c r="B38" s="178" t="n">
        <v>0</v>
      </c>
      <c r="C38" s="355" t="n">
        <f aca="false">IF(Projects!$G$40="Yes",Projects!$B$40*(Assumptions!$B$10+Assumptions!$B$11+Assumptions!$B$12),0)</f>
        <v>0</v>
      </c>
      <c r="D38" s="355" t="n">
        <f aca="false">C38*0.05</f>
        <v>0</v>
      </c>
      <c r="E38" s="355" t="n">
        <f aca="false">B38+D38</f>
        <v>0</v>
      </c>
      <c r="F38" s="356" t="n">
        <f aca="false">Projects!$C$40+Projects!$D$40-1</f>
        <v>88</v>
      </c>
      <c r="G38" s="357" t="n">
        <f aca="false">EDATE(DATE(2026,4,1),F38-1)</f>
        <v>48761</v>
      </c>
    </row>
    <row r="39" customFormat="false" ht="15" hidden="false" customHeight="true" outlineLevel="0" collapsed="false">
      <c r="A39" s="177" t="s">
        <v>44</v>
      </c>
      <c r="B39" s="178" t="n">
        <v>0</v>
      </c>
      <c r="C39" s="355" t="n">
        <f aca="false">IF(Projects!$G$41="Yes",Projects!$B$41*(Assumptions!$B$10+Assumptions!$B$11+Assumptions!$B$12),0)</f>
        <v>0</v>
      </c>
      <c r="D39" s="355" t="n">
        <f aca="false">C39*0.05</f>
        <v>0</v>
      </c>
      <c r="E39" s="355" t="n">
        <f aca="false">B39+D39</f>
        <v>0</v>
      </c>
      <c r="F39" s="356" t="n">
        <f aca="false">Projects!$C$41+Projects!$D$41-1</f>
        <v>90</v>
      </c>
      <c r="G39" s="357" t="n">
        <f aca="false">EDATE(DATE(2026,4,1),F39-1)</f>
        <v>48823</v>
      </c>
    </row>
    <row r="40" customFormat="false" ht="15" hidden="false" customHeight="true" outlineLevel="0" collapsed="false">
      <c r="A40" s="177" t="s">
        <v>45</v>
      </c>
      <c r="B40" s="178" t="n">
        <v>0</v>
      </c>
      <c r="C40" s="355" t="n">
        <f aca="false">IF(Projects!$G$42="Yes",Projects!$B$42*(Assumptions!$B$10+Assumptions!$B$11+Assumptions!$B$12),0)</f>
        <v>0</v>
      </c>
      <c r="D40" s="355" t="n">
        <f aca="false">C40*0.05</f>
        <v>0</v>
      </c>
      <c r="E40" s="355" t="n">
        <f aca="false">B40+D40</f>
        <v>0</v>
      </c>
      <c r="F40" s="356" t="n">
        <f aca="false">Projects!$C$42+Projects!$D$42-1</f>
        <v>92</v>
      </c>
      <c r="G40" s="357" t="n">
        <f aca="false">EDATE(DATE(2026,4,1),F40-1)</f>
        <v>48884</v>
      </c>
    </row>
    <row r="41" customFormat="false" ht="15" hidden="false" customHeight="true" outlineLevel="0" collapsed="false">
      <c r="A41" s="177" t="s">
        <v>46</v>
      </c>
      <c r="B41" s="178" t="n">
        <v>0</v>
      </c>
      <c r="C41" s="355" t="n">
        <f aca="false">IF(Projects!$G$43="Yes",Projects!$B$43*(Assumptions!$B$10+Assumptions!$B$11+Assumptions!$B$12),0)</f>
        <v>0</v>
      </c>
      <c r="D41" s="355" t="n">
        <f aca="false">C41*0.05</f>
        <v>0</v>
      </c>
      <c r="E41" s="355" t="n">
        <f aca="false">B41+D41</f>
        <v>0</v>
      </c>
      <c r="F41" s="356" t="n">
        <f aca="false">Projects!$C$43+Projects!$D$43-1</f>
        <v>94</v>
      </c>
      <c r="G41" s="357" t="n">
        <f aca="false">EDATE(DATE(2026,4,1),F41-1)</f>
        <v>48945</v>
      </c>
    </row>
    <row r="42" customFormat="false" ht="15" hidden="false" customHeight="true" outlineLevel="0" collapsed="false">
      <c r="A42" s="177" t="s">
        <v>47</v>
      </c>
      <c r="B42" s="178" t="n">
        <v>0</v>
      </c>
      <c r="C42" s="355" t="n">
        <f aca="false">IF(Projects!$G$44="Yes",Projects!$B$44*(Assumptions!$B$10+Assumptions!$B$11+Assumptions!$B$12),0)</f>
        <v>0</v>
      </c>
      <c r="D42" s="355" t="n">
        <f aca="false">C42*0.05</f>
        <v>0</v>
      </c>
      <c r="E42" s="355" t="n">
        <f aca="false">B42+D42</f>
        <v>0</v>
      </c>
      <c r="F42" s="356" t="n">
        <f aca="false">Projects!$C$44+Projects!$D$44-1</f>
        <v>96</v>
      </c>
      <c r="G42" s="357" t="n">
        <f aca="false">EDATE(DATE(2026,4,1),F42-1)</f>
        <v>49004</v>
      </c>
    </row>
    <row r="43" customFormat="false" ht="15" hidden="false" customHeight="true" outlineLevel="0" collapsed="false">
      <c r="A43" s="177" t="s">
        <v>48</v>
      </c>
      <c r="B43" s="178" t="n">
        <v>0</v>
      </c>
      <c r="C43" s="355" t="n">
        <f aca="false">IF(Projects!$G$45="Yes",Projects!$B$45*(Assumptions!$B$10+Assumptions!$B$11+Assumptions!$B$12),0)</f>
        <v>0</v>
      </c>
      <c r="D43" s="355" t="n">
        <f aca="false">C43*0.05</f>
        <v>0</v>
      </c>
      <c r="E43" s="355" t="n">
        <f aca="false">B43+D43</f>
        <v>0</v>
      </c>
      <c r="F43" s="356" t="n">
        <f aca="false">Projects!$C$45+Projects!$D$45-1</f>
        <v>98</v>
      </c>
      <c r="G43" s="357" t="n">
        <f aca="false">EDATE(DATE(2026,4,1),F43-1)</f>
        <v>49065</v>
      </c>
    </row>
    <row r="44" customFormat="false" ht="15" hidden="false" customHeight="true" outlineLevel="0" collapsed="false">
      <c r="A44" s="177" t="s">
        <v>49</v>
      </c>
      <c r="B44" s="178" t="n">
        <v>0</v>
      </c>
      <c r="C44" s="355" t="n">
        <f aca="false">IF(Projects!$G$46="Yes",Projects!$B$46*(Assumptions!$B$10+Assumptions!$B$11+Assumptions!$B$12),0)</f>
        <v>0</v>
      </c>
      <c r="D44" s="355" t="n">
        <f aca="false">C44*0.05</f>
        <v>0</v>
      </c>
      <c r="E44" s="355" t="n">
        <f aca="false">B44+D44</f>
        <v>0</v>
      </c>
      <c r="F44" s="356" t="n">
        <f aca="false">Projects!$C$46+Projects!$D$46-1</f>
        <v>100</v>
      </c>
      <c r="G44" s="357"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1227</v>
      </c>
    </row>
    <row r="2" customFormat="false" ht="15" hidden="false" customHeight="true" outlineLevel="0" collapsed="false">
      <c r="A2" s="72" t="s">
        <v>1228</v>
      </c>
    </row>
    <row r="4" customFormat="false" ht="15" hidden="false" customHeight="true" outlineLevel="0" collapsed="false">
      <c r="A4" s="23" t="s">
        <v>1229</v>
      </c>
      <c r="B4" s="23"/>
      <c r="C4" s="23"/>
    </row>
    <row r="5" customFormat="false" ht="15" hidden="false" customHeight="true" outlineLevel="0" collapsed="false">
      <c r="A5" s="177" t="s">
        <v>1230</v>
      </c>
      <c r="B5" s="178" t="n">
        <v>180000</v>
      </c>
      <c r="C5" s="72" t="s">
        <v>1231</v>
      </c>
    </row>
    <row r="6" customFormat="false" ht="15" hidden="false" customHeight="true" outlineLevel="0" collapsed="false">
      <c r="A6" s="177" t="s">
        <v>1232</v>
      </c>
      <c r="B6" s="358" t="n">
        <v>1</v>
      </c>
      <c r="C6" s="72" t="s">
        <v>489</v>
      </c>
    </row>
    <row r="7" customFormat="false" ht="15" hidden="false" customHeight="true" outlineLevel="0" collapsed="false">
      <c r="A7" s="177" t="s">
        <v>1233</v>
      </c>
      <c r="B7" s="358" t="n">
        <v>7</v>
      </c>
      <c r="C7" s="72" t="s">
        <v>1234</v>
      </c>
    </row>
    <row r="8" customFormat="false" ht="15" hidden="false" customHeight="true" outlineLevel="0" collapsed="false">
      <c r="A8" s="177" t="s">
        <v>1235</v>
      </c>
      <c r="B8" s="355" t="n">
        <f aca="false">B5/B7</f>
        <v>25714.2857142857</v>
      </c>
      <c r="C8" s="72" t="s">
        <v>1236</v>
      </c>
    </row>
    <row r="9" customFormat="false" ht="15" hidden="false" customHeight="true" outlineLevel="0" collapsed="false">
      <c r="A9" s="177" t="s">
        <v>1237</v>
      </c>
      <c r="B9" s="178" t="n">
        <v>2500</v>
      </c>
      <c r="C9" s="72" t="s">
        <v>1238</v>
      </c>
    </row>
    <row r="10" customFormat="false" ht="15" hidden="false" customHeight="true" outlineLevel="0" collapsed="false">
      <c r="A10" s="177" t="s">
        <v>1239</v>
      </c>
      <c r="B10" s="358" t="n">
        <v>9</v>
      </c>
      <c r="C10" s="72" t="s">
        <v>1240</v>
      </c>
    </row>
    <row r="11" customFormat="false" ht="15" hidden="false" customHeight="true" outlineLevel="0" collapsed="false">
      <c r="A11" s="177" t="s">
        <v>1241</v>
      </c>
      <c r="B11" s="358" t="n">
        <v>30</v>
      </c>
      <c r="C11" s="72" t="s">
        <v>1242</v>
      </c>
    </row>
    <row r="12" customFormat="false" ht="15" hidden="false" customHeight="true" outlineLevel="0" collapsed="false">
      <c r="A12" s="177" t="s">
        <v>1243</v>
      </c>
      <c r="B12" s="178" t="n">
        <v>2694</v>
      </c>
      <c r="C12" s="72" t="s">
        <v>1244</v>
      </c>
    </row>
    <row r="13" customFormat="false" ht="15" hidden="false" customHeight="true" outlineLevel="0" collapsed="false">
      <c r="A13" s="177" t="s">
        <v>1245</v>
      </c>
      <c r="B13" s="358" t="n">
        <v>2</v>
      </c>
      <c r="C13" s="72" t="s">
        <v>490</v>
      </c>
    </row>
    <row r="14" customFormat="false" ht="15" hidden="false" customHeight="true" outlineLevel="0" collapsed="false">
      <c r="A14" s="177" t="s">
        <v>1246</v>
      </c>
      <c r="B14" s="358" t="n">
        <v>15</v>
      </c>
      <c r="C14" s="72" t="s">
        <v>1247</v>
      </c>
    </row>
    <row r="15" customFormat="false" ht="15" hidden="false" customHeight="true" outlineLevel="0" collapsed="false">
      <c r="A15" s="177" t="s">
        <v>1248</v>
      </c>
      <c r="B15" s="178" t="n">
        <v>2500</v>
      </c>
      <c r="C15" s="72" t="s">
        <v>1249</v>
      </c>
    </row>
    <row r="16" customFormat="false" ht="15" hidden="false" customHeight="true" outlineLevel="0" collapsed="false">
      <c r="A16" s="177" t="s">
        <v>1250</v>
      </c>
      <c r="B16" s="358" t="n">
        <v>2</v>
      </c>
      <c r="C16" s="72" t="s">
        <v>490</v>
      </c>
    </row>
    <row r="17" customFormat="false" ht="15" hidden="false" customHeight="true" outlineLevel="0" collapsed="false">
      <c r="A17" s="177" t="s">
        <v>1251</v>
      </c>
      <c r="B17" s="358" t="n">
        <v>30</v>
      </c>
      <c r="C17" s="72" t="s">
        <v>1252</v>
      </c>
    </row>
    <row r="18" customFormat="false" ht="15" hidden="false" customHeight="true" outlineLevel="0" collapsed="false">
      <c r="A18" s="177" t="s">
        <v>1253</v>
      </c>
      <c r="B18" s="178" t="n">
        <v>7500</v>
      </c>
      <c r="C18" s="72" t="s">
        <v>1254</v>
      </c>
    </row>
    <row r="19" customFormat="false" ht="15" hidden="false" customHeight="true" outlineLevel="0" collapsed="false">
      <c r="A19" s="177" t="s">
        <v>1255</v>
      </c>
      <c r="B19" s="358" t="n">
        <v>2</v>
      </c>
      <c r="C19" s="72" t="s">
        <v>490</v>
      </c>
    </row>
    <row r="20" customFormat="false" ht="15" hidden="false" customHeight="true" outlineLevel="0" collapsed="false">
      <c r="A20" s="177" t="s">
        <v>1256</v>
      </c>
      <c r="B20" s="178" t="n">
        <v>32000</v>
      </c>
      <c r="C20" s="72" t="s">
        <v>1257</v>
      </c>
    </row>
    <row r="21" customFormat="false" ht="15" hidden="false" customHeight="true" outlineLevel="0" collapsed="false">
      <c r="A21" s="177" t="s">
        <v>1258</v>
      </c>
      <c r="B21" s="178" t="n">
        <v>600000</v>
      </c>
      <c r="C21" s="72" t="s">
        <v>1259</v>
      </c>
    </row>
    <row r="22" customFormat="false" ht="15" hidden="false" customHeight="true" outlineLevel="0" collapsed="false">
      <c r="A22" s="177" t="s">
        <v>1260</v>
      </c>
      <c r="B22" s="358" t="n">
        <v>7</v>
      </c>
      <c r="C22" s="72" t="s">
        <v>1261</v>
      </c>
    </row>
    <row r="23" customFormat="false" ht="15" hidden="false" customHeight="true" outlineLevel="0" collapsed="false">
      <c r="A23" s="177" t="s">
        <v>1262</v>
      </c>
      <c r="B23" s="358" t="n">
        <v>12</v>
      </c>
      <c r="C23" s="72" t="s">
        <v>1263</v>
      </c>
    </row>
    <row r="24" customFormat="false" ht="15" hidden="false" customHeight="true" outlineLevel="0" collapsed="false">
      <c r="A24" s="177" t="s">
        <v>1264</v>
      </c>
      <c r="B24" s="355" t="n">
        <f aca="false">B21/B23</f>
        <v>50000</v>
      </c>
      <c r="C24" s="72" t="s">
        <v>1236</v>
      </c>
    </row>
    <row r="25" customFormat="false" ht="15" hidden="false" customHeight="true" outlineLevel="0" collapsed="false">
      <c r="A25" s="177" t="s">
        <v>1265</v>
      </c>
      <c r="B25" s="178" t="n">
        <v>2500</v>
      </c>
      <c r="C25" s="72" t="s">
        <v>1259</v>
      </c>
    </row>
    <row r="26" customFormat="false" ht="15" hidden="false" customHeight="true" outlineLevel="0" collapsed="false">
      <c r="A26" s="177" t="s">
        <v>1266</v>
      </c>
      <c r="B26" s="358" t="n">
        <v>22</v>
      </c>
      <c r="C26" s="72" t="s">
        <v>1267</v>
      </c>
    </row>
    <row r="27" customFormat="false" ht="15" hidden="false" customHeight="true" outlineLevel="0" collapsed="false">
      <c r="A27" s="177" t="s">
        <v>1268</v>
      </c>
      <c r="B27" s="358" t="n">
        <v>30</v>
      </c>
      <c r="C27" s="72" t="s">
        <v>1269</v>
      </c>
    </row>
    <row r="28" customFormat="false" ht="15" hidden="false" customHeight="true" outlineLevel="0" collapsed="false">
      <c r="A28" s="23" t="s">
        <v>1270</v>
      </c>
      <c r="B28" s="23"/>
      <c r="C28" s="23"/>
    </row>
    <row r="29" customFormat="false" ht="15" hidden="false" customHeight="true" outlineLevel="0" collapsed="false">
      <c r="A29" s="177" t="s">
        <v>1271</v>
      </c>
      <c r="B29" s="178" t="n">
        <v>12500</v>
      </c>
      <c r="C29" s="72" t="s">
        <v>1272</v>
      </c>
    </row>
    <row r="30" customFormat="false" ht="15" hidden="false" customHeight="true" outlineLevel="0" collapsed="false">
      <c r="A30" s="177" t="s">
        <v>1273</v>
      </c>
      <c r="B30" s="358" t="n">
        <v>18750</v>
      </c>
      <c r="C30" s="72" t="s">
        <v>1274</v>
      </c>
    </row>
    <row r="31" customFormat="false" ht="15" hidden="false" customHeight="true" outlineLevel="0" collapsed="false">
      <c r="A31" s="177" t="s">
        <v>1275</v>
      </c>
      <c r="B31" s="356" t="n">
        <f aca="false">B22</f>
        <v>7</v>
      </c>
      <c r="C31" s="72" t="s">
        <v>1276</v>
      </c>
    </row>
    <row r="32" customFormat="false" ht="15" hidden="false" customHeight="true" outlineLevel="0" collapsed="false">
      <c r="A32" s="177" t="s">
        <v>1277</v>
      </c>
      <c r="B32" s="178" t="n">
        <v>365</v>
      </c>
      <c r="C32" s="72" t="s">
        <v>1278</v>
      </c>
    </row>
    <row r="33" customFormat="false" ht="15" hidden="false" customHeight="true" outlineLevel="0" collapsed="false">
      <c r="A33" s="177" t="s">
        <v>1279</v>
      </c>
      <c r="B33" s="178" t="n">
        <v>8000</v>
      </c>
      <c r="C33" s="72" t="s">
        <v>1280</v>
      </c>
    </row>
    <row r="34" customFormat="false" ht="15" hidden="false" customHeight="true" outlineLevel="0" collapsed="false">
      <c r="A34" s="177" t="s">
        <v>1281</v>
      </c>
      <c r="B34" s="358" t="n">
        <v>5000</v>
      </c>
      <c r="C34" s="72" t="s">
        <v>1282</v>
      </c>
    </row>
    <row r="35" customFormat="false" ht="15" hidden="false" customHeight="true" outlineLevel="0" collapsed="false">
      <c r="A35" s="177" t="s">
        <v>1283</v>
      </c>
      <c r="B35" s="358" t="n">
        <v>2500</v>
      </c>
      <c r="C35" s="72" t="s">
        <v>1284</v>
      </c>
    </row>
    <row r="36" customFormat="false" ht="15" hidden="false" customHeight="true" outlineLevel="0" collapsed="false">
      <c r="A36" s="177" t="s">
        <v>1285</v>
      </c>
      <c r="B36" s="358" t="n">
        <v>2</v>
      </c>
      <c r="C36" s="72" t="s">
        <v>490</v>
      </c>
    </row>
    <row r="38" customFormat="false" ht="15" hidden="false" customHeight="true" outlineLevel="0" collapsed="false">
      <c r="A38" s="23" t="s">
        <v>1286</v>
      </c>
    </row>
    <row r="39" customFormat="false" ht="15" hidden="false" customHeight="true" outlineLevel="0" collapsed="false">
      <c r="A39" s="177" t="s">
        <v>1287</v>
      </c>
      <c r="B39" s="359" t="n">
        <v>0.6</v>
      </c>
      <c r="C39" s="72" t="s">
        <v>1288</v>
      </c>
    </row>
    <row r="40" customFormat="false" ht="15" hidden="false" customHeight="true" outlineLevel="0" collapsed="false">
      <c r="A40" s="177" t="s">
        <v>1289</v>
      </c>
      <c r="B40" s="178" t="n">
        <v>10</v>
      </c>
      <c r="C40" s="72" t="s">
        <v>1290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1291</v>
      </c>
    </row>
    <row r="3" customFormat="false" ht="15" hidden="false" customHeight="true" outlineLevel="0" collapsed="false">
      <c r="A3" s="49" t="s">
        <v>1</v>
      </c>
      <c r="B3" s="360" t="n">
        <v>1</v>
      </c>
      <c r="C3" s="360" t="n">
        <v>2</v>
      </c>
      <c r="D3" s="360" t="n">
        <v>3</v>
      </c>
      <c r="E3" s="360" t="n">
        <v>4</v>
      </c>
      <c r="F3" s="360" t="n">
        <v>5</v>
      </c>
      <c r="G3" s="360" t="n">
        <v>6</v>
      </c>
      <c r="H3" s="360" t="n">
        <v>7</v>
      </c>
      <c r="I3" s="360" t="n">
        <v>8</v>
      </c>
      <c r="J3" s="360" t="n">
        <v>9</v>
      </c>
      <c r="K3" s="360" t="n">
        <v>10</v>
      </c>
      <c r="L3" s="360" t="n">
        <v>11</v>
      </c>
      <c r="M3" s="360" t="n">
        <v>12</v>
      </c>
      <c r="N3" s="360" t="n">
        <v>13</v>
      </c>
      <c r="O3" s="360" t="n">
        <v>14</v>
      </c>
      <c r="P3" s="360" t="n">
        <v>15</v>
      </c>
      <c r="Q3" s="360" t="n">
        <v>16</v>
      </c>
      <c r="R3" s="360" t="n">
        <v>17</v>
      </c>
      <c r="S3" s="360" t="n">
        <v>18</v>
      </c>
      <c r="T3" s="360" t="n">
        <v>19</v>
      </c>
      <c r="U3" s="360" t="n">
        <v>20</v>
      </c>
      <c r="V3" s="360" t="n">
        <v>21</v>
      </c>
      <c r="W3" s="360" t="n">
        <v>22</v>
      </c>
      <c r="X3" s="360" t="n">
        <v>23</v>
      </c>
      <c r="Y3" s="360" t="n">
        <v>24</v>
      </c>
      <c r="Z3" s="360" t="n">
        <v>25</v>
      </c>
      <c r="AA3" s="360" t="n">
        <v>26</v>
      </c>
      <c r="AB3" s="360" t="n">
        <v>27</v>
      </c>
      <c r="AC3" s="360" t="n">
        <v>28</v>
      </c>
      <c r="AD3" s="360" t="n">
        <v>29</v>
      </c>
      <c r="AE3" s="360" t="n">
        <v>30</v>
      </c>
      <c r="AF3" s="360" t="n">
        <v>31</v>
      </c>
      <c r="AG3" s="360" t="n">
        <v>32</v>
      </c>
      <c r="AH3" s="360" t="n">
        <v>33</v>
      </c>
      <c r="AI3" s="360" t="n">
        <v>34</v>
      </c>
      <c r="AJ3" s="360" t="n">
        <v>35</v>
      </c>
      <c r="AK3" s="360" t="n">
        <v>36</v>
      </c>
      <c r="AL3" s="360" t="n">
        <v>37</v>
      </c>
      <c r="AM3" s="360" t="n">
        <v>38</v>
      </c>
      <c r="AN3" s="360"/>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1229</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1292</v>
      </c>
      <c r="B7" s="355" t="n">
        <f aca="false">IF(AND(B$3&gt;='APA Assumptions'!$B$6,B$3&lt;'APA Assumptions'!$B$6+'APA Assumptions'!$B$7),'APA Assumptions'!$B$8,0)</f>
        <v>25714.2857142857</v>
      </c>
      <c r="C7" s="355" t="n">
        <f aca="false">IF(AND(C$3&gt;='APA Assumptions'!$B$6,C$3&lt;'APA Assumptions'!$B$6+'APA Assumptions'!$B$7),'APA Assumptions'!$B$8,0)</f>
        <v>25714.2857142857</v>
      </c>
      <c r="D7" s="355" t="n">
        <f aca="false">IF(AND(D$3&gt;='APA Assumptions'!$B$6,D$3&lt;'APA Assumptions'!$B$6+'APA Assumptions'!$B$7),'APA Assumptions'!$B$8,0)</f>
        <v>25714.2857142857</v>
      </c>
      <c r="E7" s="355" t="n">
        <f aca="false">IF(AND(E$3&gt;='APA Assumptions'!$B$6,E$3&lt;'APA Assumptions'!$B$6+'APA Assumptions'!$B$7),'APA Assumptions'!$B$8,0)</f>
        <v>25714.2857142857</v>
      </c>
      <c r="F7" s="355" t="n">
        <f aca="false">IF(AND(F$3&gt;='APA Assumptions'!$B$6,F$3&lt;'APA Assumptions'!$B$6+'APA Assumptions'!$B$7),'APA Assumptions'!$B$8,0)</f>
        <v>25714.2857142857</v>
      </c>
      <c r="G7" s="355" t="n">
        <f aca="false">IF(AND(G$3&gt;='APA Assumptions'!$B$6,G$3&lt;'APA Assumptions'!$B$6+'APA Assumptions'!$B$7),'APA Assumptions'!$B$8,0)</f>
        <v>25714.2857142857</v>
      </c>
      <c r="H7" s="355" t="n">
        <f aca="false">IF(AND(H$3&gt;='APA Assumptions'!$B$6,H$3&lt;'APA Assumptions'!$B$6+'APA Assumptions'!$B$7),'APA Assumptions'!$B$8,0)</f>
        <v>25714.2857142857</v>
      </c>
      <c r="I7" s="355" t="n">
        <f aca="false">IF(AND(I$3&gt;='APA Assumptions'!$B$6,I$3&lt;'APA Assumptions'!$B$6+'APA Assumptions'!$B$7),'APA Assumptions'!$B$8,0)</f>
        <v>0</v>
      </c>
      <c r="J7" s="355" t="n">
        <f aca="false">IF(AND(J$3&gt;='APA Assumptions'!$B$6,J$3&lt;'APA Assumptions'!$B$6+'APA Assumptions'!$B$7),'APA Assumptions'!$B$8,0)</f>
        <v>0</v>
      </c>
      <c r="K7" s="355" t="n">
        <f aca="false">IF(AND(K$3&gt;='APA Assumptions'!$B$6,K$3&lt;'APA Assumptions'!$B$6+'APA Assumptions'!$B$7),'APA Assumptions'!$B$8,0)</f>
        <v>0</v>
      </c>
      <c r="L7" s="355" t="n">
        <f aca="false">IF(AND(L$3&gt;='APA Assumptions'!$B$6,L$3&lt;'APA Assumptions'!$B$6+'APA Assumptions'!$B$7),'APA Assumptions'!$B$8,0)</f>
        <v>0</v>
      </c>
      <c r="M7" s="355" t="n">
        <f aca="false">IF(AND(M$3&gt;='APA Assumptions'!$B$6,M$3&lt;'APA Assumptions'!$B$6+'APA Assumptions'!$B$7),'APA Assumptions'!$B$8,0)</f>
        <v>0</v>
      </c>
      <c r="N7" s="355" t="n">
        <f aca="false">IF(AND(N$3&gt;='APA Assumptions'!$B$6,N$3&lt;'APA Assumptions'!$B$6+'APA Assumptions'!$B$7),'APA Assumptions'!$B$8,0)</f>
        <v>0</v>
      </c>
      <c r="O7" s="355" t="n">
        <f aca="false">IF(AND(O$3&gt;='APA Assumptions'!$B$6,O$3&lt;'APA Assumptions'!$B$6+'APA Assumptions'!$B$7),'APA Assumptions'!$B$8,0)</f>
        <v>0</v>
      </c>
      <c r="P7" s="355" t="n">
        <f aca="false">IF(AND(P$3&gt;='APA Assumptions'!$B$6,P$3&lt;'APA Assumptions'!$B$6+'APA Assumptions'!$B$7),'APA Assumptions'!$B$8,0)</f>
        <v>0</v>
      </c>
      <c r="Q7" s="355" t="n">
        <f aca="false">IF(AND(Q$3&gt;='APA Assumptions'!$B$6,Q$3&lt;'APA Assumptions'!$B$6+'APA Assumptions'!$B$7),'APA Assumptions'!$B$8,0)</f>
        <v>0</v>
      </c>
      <c r="R7" s="355" t="n">
        <f aca="false">IF(AND(R$3&gt;='APA Assumptions'!$B$6,R$3&lt;'APA Assumptions'!$B$6+'APA Assumptions'!$B$7),'APA Assumptions'!$B$8,0)</f>
        <v>0</v>
      </c>
      <c r="S7" s="355" t="n">
        <f aca="false">IF(AND(S$3&gt;='APA Assumptions'!$B$6,S$3&lt;'APA Assumptions'!$B$6+'APA Assumptions'!$B$7),'APA Assumptions'!$B$8,0)</f>
        <v>0</v>
      </c>
      <c r="T7" s="355" t="n">
        <f aca="false">IF(AND(T$3&gt;='APA Assumptions'!$B$6,T$3&lt;'APA Assumptions'!$B$6+'APA Assumptions'!$B$7),'APA Assumptions'!$B$8,0)</f>
        <v>0</v>
      </c>
      <c r="U7" s="355" t="n">
        <f aca="false">IF(AND(U$3&gt;='APA Assumptions'!$B$6,U$3&lt;'APA Assumptions'!$B$6+'APA Assumptions'!$B$7),'APA Assumptions'!$B$8,0)</f>
        <v>0</v>
      </c>
      <c r="V7" s="355" t="n">
        <f aca="false">IF(AND(V$3&gt;='APA Assumptions'!$B$6,V$3&lt;'APA Assumptions'!$B$6+'APA Assumptions'!$B$7),'APA Assumptions'!$B$8,0)</f>
        <v>0</v>
      </c>
      <c r="W7" s="355" t="n">
        <f aca="false">IF(AND(W$3&gt;='APA Assumptions'!$B$6,W$3&lt;'APA Assumptions'!$B$6+'APA Assumptions'!$B$7),'APA Assumptions'!$B$8,0)</f>
        <v>0</v>
      </c>
      <c r="X7" s="355" t="n">
        <f aca="false">IF(AND(X$3&gt;='APA Assumptions'!$B$6,X$3&lt;'APA Assumptions'!$B$6+'APA Assumptions'!$B$7),'APA Assumptions'!$B$8,0)</f>
        <v>0</v>
      </c>
      <c r="Y7" s="355" t="n">
        <f aca="false">IF(AND(Y$3&gt;='APA Assumptions'!$B$6,Y$3&lt;'APA Assumptions'!$B$6+'APA Assumptions'!$B$7),'APA Assumptions'!$B$8,0)</f>
        <v>0</v>
      </c>
      <c r="Z7" s="355" t="n">
        <f aca="false">IF(AND(Z$3&gt;='APA Assumptions'!$B$6,Z$3&lt;'APA Assumptions'!$B$6+'APA Assumptions'!$B$7),'APA Assumptions'!$B$8,0)</f>
        <v>0</v>
      </c>
      <c r="AA7" s="355" t="n">
        <f aca="false">IF(AND(AA$3&gt;='APA Assumptions'!$B$6,AA$3&lt;'APA Assumptions'!$B$6+'APA Assumptions'!$B$7),'APA Assumptions'!$B$8,0)</f>
        <v>0</v>
      </c>
      <c r="AB7" s="355" t="n">
        <f aca="false">IF(AND(AB$3&gt;='APA Assumptions'!$B$6,AB$3&lt;'APA Assumptions'!$B$6+'APA Assumptions'!$B$7),'APA Assumptions'!$B$8,0)</f>
        <v>0</v>
      </c>
      <c r="AC7" s="355" t="n">
        <f aca="false">IF(AND(AC$3&gt;='APA Assumptions'!$B$6,AC$3&lt;'APA Assumptions'!$B$6+'APA Assumptions'!$B$7),'APA Assumptions'!$B$8,0)</f>
        <v>0</v>
      </c>
      <c r="AD7" s="355" t="n">
        <f aca="false">IF(AND(AD$3&gt;='APA Assumptions'!$B$6,AD$3&lt;'APA Assumptions'!$B$6+'APA Assumptions'!$B$7),'APA Assumptions'!$B$8,0)</f>
        <v>0</v>
      </c>
      <c r="AE7" s="355" t="n">
        <f aca="false">IF(AND(AE$3&gt;='APA Assumptions'!$B$6,AE$3&lt;'APA Assumptions'!$B$6+'APA Assumptions'!$B$7),'APA Assumptions'!$B$8,0)</f>
        <v>0</v>
      </c>
      <c r="AF7" s="355" t="n">
        <f aca="false">IF(AND(AF$3&gt;='APA Assumptions'!$B$6,AF$3&lt;'APA Assumptions'!$B$6+'APA Assumptions'!$B$7),'APA Assumptions'!$B$8,0)</f>
        <v>0</v>
      </c>
      <c r="AG7" s="355" t="n">
        <f aca="false">IF(AND(AG$3&gt;='APA Assumptions'!$B$6,AG$3&lt;'APA Assumptions'!$B$6+'APA Assumptions'!$B$7),'APA Assumptions'!$B$8,0)</f>
        <v>0</v>
      </c>
      <c r="AH7" s="355" t="n">
        <f aca="false">IF(AND(AH$3&gt;='APA Assumptions'!$B$6,AH$3&lt;'APA Assumptions'!$B$6+'APA Assumptions'!$B$7),'APA Assumptions'!$B$8,0)</f>
        <v>0</v>
      </c>
      <c r="AI7" s="355" t="n">
        <f aca="false">IF(AND(AI$3&gt;='APA Assumptions'!$B$6,AI$3&lt;'APA Assumptions'!$B$6+'APA Assumptions'!$B$7),'APA Assumptions'!$B$8,0)</f>
        <v>0</v>
      </c>
      <c r="AJ7" s="355" t="n">
        <f aca="false">IF(AND(AJ$3&gt;='APA Assumptions'!$B$6,AJ$3&lt;'APA Assumptions'!$B$6+'APA Assumptions'!$B$7),'APA Assumptions'!$B$8,0)</f>
        <v>0</v>
      </c>
      <c r="AK7" s="355" t="n">
        <f aca="false">IF(AND(AK$3&gt;='APA Assumptions'!$B$6,AK$3&lt;'APA Assumptions'!$B$6+'APA Assumptions'!$B$7),'APA Assumptions'!$B$8,0)</f>
        <v>0</v>
      </c>
      <c r="AL7" s="355" t="n">
        <f aca="false">IF(AND(AL$3&gt;='APA Assumptions'!$B$6,AL$3&lt;'APA Assumptions'!$B$6+'APA Assumptions'!$B$7),'APA Assumptions'!$B$8,0)</f>
        <v>0</v>
      </c>
      <c r="AM7" s="355" t="n">
        <f aca="false">IF(AND(AM$3&gt;='APA Assumptions'!$B$6,AM$3&lt;'APA Assumptions'!$B$6+'APA Assumptions'!$B$7),'APA Assumptions'!$B$8,0)</f>
        <v>0</v>
      </c>
      <c r="AN7" s="355" t="n">
        <f aca="false">SUM(B7:AM7)</f>
        <v>180000</v>
      </c>
    </row>
    <row r="8" customFormat="false" ht="15" hidden="false" customHeight="true" outlineLevel="0" collapsed="false">
      <c r="A8" s="125" t="s">
        <v>1293</v>
      </c>
      <c r="B8" s="355" t="n">
        <f aca="false">IF(AND(B$3&gt;='APA Assumptions'!$B$10,B$3&lt;'APA Assumptions'!$B$10+'APA Assumptions'!$B$11),'APA Assumptions'!$B$9,0)</f>
        <v>0</v>
      </c>
      <c r="C8" s="355" t="n">
        <f aca="false">IF(AND(C$3&gt;='APA Assumptions'!$B$10,C$3&lt;'APA Assumptions'!$B$10+'APA Assumptions'!$B$11),'APA Assumptions'!$B$9,0)</f>
        <v>0</v>
      </c>
      <c r="D8" s="355" t="n">
        <f aca="false">IF(AND(D$3&gt;='APA Assumptions'!$B$10,D$3&lt;'APA Assumptions'!$B$10+'APA Assumptions'!$B$11),'APA Assumptions'!$B$9,0)</f>
        <v>0</v>
      </c>
      <c r="E8" s="355" t="n">
        <f aca="false">IF(AND(E$3&gt;='APA Assumptions'!$B$10,E$3&lt;'APA Assumptions'!$B$10+'APA Assumptions'!$B$11),'APA Assumptions'!$B$9,0)</f>
        <v>0</v>
      </c>
      <c r="F8" s="355" t="n">
        <f aca="false">IF(AND(F$3&gt;='APA Assumptions'!$B$10,F$3&lt;'APA Assumptions'!$B$10+'APA Assumptions'!$B$11),'APA Assumptions'!$B$9,0)</f>
        <v>0</v>
      </c>
      <c r="G8" s="355" t="n">
        <f aca="false">IF(AND(G$3&gt;='APA Assumptions'!$B$10,G$3&lt;'APA Assumptions'!$B$10+'APA Assumptions'!$B$11),'APA Assumptions'!$B$9,0)</f>
        <v>0</v>
      </c>
      <c r="H8" s="355" t="n">
        <f aca="false">IF(AND(H$3&gt;='APA Assumptions'!$B$10,H$3&lt;'APA Assumptions'!$B$10+'APA Assumptions'!$B$11),'APA Assumptions'!$B$9,0)</f>
        <v>0</v>
      </c>
      <c r="I8" s="355" t="n">
        <f aca="false">IF(AND(I$3&gt;='APA Assumptions'!$B$10,I$3&lt;'APA Assumptions'!$B$10+'APA Assumptions'!$B$11),'APA Assumptions'!$B$9,0)</f>
        <v>0</v>
      </c>
      <c r="J8" s="355" t="n">
        <f aca="false">IF(AND(J$3&gt;='APA Assumptions'!$B$10,J$3&lt;'APA Assumptions'!$B$10+'APA Assumptions'!$B$11),'APA Assumptions'!$B$9,0)</f>
        <v>2500</v>
      </c>
      <c r="K8" s="355" t="n">
        <f aca="false">IF(AND(K$3&gt;='APA Assumptions'!$B$10,K$3&lt;'APA Assumptions'!$B$10+'APA Assumptions'!$B$11),'APA Assumptions'!$B$9,0)</f>
        <v>2500</v>
      </c>
      <c r="L8" s="355" t="n">
        <f aca="false">IF(AND(L$3&gt;='APA Assumptions'!$B$10,L$3&lt;'APA Assumptions'!$B$10+'APA Assumptions'!$B$11),'APA Assumptions'!$B$9,0)</f>
        <v>2500</v>
      </c>
      <c r="M8" s="355" t="n">
        <f aca="false">IF(AND(M$3&gt;='APA Assumptions'!$B$10,M$3&lt;'APA Assumptions'!$B$10+'APA Assumptions'!$B$11),'APA Assumptions'!$B$9,0)</f>
        <v>2500</v>
      </c>
      <c r="N8" s="355" t="n">
        <f aca="false">IF(AND(N$3&gt;='APA Assumptions'!$B$10,N$3&lt;'APA Assumptions'!$B$10+'APA Assumptions'!$B$11),'APA Assumptions'!$B$9,0)</f>
        <v>2500</v>
      </c>
      <c r="O8" s="355" t="n">
        <f aca="false">IF(AND(O$3&gt;='APA Assumptions'!$B$10,O$3&lt;'APA Assumptions'!$B$10+'APA Assumptions'!$B$11),'APA Assumptions'!$B$9,0)</f>
        <v>2500</v>
      </c>
      <c r="P8" s="355" t="n">
        <f aca="false">IF(AND(P$3&gt;='APA Assumptions'!$B$10,P$3&lt;'APA Assumptions'!$B$10+'APA Assumptions'!$B$11),'APA Assumptions'!$B$9,0)</f>
        <v>2500</v>
      </c>
      <c r="Q8" s="355" t="n">
        <f aca="false">IF(AND(Q$3&gt;='APA Assumptions'!$B$10,Q$3&lt;'APA Assumptions'!$B$10+'APA Assumptions'!$B$11),'APA Assumptions'!$B$9,0)</f>
        <v>2500</v>
      </c>
      <c r="R8" s="355" t="n">
        <f aca="false">IF(AND(R$3&gt;='APA Assumptions'!$B$10,R$3&lt;'APA Assumptions'!$B$10+'APA Assumptions'!$B$11),'APA Assumptions'!$B$9,0)</f>
        <v>2500</v>
      </c>
      <c r="S8" s="355" t="n">
        <f aca="false">IF(AND(S$3&gt;='APA Assumptions'!$B$10,S$3&lt;'APA Assumptions'!$B$10+'APA Assumptions'!$B$11),'APA Assumptions'!$B$9,0)</f>
        <v>2500</v>
      </c>
      <c r="T8" s="355" t="n">
        <f aca="false">IF(AND(T$3&gt;='APA Assumptions'!$B$10,T$3&lt;'APA Assumptions'!$B$10+'APA Assumptions'!$B$11),'APA Assumptions'!$B$9,0)</f>
        <v>2500</v>
      </c>
      <c r="U8" s="355" t="n">
        <f aca="false">IF(AND(U$3&gt;='APA Assumptions'!$B$10,U$3&lt;'APA Assumptions'!$B$10+'APA Assumptions'!$B$11),'APA Assumptions'!$B$9,0)</f>
        <v>2500</v>
      </c>
      <c r="V8" s="355" t="n">
        <f aca="false">IF(AND(V$3&gt;='APA Assumptions'!$B$10,V$3&lt;'APA Assumptions'!$B$10+'APA Assumptions'!$B$11),'APA Assumptions'!$B$9,0)</f>
        <v>2500</v>
      </c>
      <c r="W8" s="355" t="n">
        <f aca="false">IF(AND(W$3&gt;='APA Assumptions'!$B$10,W$3&lt;'APA Assumptions'!$B$10+'APA Assumptions'!$B$11),'APA Assumptions'!$B$9,0)</f>
        <v>2500</v>
      </c>
      <c r="X8" s="355" t="n">
        <f aca="false">IF(AND(X$3&gt;='APA Assumptions'!$B$10,X$3&lt;'APA Assumptions'!$B$10+'APA Assumptions'!$B$11),'APA Assumptions'!$B$9,0)</f>
        <v>2500</v>
      </c>
      <c r="Y8" s="355" t="n">
        <f aca="false">IF(AND(Y$3&gt;='APA Assumptions'!$B$10,Y$3&lt;'APA Assumptions'!$B$10+'APA Assumptions'!$B$11),'APA Assumptions'!$B$9,0)</f>
        <v>2500</v>
      </c>
      <c r="Z8" s="355" t="n">
        <f aca="false">IF(AND(Z$3&gt;='APA Assumptions'!$B$10,Z$3&lt;'APA Assumptions'!$B$10+'APA Assumptions'!$B$11),'APA Assumptions'!$B$9,0)</f>
        <v>2500</v>
      </c>
      <c r="AA8" s="355" t="n">
        <f aca="false">IF(AND(AA$3&gt;='APA Assumptions'!$B$10,AA$3&lt;'APA Assumptions'!$B$10+'APA Assumptions'!$B$11),'APA Assumptions'!$B$9,0)</f>
        <v>2500</v>
      </c>
      <c r="AB8" s="355" t="n">
        <f aca="false">IF(AND(AB$3&gt;='APA Assumptions'!$B$10,AB$3&lt;'APA Assumptions'!$B$10+'APA Assumptions'!$B$11),'APA Assumptions'!$B$9,0)</f>
        <v>2500</v>
      </c>
      <c r="AC8" s="355" t="n">
        <f aca="false">IF(AND(AC$3&gt;='APA Assumptions'!$B$10,AC$3&lt;'APA Assumptions'!$B$10+'APA Assumptions'!$B$11),'APA Assumptions'!$B$9,0)</f>
        <v>2500</v>
      </c>
      <c r="AD8" s="355" t="n">
        <f aca="false">IF(AND(AD$3&gt;='APA Assumptions'!$B$10,AD$3&lt;'APA Assumptions'!$B$10+'APA Assumptions'!$B$11),'APA Assumptions'!$B$9,0)</f>
        <v>2500</v>
      </c>
      <c r="AE8" s="355" t="n">
        <f aca="false">IF(AND(AE$3&gt;='APA Assumptions'!$B$10,AE$3&lt;'APA Assumptions'!$B$10+'APA Assumptions'!$B$11),'APA Assumptions'!$B$9,0)</f>
        <v>2500</v>
      </c>
      <c r="AF8" s="355" t="n">
        <f aca="false">IF(AND(AF$3&gt;='APA Assumptions'!$B$10,AF$3&lt;'APA Assumptions'!$B$10+'APA Assumptions'!$B$11),'APA Assumptions'!$B$9,0)</f>
        <v>2500</v>
      </c>
      <c r="AG8" s="355" t="n">
        <f aca="false">IF(AND(AG$3&gt;='APA Assumptions'!$B$10,AG$3&lt;'APA Assumptions'!$B$10+'APA Assumptions'!$B$11),'APA Assumptions'!$B$9,0)</f>
        <v>2500</v>
      </c>
      <c r="AH8" s="355" t="n">
        <f aca="false">IF(AND(AH$3&gt;='APA Assumptions'!$B$10,AH$3&lt;'APA Assumptions'!$B$10+'APA Assumptions'!$B$11),'APA Assumptions'!$B$9,0)</f>
        <v>2500</v>
      </c>
      <c r="AI8" s="355" t="n">
        <f aca="false">IF(AND(AI$3&gt;='APA Assumptions'!$B$10,AI$3&lt;'APA Assumptions'!$B$10+'APA Assumptions'!$B$11),'APA Assumptions'!$B$9,0)</f>
        <v>2500</v>
      </c>
      <c r="AJ8" s="355" t="n">
        <f aca="false">IF(AND(AJ$3&gt;='APA Assumptions'!$B$10,AJ$3&lt;'APA Assumptions'!$B$10+'APA Assumptions'!$B$11),'APA Assumptions'!$B$9,0)</f>
        <v>2500</v>
      </c>
      <c r="AK8" s="355" t="n">
        <f aca="false">IF(AND(AK$3&gt;='APA Assumptions'!$B$10,AK$3&lt;'APA Assumptions'!$B$10+'APA Assumptions'!$B$11),'APA Assumptions'!$B$9,0)</f>
        <v>2500</v>
      </c>
      <c r="AL8" s="355" t="n">
        <f aca="false">IF(AND(AL$3&gt;='APA Assumptions'!$B$10,AL$3&lt;'APA Assumptions'!$B$10+'APA Assumptions'!$B$11),'APA Assumptions'!$B$9,0)</f>
        <v>2500</v>
      </c>
      <c r="AM8" s="355" t="n">
        <f aca="false">IF(AND(AM$3&gt;='APA Assumptions'!$B$10,AM$3&lt;'APA Assumptions'!$B$10+'APA Assumptions'!$B$11),'APA Assumptions'!$B$9,0)</f>
        <v>2500</v>
      </c>
      <c r="AN8" s="355" t="n">
        <f aca="false">SUM(B8:AM8)</f>
        <v>75000</v>
      </c>
    </row>
    <row r="9" customFormat="false" ht="15" hidden="false" customHeight="true" outlineLevel="0" collapsed="false">
      <c r="A9" s="125" t="s">
        <v>1294</v>
      </c>
      <c r="B9" s="355" t="n">
        <f aca="false">IF(AND(B$3&gt;='APA Assumptions'!$B$13,B$3&lt;'APA Assumptions'!$B$13+'APA Assumptions'!$B$14),'APA Assumptions'!$B$12,0)</f>
        <v>0</v>
      </c>
      <c r="C9" s="355" t="n">
        <f aca="false">IF(AND(C$3&gt;='APA Assumptions'!$B$13,C$3&lt;'APA Assumptions'!$B$13+'APA Assumptions'!$B$14),'APA Assumptions'!$B$12,0)</f>
        <v>2694</v>
      </c>
      <c r="D9" s="355" t="n">
        <f aca="false">IF(AND(D$3&gt;='APA Assumptions'!$B$13,D$3&lt;'APA Assumptions'!$B$13+'APA Assumptions'!$B$14),'APA Assumptions'!$B$12,0)</f>
        <v>2694</v>
      </c>
      <c r="E9" s="355" t="n">
        <f aca="false">IF(AND(E$3&gt;='APA Assumptions'!$B$13,E$3&lt;'APA Assumptions'!$B$13+'APA Assumptions'!$B$14),'APA Assumptions'!$B$12,0)</f>
        <v>2694</v>
      </c>
      <c r="F9" s="355" t="n">
        <f aca="false">IF(AND(F$3&gt;='APA Assumptions'!$B$13,F$3&lt;'APA Assumptions'!$B$13+'APA Assumptions'!$B$14),'APA Assumptions'!$B$12,0)</f>
        <v>2694</v>
      </c>
      <c r="G9" s="355" t="n">
        <f aca="false">IF(AND(G$3&gt;='APA Assumptions'!$B$13,G$3&lt;'APA Assumptions'!$B$13+'APA Assumptions'!$B$14),'APA Assumptions'!$B$12,0)</f>
        <v>2694</v>
      </c>
      <c r="H9" s="355" t="n">
        <f aca="false">IF(AND(H$3&gt;='APA Assumptions'!$B$13,H$3&lt;'APA Assumptions'!$B$13+'APA Assumptions'!$B$14),'APA Assumptions'!$B$12,0)</f>
        <v>2694</v>
      </c>
      <c r="I9" s="355" t="n">
        <f aca="false">IF(AND(I$3&gt;='APA Assumptions'!$B$13,I$3&lt;'APA Assumptions'!$B$13+'APA Assumptions'!$B$14),'APA Assumptions'!$B$12,0)</f>
        <v>2694</v>
      </c>
      <c r="J9" s="355" t="n">
        <f aca="false">IF(AND(J$3&gt;='APA Assumptions'!$B$13,J$3&lt;'APA Assumptions'!$B$13+'APA Assumptions'!$B$14),'APA Assumptions'!$B$12,0)</f>
        <v>2694</v>
      </c>
      <c r="K9" s="355" t="n">
        <f aca="false">IF(AND(K$3&gt;='APA Assumptions'!$B$13,K$3&lt;'APA Assumptions'!$B$13+'APA Assumptions'!$B$14),'APA Assumptions'!$B$12,0)</f>
        <v>2694</v>
      </c>
      <c r="L9" s="355" t="n">
        <f aca="false">IF(AND(L$3&gt;='APA Assumptions'!$B$13,L$3&lt;'APA Assumptions'!$B$13+'APA Assumptions'!$B$14),'APA Assumptions'!$B$12,0)</f>
        <v>2694</v>
      </c>
      <c r="M9" s="355" t="n">
        <f aca="false">IF(AND(M$3&gt;='APA Assumptions'!$B$13,M$3&lt;'APA Assumptions'!$B$13+'APA Assumptions'!$B$14),'APA Assumptions'!$B$12,0)</f>
        <v>2694</v>
      </c>
      <c r="N9" s="355" t="n">
        <f aca="false">IF(AND(N$3&gt;='APA Assumptions'!$B$13,N$3&lt;'APA Assumptions'!$B$13+'APA Assumptions'!$B$14),'APA Assumptions'!$B$12,0)</f>
        <v>2694</v>
      </c>
      <c r="O9" s="355" t="n">
        <f aca="false">IF(AND(O$3&gt;='APA Assumptions'!$B$13,O$3&lt;'APA Assumptions'!$B$13+'APA Assumptions'!$B$14),'APA Assumptions'!$B$12,0)</f>
        <v>2694</v>
      </c>
      <c r="P9" s="355" t="n">
        <f aca="false">IF(AND(P$3&gt;='APA Assumptions'!$B$13,P$3&lt;'APA Assumptions'!$B$13+'APA Assumptions'!$B$14),'APA Assumptions'!$B$12,0)</f>
        <v>2694</v>
      </c>
      <c r="Q9" s="355" t="n">
        <f aca="false">IF(AND(Q$3&gt;='APA Assumptions'!$B$13,Q$3&lt;'APA Assumptions'!$B$13+'APA Assumptions'!$B$14),'APA Assumptions'!$B$12,0)</f>
        <v>2694</v>
      </c>
      <c r="R9" s="355" t="n">
        <f aca="false">IF(AND(R$3&gt;='APA Assumptions'!$B$13,R$3&lt;'APA Assumptions'!$B$13+'APA Assumptions'!$B$14),'APA Assumptions'!$B$12,0)</f>
        <v>0</v>
      </c>
      <c r="S9" s="355" t="n">
        <f aca="false">IF(AND(S$3&gt;='APA Assumptions'!$B$13,S$3&lt;'APA Assumptions'!$B$13+'APA Assumptions'!$B$14),'APA Assumptions'!$B$12,0)</f>
        <v>0</v>
      </c>
      <c r="T9" s="355" t="n">
        <f aca="false">IF(AND(T$3&gt;='APA Assumptions'!$B$13,T$3&lt;'APA Assumptions'!$B$13+'APA Assumptions'!$B$14),'APA Assumptions'!$B$12,0)</f>
        <v>0</v>
      </c>
      <c r="U9" s="355" t="n">
        <f aca="false">IF(AND(U$3&gt;='APA Assumptions'!$B$13,U$3&lt;'APA Assumptions'!$B$13+'APA Assumptions'!$B$14),'APA Assumptions'!$B$12,0)</f>
        <v>0</v>
      </c>
      <c r="V9" s="355" t="n">
        <f aca="false">IF(AND(V$3&gt;='APA Assumptions'!$B$13,V$3&lt;'APA Assumptions'!$B$13+'APA Assumptions'!$B$14),'APA Assumptions'!$B$12,0)</f>
        <v>0</v>
      </c>
      <c r="W9" s="355" t="n">
        <f aca="false">IF(AND(W$3&gt;='APA Assumptions'!$B$13,W$3&lt;'APA Assumptions'!$B$13+'APA Assumptions'!$B$14),'APA Assumptions'!$B$12,0)</f>
        <v>0</v>
      </c>
      <c r="X9" s="355" t="n">
        <f aca="false">IF(AND(X$3&gt;='APA Assumptions'!$B$13,X$3&lt;'APA Assumptions'!$B$13+'APA Assumptions'!$B$14),'APA Assumptions'!$B$12,0)</f>
        <v>0</v>
      </c>
      <c r="Y9" s="355" t="n">
        <f aca="false">IF(AND(Y$3&gt;='APA Assumptions'!$B$13,Y$3&lt;'APA Assumptions'!$B$13+'APA Assumptions'!$B$14),'APA Assumptions'!$B$12,0)</f>
        <v>0</v>
      </c>
      <c r="Z9" s="355" t="n">
        <f aca="false">IF(AND(Z$3&gt;='APA Assumptions'!$B$13,Z$3&lt;'APA Assumptions'!$B$13+'APA Assumptions'!$B$14),'APA Assumptions'!$B$12,0)</f>
        <v>0</v>
      </c>
      <c r="AA9" s="355" t="n">
        <f aca="false">IF(AND(AA$3&gt;='APA Assumptions'!$B$13,AA$3&lt;'APA Assumptions'!$B$13+'APA Assumptions'!$B$14),'APA Assumptions'!$B$12,0)</f>
        <v>0</v>
      </c>
      <c r="AB9" s="355" t="n">
        <f aca="false">IF(AND(AB$3&gt;='APA Assumptions'!$B$13,AB$3&lt;'APA Assumptions'!$B$13+'APA Assumptions'!$B$14),'APA Assumptions'!$B$12,0)</f>
        <v>0</v>
      </c>
      <c r="AC9" s="355" t="n">
        <f aca="false">IF(AND(AC$3&gt;='APA Assumptions'!$B$13,AC$3&lt;'APA Assumptions'!$B$13+'APA Assumptions'!$B$14),'APA Assumptions'!$B$12,0)</f>
        <v>0</v>
      </c>
      <c r="AD9" s="355" t="n">
        <f aca="false">IF(AND(AD$3&gt;='APA Assumptions'!$B$13,AD$3&lt;'APA Assumptions'!$B$13+'APA Assumptions'!$B$14),'APA Assumptions'!$B$12,0)</f>
        <v>0</v>
      </c>
      <c r="AE9" s="355" t="n">
        <f aca="false">IF(AND(AE$3&gt;='APA Assumptions'!$B$13,AE$3&lt;'APA Assumptions'!$B$13+'APA Assumptions'!$B$14),'APA Assumptions'!$B$12,0)</f>
        <v>0</v>
      </c>
      <c r="AF9" s="355" t="n">
        <f aca="false">IF(AND(AF$3&gt;='APA Assumptions'!$B$13,AF$3&lt;'APA Assumptions'!$B$13+'APA Assumptions'!$B$14),'APA Assumptions'!$B$12,0)</f>
        <v>0</v>
      </c>
      <c r="AG9" s="355" t="n">
        <f aca="false">IF(AND(AG$3&gt;='APA Assumptions'!$B$13,AG$3&lt;'APA Assumptions'!$B$13+'APA Assumptions'!$B$14),'APA Assumptions'!$B$12,0)</f>
        <v>0</v>
      </c>
      <c r="AH9" s="355" t="n">
        <f aca="false">IF(AND(AH$3&gt;='APA Assumptions'!$B$13,AH$3&lt;'APA Assumptions'!$B$13+'APA Assumptions'!$B$14),'APA Assumptions'!$B$12,0)</f>
        <v>0</v>
      </c>
      <c r="AI9" s="355" t="n">
        <f aca="false">IF(AND(AI$3&gt;='APA Assumptions'!$B$13,AI$3&lt;'APA Assumptions'!$B$13+'APA Assumptions'!$B$14),'APA Assumptions'!$B$12,0)</f>
        <v>0</v>
      </c>
      <c r="AJ9" s="355" t="n">
        <f aca="false">IF(AND(AJ$3&gt;='APA Assumptions'!$B$13,AJ$3&lt;'APA Assumptions'!$B$13+'APA Assumptions'!$B$14),'APA Assumptions'!$B$12,0)</f>
        <v>0</v>
      </c>
      <c r="AK9" s="355" t="n">
        <f aca="false">IF(AND(AK$3&gt;='APA Assumptions'!$B$13,AK$3&lt;'APA Assumptions'!$B$13+'APA Assumptions'!$B$14),'APA Assumptions'!$B$12,0)</f>
        <v>0</v>
      </c>
      <c r="AL9" s="355" t="n">
        <f aca="false">IF(AND(AL$3&gt;='APA Assumptions'!$B$13,AL$3&lt;'APA Assumptions'!$B$13+'APA Assumptions'!$B$14),'APA Assumptions'!$B$12,0)</f>
        <v>0</v>
      </c>
      <c r="AM9" s="355" t="n">
        <f aca="false">IF(AND(AM$3&gt;='APA Assumptions'!$B$13,AM$3&lt;'APA Assumptions'!$B$13+'APA Assumptions'!$B$14),'APA Assumptions'!$B$12,0)</f>
        <v>0</v>
      </c>
      <c r="AN9" s="355" t="n">
        <f aca="false">SUM(B9:AM9)</f>
        <v>40410</v>
      </c>
    </row>
    <row r="10" customFormat="false" ht="15" hidden="false" customHeight="true" outlineLevel="0" collapsed="false">
      <c r="A10" s="125" t="s">
        <v>1295</v>
      </c>
      <c r="B10" s="355" t="n">
        <f aca="false">IF(AND(B$3&gt;='APA Assumptions'!$B$16,B$3&lt;'APA Assumptions'!$B$16+'APA Assumptions'!$B$17),'APA Assumptions'!$B$15,0)</f>
        <v>0</v>
      </c>
      <c r="C10" s="355" t="n">
        <f aca="false">IF(AND(C$3&gt;='APA Assumptions'!$B$16,C$3&lt;'APA Assumptions'!$B$16+'APA Assumptions'!$B$17),'APA Assumptions'!$B$15,0)</f>
        <v>2500</v>
      </c>
      <c r="D10" s="355" t="n">
        <f aca="false">IF(AND(D$3&gt;='APA Assumptions'!$B$16,D$3&lt;'APA Assumptions'!$B$16+'APA Assumptions'!$B$17),'APA Assumptions'!$B$15,0)</f>
        <v>2500</v>
      </c>
      <c r="E10" s="355" t="n">
        <f aca="false">IF(AND(E$3&gt;='APA Assumptions'!$B$16,E$3&lt;'APA Assumptions'!$B$16+'APA Assumptions'!$B$17),'APA Assumptions'!$B$15,0)</f>
        <v>2500</v>
      </c>
      <c r="F10" s="355" t="n">
        <f aca="false">IF(AND(F$3&gt;='APA Assumptions'!$B$16,F$3&lt;'APA Assumptions'!$B$16+'APA Assumptions'!$B$17),'APA Assumptions'!$B$15,0)</f>
        <v>2500</v>
      </c>
      <c r="G10" s="355" t="n">
        <f aca="false">IF(AND(G$3&gt;='APA Assumptions'!$B$16,G$3&lt;'APA Assumptions'!$B$16+'APA Assumptions'!$B$17),'APA Assumptions'!$B$15,0)</f>
        <v>2500</v>
      </c>
      <c r="H10" s="355" t="n">
        <f aca="false">IF(AND(H$3&gt;='APA Assumptions'!$B$16,H$3&lt;'APA Assumptions'!$B$16+'APA Assumptions'!$B$17),'APA Assumptions'!$B$15,0)</f>
        <v>2500</v>
      </c>
      <c r="I10" s="355" t="n">
        <f aca="false">IF(AND(I$3&gt;='APA Assumptions'!$B$16,I$3&lt;'APA Assumptions'!$B$16+'APA Assumptions'!$B$17),'APA Assumptions'!$B$15,0)</f>
        <v>2500</v>
      </c>
      <c r="J10" s="355" t="n">
        <f aca="false">IF(AND(J$3&gt;='APA Assumptions'!$B$16,J$3&lt;'APA Assumptions'!$B$16+'APA Assumptions'!$B$17),'APA Assumptions'!$B$15,0)</f>
        <v>2500</v>
      </c>
      <c r="K10" s="355" t="n">
        <f aca="false">IF(AND(K$3&gt;='APA Assumptions'!$B$16,K$3&lt;'APA Assumptions'!$B$16+'APA Assumptions'!$B$17),'APA Assumptions'!$B$15,0)</f>
        <v>2500</v>
      </c>
      <c r="L10" s="355" t="n">
        <f aca="false">IF(AND(L$3&gt;='APA Assumptions'!$B$16,L$3&lt;'APA Assumptions'!$B$16+'APA Assumptions'!$B$17),'APA Assumptions'!$B$15,0)</f>
        <v>2500</v>
      </c>
      <c r="M10" s="355" t="n">
        <f aca="false">IF(AND(M$3&gt;='APA Assumptions'!$B$16,M$3&lt;'APA Assumptions'!$B$16+'APA Assumptions'!$B$17),'APA Assumptions'!$B$15,0)</f>
        <v>2500</v>
      </c>
      <c r="N10" s="355" t="n">
        <f aca="false">IF(AND(N$3&gt;='APA Assumptions'!$B$16,N$3&lt;'APA Assumptions'!$B$16+'APA Assumptions'!$B$17),'APA Assumptions'!$B$15,0)</f>
        <v>2500</v>
      </c>
      <c r="O10" s="355" t="n">
        <f aca="false">IF(AND(O$3&gt;='APA Assumptions'!$B$16,O$3&lt;'APA Assumptions'!$B$16+'APA Assumptions'!$B$17),'APA Assumptions'!$B$15,0)</f>
        <v>2500</v>
      </c>
      <c r="P10" s="355" t="n">
        <f aca="false">IF(AND(P$3&gt;='APA Assumptions'!$B$16,P$3&lt;'APA Assumptions'!$B$16+'APA Assumptions'!$B$17),'APA Assumptions'!$B$15,0)</f>
        <v>2500</v>
      </c>
      <c r="Q10" s="355" t="n">
        <f aca="false">IF(AND(Q$3&gt;='APA Assumptions'!$B$16,Q$3&lt;'APA Assumptions'!$B$16+'APA Assumptions'!$B$17),'APA Assumptions'!$B$15,0)</f>
        <v>2500</v>
      </c>
      <c r="R10" s="355" t="n">
        <f aca="false">IF(AND(R$3&gt;='APA Assumptions'!$B$16,R$3&lt;'APA Assumptions'!$B$16+'APA Assumptions'!$B$17),'APA Assumptions'!$B$15,0)</f>
        <v>2500</v>
      </c>
      <c r="S10" s="355" t="n">
        <f aca="false">IF(AND(S$3&gt;='APA Assumptions'!$B$16,S$3&lt;'APA Assumptions'!$B$16+'APA Assumptions'!$B$17),'APA Assumptions'!$B$15,0)</f>
        <v>2500</v>
      </c>
      <c r="T10" s="355" t="n">
        <f aca="false">IF(AND(T$3&gt;='APA Assumptions'!$B$16,T$3&lt;'APA Assumptions'!$B$16+'APA Assumptions'!$B$17),'APA Assumptions'!$B$15,0)</f>
        <v>2500</v>
      </c>
      <c r="U10" s="355" t="n">
        <f aca="false">IF(AND(U$3&gt;='APA Assumptions'!$B$16,U$3&lt;'APA Assumptions'!$B$16+'APA Assumptions'!$B$17),'APA Assumptions'!$B$15,0)</f>
        <v>2500</v>
      </c>
      <c r="V10" s="355" t="n">
        <f aca="false">IF(AND(V$3&gt;='APA Assumptions'!$B$16,V$3&lt;'APA Assumptions'!$B$16+'APA Assumptions'!$B$17),'APA Assumptions'!$B$15,0)</f>
        <v>2500</v>
      </c>
      <c r="W10" s="355" t="n">
        <f aca="false">IF(AND(W$3&gt;='APA Assumptions'!$B$16,W$3&lt;'APA Assumptions'!$B$16+'APA Assumptions'!$B$17),'APA Assumptions'!$B$15,0)</f>
        <v>2500</v>
      </c>
      <c r="X10" s="355" t="n">
        <f aca="false">IF(AND(X$3&gt;='APA Assumptions'!$B$16,X$3&lt;'APA Assumptions'!$B$16+'APA Assumptions'!$B$17),'APA Assumptions'!$B$15,0)</f>
        <v>2500</v>
      </c>
      <c r="Y10" s="355" t="n">
        <f aca="false">IF(AND(Y$3&gt;='APA Assumptions'!$B$16,Y$3&lt;'APA Assumptions'!$B$16+'APA Assumptions'!$B$17),'APA Assumptions'!$B$15,0)</f>
        <v>2500</v>
      </c>
      <c r="Z10" s="355" t="n">
        <f aca="false">IF(AND(Z$3&gt;='APA Assumptions'!$B$16,Z$3&lt;'APA Assumptions'!$B$16+'APA Assumptions'!$B$17),'APA Assumptions'!$B$15,0)</f>
        <v>2500</v>
      </c>
      <c r="AA10" s="355" t="n">
        <f aca="false">IF(AND(AA$3&gt;='APA Assumptions'!$B$16,AA$3&lt;'APA Assumptions'!$B$16+'APA Assumptions'!$B$17),'APA Assumptions'!$B$15,0)</f>
        <v>2500</v>
      </c>
      <c r="AB10" s="355" t="n">
        <f aca="false">IF(AND(AB$3&gt;='APA Assumptions'!$B$16,AB$3&lt;'APA Assumptions'!$B$16+'APA Assumptions'!$B$17),'APA Assumptions'!$B$15,0)</f>
        <v>2500</v>
      </c>
      <c r="AC10" s="355" t="n">
        <f aca="false">IF(AND(AC$3&gt;='APA Assumptions'!$B$16,AC$3&lt;'APA Assumptions'!$B$16+'APA Assumptions'!$B$17),'APA Assumptions'!$B$15,0)</f>
        <v>2500</v>
      </c>
      <c r="AD10" s="355" t="n">
        <f aca="false">IF(AND(AD$3&gt;='APA Assumptions'!$B$16,AD$3&lt;'APA Assumptions'!$B$16+'APA Assumptions'!$B$17),'APA Assumptions'!$B$15,0)</f>
        <v>2500</v>
      </c>
      <c r="AE10" s="355" t="n">
        <f aca="false">IF(AND(AE$3&gt;='APA Assumptions'!$B$16,AE$3&lt;'APA Assumptions'!$B$16+'APA Assumptions'!$B$17),'APA Assumptions'!$B$15,0)</f>
        <v>2500</v>
      </c>
      <c r="AF10" s="355" t="n">
        <f aca="false">IF(AND(AF$3&gt;='APA Assumptions'!$B$16,AF$3&lt;'APA Assumptions'!$B$16+'APA Assumptions'!$B$17),'APA Assumptions'!$B$15,0)</f>
        <v>2500</v>
      </c>
      <c r="AG10" s="355" t="n">
        <f aca="false">IF(AND(AG$3&gt;='APA Assumptions'!$B$16,AG$3&lt;'APA Assumptions'!$B$16+'APA Assumptions'!$B$17),'APA Assumptions'!$B$15,0)</f>
        <v>0</v>
      </c>
      <c r="AH10" s="355" t="n">
        <f aca="false">IF(AND(AH$3&gt;='APA Assumptions'!$B$16,AH$3&lt;'APA Assumptions'!$B$16+'APA Assumptions'!$B$17),'APA Assumptions'!$B$15,0)</f>
        <v>0</v>
      </c>
      <c r="AI10" s="355" t="n">
        <f aca="false">IF(AND(AI$3&gt;='APA Assumptions'!$B$16,AI$3&lt;'APA Assumptions'!$B$16+'APA Assumptions'!$B$17),'APA Assumptions'!$B$15,0)</f>
        <v>0</v>
      </c>
      <c r="AJ10" s="355" t="n">
        <f aca="false">IF(AND(AJ$3&gt;='APA Assumptions'!$B$16,AJ$3&lt;'APA Assumptions'!$B$16+'APA Assumptions'!$B$17),'APA Assumptions'!$B$15,0)</f>
        <v>0</v>
      </c>
      <c r="AK10" s="355" t="n">
        <f aca="false">IF(AND(AK$3&gt;='APA Assumptions'!$B$16,AK$3&lt;'APA Assumptions'!$B$16+'APA Assumptions'!$B$17),'APA Assumptions'!$B$15,0)</f>
        <v>0</v>
      </c>
      <c r="AL10" s="355" t="n">
        <f aca="false">IF(AND(AL$3&gt;='APA Assumptions'!$B$16,AL$3&lt;'APA Assumptions'!$B$16+'APA Assumptions'!$B$17),'APA Assumptions'!$B$15,0)</f>
        <v>0</v>
      </c>
      <c r="AM10" s="355" t="n">
        <f aca="false">IF(AND(AM$3&gt;='APA Assumptions'!$B$16,AM$3&lt;'APA Assumptions'!$B$16+'APA Assumptions'!$B$17),'APA Assumptions'!$B$15,0)</f>
        <v>0</v>
      </c>
      <c r="AN10" s="355" t="n">
        <f aca="false">SUM(B10:AM10)</f>
        <v>75000</v>
      </c>
    </row>
    <row r="11" customFormat="false" ht="15" hidden="false" customHeight="true" outlineLevel="0" collapsed="false">
      <c r="A11" s="125" t="s">
        <v>1296</v>
      </c>
      <c r="B11" s="355" t="n">
        <f aca="false">IF(B$3&gt;='APA Assumptions'!$B$19,MAX(0,MIN('APA Assumptions'!$B$18,'APA Assumptions'!$B$20-'APA Assumptions'!$B$18*(B$3-'APA Assumptions'!$B$19))),0)</f>
        <v>0</v>
      </c>
      <c r="C11" s="355" t="n">
        <f aca="false">IF(C$3&gt;='APA Assumptions'!$B$19,MAX(0,MIN('APA Assumptions'!$B$18,'APA Assumptions'!$B$20-'APA Assumptions'!$B$18*(C$3-'APA Assumptions'!$B$19))),0)</f>
        <v>7500</v>
      </c>
      <c r="D11" s="355" t="n">
        <f aca="false">IF(D$3&gt;='APA Assumptions'!$B$19,MAX(0,MIN('APA Assumptions'!$B$18,'APA Assumptions'!$B$20-'APA Assumptions'!$B$18*(D$3-'APA Assumptions'!$B$19))),0)</f>
        <v>7500</v>
      </c>
      <c r="E11" s="355" t="n">
        <f aca="false">IF(E$3&gt;='APA Assumptions'!$B$19,MAX(0,MIN('APA Assumptions'!$B$18,'APA Assumptions'!$B$20-'APA Assumptions'!$B$18*(E$3-'APA Assumptions'!$B$19))),0)</f>
        <v>7500</v>
      </c>
      <c r="F11" s="355" t="n">
        <f aca="false">IF(F$3&gt;='APA Assumptions'!$B$19,MAX(0,MIN('APA Assumptions'!$B$18,'APA Assumptions'!$B$20-'APA Assumptions'!$B$18*(F$3-'APA Assumptions'!$B$19))),0)</f>
        <v>7500</v>
      </c>
      <c r="G11" s="355" t="n">
        <f aca="false">IF(G$3&gt;='APA Assumptions'!$B$19,MAX(0,MIN('APA Assumptions'!$B$18,'APA Assumptions'!$B$20-'APA Assumptions'!$B$18*(G$3-'APA Assumptions'!$B$19))),0)</f>
        <v>2000</v>
      </c>
      <c r="H11" s="355" t="n">
        <f aca="false">IF(H$3&gt;='APA Assumptions'!$B$19,MAX(0,MIN('APA Assumptions'!$B$18,'APA Assumptions'!$B$20-'APA Assumptions'!$B$18*(H$3-'APA Assumptions'!$B$19))),0)</f>
        <v>0</v>
      </c>
      <c r="I11" s="355" t="n">
        <f aca="false">IF(I$3&gt;='APA Assumptions'!$B$19,MAX(0,MIN('APA Assumptions'!$B$18,'APA Assumptions'!$B$20-'APA Assumptions'!$B$18*(I$3-'APA Assumptions'!$B$19))),0)</f>
        <v>0</v>
      </c>
      <c r="J11" s="355" t="n">
        <f aca="false">IF(J$3&gt;='APA Assumptions'!$B$19,MAX(0,MIN('APA Assumptions'!$B$18,'APA Assumptions'!$B$20-'APA Assumptions'!$B$18*(J$3-'APA Assumptions'!$B$19))),0)</f>
        <v>0</v>
      </c>
      <c r="K11" s="355" t="n">
        <f aca="false">IF(K$3&gt;='APA Assumptions'!$B$19,MAX(0,MIN('APA Assumptions'!$B$18,'APA Assumptions'!$B$20-'APA Assumptions'!$B$18*(K$3-'APA Assumptions'!$B$19))),0)</f>
        <v>0</v>
      </c>
      <c r="L11" s="355" t="n">
        <f aca="false">IF(L$3&gt;='APA Assumptions'!$B$19,MAX(0,MIN('APA Assumptions'!$B$18,'APA Assumptions'!$B$20-'APA Assumptions'!$B$18*(L$3-'APA Assumptions'!$B$19))),0)</f>
        <v>0</v>
      </c>
      <c r="M11" s="355" t="n">
        <f aca="false">IF(M$3&gt;='APA Assumptions'!$B$19,MAX(0,MIN('APA Assumptions'!$B$18,'APA Assumptions'!$B$20-'APA Assumptions'!$B$18*(M$3-'APA Assumptions'!$B$19))),0)</f>
        <v>0</v>
      </c>
      <c r="N11" s="355" t="n">
        <f aca="false">IF(N$3&gt;='APA Assumptions'!$B$19,MAX(0,MIN('APA Assumptions'!$B$18,'APA Assumptions'!$B$20-'APA Assumptions'!$B$18*(N$3-'APA Assumptions'!$B$19))),0)</f>
        <v>0</v>
      </c>
      <c r="O11" s="355" t="n">
        <f aca="false">IF(O$3&gt;='APA Assumptions'!$B$19,MAX(0,MIN('APA Assumptions'!$B$18,'APA Assumptions'!$B$20-'APA Assumptions'!$B$18*(O$3-'APA Assumptions'!$B$19))),0)</f>
        <v>0</v>
      </c>
      <c r="P11" s="355" t="n">
        <f aca="false">IF(P$3&gt;='APA Assumptions'!$B$19,MAX(0,MIN('APA Assumptions'!$B$18,'APA Assumptions'!$B$20-'APA Assumptions'!$B$18*(P$3-'APA Assumptions'!$B$19))),0)</f>
        <v>0</v>
      </c>
      <c r="Q11" s="355" t="n">
        <f aca="false">IF(Q$3&gt;='APA Assumptions'!$B$19,MAX(0,MIN('APA Assumptions'!$B$18,'APA Assumptions'!$B$20-'APA Assumptions'!$B$18*(Q$3-'APA Assumptions'!$B$19))),0)</f>
        <v>0</v>
      </c>
      <c r="R11" s="355" t="n">
        <f aca="false">IF(R$3&gt;='APA Assumptions'!$B$19,MAX(0,MIN('APA Assumptions'!$B$18,'APA Assumptions'!$B$20-'APA Assumptions'!$B$18*(R$3-'APA Assumptions'!$B$19))),0)</f>
        <v>0</v>
      </c>
      <c r="S11" s="355" t="n">
        <f aca="false">IF(S$3&gt;='APA Assumptions'!$B$19,MAX(0,MIN('APA Assumptions'!$B$18,'APA Assumptions'!$B$20-'APA Assumptions'!$B$18*(S$3-'APA Assumptions'!$B$19))),0)</f>
        <v>0</v>
      </c>
      <c r="T11" s="355" t="n">
        <f aca="false">IF(T$3&gt;='APA Assumptions'!$B$19,MAX(0,MIN('APA Assumptions'!$B$18,'APA Assumptions'!$B$20-'APA Assumptions'!$B$18*(T$3-'APA Assumptions'!$B$19))),0)</f>
        <v>0</v>
      </c>
      <c r="U11" s="355" t="n">
        <f aca="false">IF(U$3&gt;='APA Assumptions'!$B$19,MAX(0,MIN('APA Assumptions'!$B$18,'APA Assumptions'!$B$20-'APA Assumptions'!$B$18*(U$3-'APA Assumptions'!$B$19))),0)</f>
        <v>0</v>
      </c>
      <c r="V11" s="355" t="n">
        <f aca="false">IF(V$3&gt;='APA Assumptions'!$B$19,MAX(0,MIN('APA Assumptions'!$B$18,'APA Assumptions'!$B$20-'APA Assumptions'!$B$18*(V$3-'APA Assumptions'!$B$19))),0)</f>
        <v>0</v>
      </c>
      <c r="W11" s="355" t="n">
        <f aca="false">IF(W$3&gt;='APA Assumptions'!$B$19,MAX(0,MIN('APA Assumptions'!$B$18,'APA Assumptions'!$B$20-'APA Assumptions'!$B$18*(W$3-'APA Assumptions'!$B$19))),0)</f>
        <v>0</v>
      </c>
      <c r="X11" s="355" t="n">
        <f aca="false">IF(X$3&gt;='APA Assumptions'!$B$19,MAX(0,MIN('APA Assumptions'!$B$18,'APA Assumptions'!$B$20-'APA Assumptions'!$B$18*(X$3-'APA Assumptions'!$B$19))),0)</f>
        <v>0</v>
      </c>
      <c r="Y11" s="355" t="n">
        <f aca="false">IF(Y$3&gt;='APA Assumptions'!$B$19,MAX(0,MIN('APA Assumptions'!$B$18,'APA Assumptions'!$B$20-'APA Assumptions'!$B$18*(Y$3-'APA Assumptions'!$B$19))),0)</f>
        <v>0</v>
      </c>
      <c r="Z11" s="355" t="n">
        <f aca="false">IF(Z$3&gt;='APA Assumptions'!$B$19,MAX(0,MIN('APA Assumptions'!$B$18,'APA Assumptions'!$B$20-'APA Assumptions'!$B$18*(Z$3-'APA Assumptions'!$B$19))),0)</f>
        <v>0</v>
      </c>
      <c r="AA11" s="355" t="n">
        <f aca="false">IF(AA$3&gt;='APA Assumptions'!$B$19,MAX(0,MIN('APA Assumptions'!$B$18,'APA Assumptions'!$B$20-'APA Assumptions'!$B$18*(AA$3-'APA Assumptions'!$B$19))),0)</f>
        <v>0</v>
      </c>
      <c r="AB11" s="355" t="n">
        <f aca="false">IF(AB$3&gt;='APA Assumptions'!$B$19,MAX(0,MIN('APA Assumptions'!$B$18,'APA Assumptions'!$B$20-'APA Assumptions'!$B$18*(AB$3-'APA Assumptions'!$B$19))),0)</f>
        <v>0</v>
      </c>
      <c r="AC11" s="355" t="n">
        <f aca="false">IF(AC$3&gt;='APA Assumptions'!$B$19,MAX(0,MIN('APA Assumptions'!$B$18,'APA Assumptions'!$B$20-'APA Assumptions'!$B$18*(AC$3-'APA Assumptions'!$B$19))),0)</f>
        <v>0</v>
      </c>
      <c r="AD11" s="355" t="n">
        <f aca="false">IF(AD$3&gt;='APA Assumptions'!$B$19,MAX(0,MIN('APA Assumptions'!$B$18,'APA Assumptions'!$B$20-'APA Assumptions'!$B$18*(AD$3-'APA Assumptions'!$B$19))),0)</f>
        <v>0</v>
      </c>
      <c r="AE11" s="355" t="n">
        <f aca="false">IF(AE$3&gt;='APA Assumptions'!$B$19,MAX(0,MIN('APA Assumptions'!$B$18,'APA Assumptions'!$B$20-'APA Assumptions'!$B$18*(AE$3-'APA Assumptions'!$B$19))),0)</f>
        <v>0</v>
      </c>
      <c r="AF11" s="355" t="n">
        <f aca="false">IF(AF$3&gt;='APA Assumptions'!$B$19,MAX(0,MIN('APA Assumptions'!$B$18,'APA Assumptions'!$B$20-'APA Assumptions'!$B$18*(AF$3-'APA Assumptions'!$B$19))),0)</f>
        <v>0</v>
      </c>
      <c r="AG11" s="355" t="n">
        <f aca="false">IF(AG$3&gt;='APA Assumptions'!$B$19,MAX(0,MIN('APA Assumptions'!$B$18,'APA Assumptions'!$B$20-'APA Assumptions'!$B$18*(AG$3-'APA Assumptions'!$B$19))),0)</f>
        <v>0</v>
      </c>
      <c r="AH11" s="355" t="n">
        <f aca="false">IF(AH$3&gt;='APA Assumptions'!$B$19,MAX(0,MIN('APA Assumptions'!$B$18,'APA Assumptions'!$B$20-'APA Assumptions'!$B$18*(AH$3-'APA Assumptions'!$B$19))),0)</f>
        <v>0</v>
      </c>
      <c r="AI11" s="355" t="n">
        <f aca="false">IF(AI$3&gt;='APA Assumptions'!$B$19,MAX(0,MIN('APA Assumptions'!$B$18,'APA Assumptions'!$B$20-'APA Assumptions'!$B$18*(AI$3-'APA Assumptions'!$B$19))),0)</f>
        <v>0</v>
      </c>
      <c r="AJ11" s="355" t="n">
        <f aca="false">IF(AJ$3&gt;='APA Assumptions'!$B$19,MAX(0,MIN('APA Assumptions'!$B$18,'APA Assumptions'!$B$20-'APA Assumptions'!$B$18*(AJ$3-'APA Assumptions'!$B$19))),0)</f>
        <v>0</v>
      </c>
      <c r="AK11" s="355" t="n">
        <f aca="false">IF(AK$3&gt;='APA Assumptions'!$B$19,MAX(0,MIN('APA Assumptions'!$B$18,'APA Assumptions'!$B$20-'APA Assumptions'!$B$18*(AK$3-'APA Assumptions'!$B$19))),0)</f>
        <v>0</v>
      </c>
      <c r="AL11" s="355" t="n">
        <f aca="false">IF(AL$3&gt;='APA Assumptions'!$B$19,MAX(0,MIN('APA Assumptions'!$B$18,'APA Assumptions'!$B$20-'APA Assumptions'!$B$18*(AL$3-'APA Assumptions'!$B$19))),0)</f>
        <v>0</v>
      </c>
      <c r="AM11" s="355" t="n">
        <f aca="false">IF(AM$3&gt;='APA Assumptions'!$B$19,MAX(0,MIN('APA Assumptions'!$B$18,'APA Assumptions'!$B$20-'APA Assumptions'!$B$18*(AM$3-'APA Assumptions'!$B$19))),0)</f>
        <v>0</v>
      </c>
      <c r="AN11" s="355" t="n">
        <f aca="false">SUM(B11:AM11)</f>
        <v>32000</v>
      </c>
    </row>
    <row r="12" customFormat="false" ht="15" hidden="false" customHeight="true" outlineLevel="0" collapsed="false">
      <c r="A12" s="125" t="s">
        <v>1297</v>
      </c>
      <c r="B12" s="355" t="n">
        <f aca="false">IF(AND(B$3&gt;='APA Assumptions'!$B$22,B$3&lt;'APA Assumptions'!$B$22+'APA Assumptions'!$B$23),'APA Assumptions'!$B$24,0)</f>
        <v>0</v>
      </c>
      <c r="C12" s="355" t="n">
        <f aca="false">IF(AND(C$3&gt;='APA Assumptions'!$B$22,C$3&lt;'APA Assumptions'!$B$22+'APA Assumptions'!$B$23),'APA Assumptions'!$B$24,0)</f>
        <v>0</v>
      </c>
      <c r="D12" s="355" t="n">
        <f aca="false">IF(AND(D$3&gt;='APA Assumptions'!$B$22,D$3&lt;'APA Assumptions'!$B$22+'APA Assumptions'!$B$23),'APA Assumptions'!$B$24,0)</f>
        <v>0</v>
      </c>
      <c r="E12" s="355" t="n">
        <f aca="false">IF(AND(E$3&gt;='APA Assumptions'!$B$22,E$3&lt;'APA Assumptions'!$B$22+'APA Assumptions'!$B$23),'APA Assumptions'!$B$24,0)</f>
        <v>0</v>
      </c>
      <c r="F12" s="355" t="n">
        <f aca="false">IF(AND(F$3&gt;='APA Assumptions'!$B$22,F$3&lt;'APA Assumptions'!$B$22+'APA Assumptions'!$B$23),'APA Assumptions'!$B$24,0)</f>
        <v>0</v>
      </c>
      <c r="G12" s="355" t="n">
        <f aca="false">IF(AND(G$3&gt;='APA Assumptions'!$B$22,G$3&lt;'APA Assumptions'!$B$22+'APA Assumptions'!$B$23),'APA Assumptions'!$B$24,0)</f>
        <v>0</v>
      </c>
      <c r="H12" s="355" t="n">
        <f aca="false">IF(AND(H$3&gt;='APA Assumptions'!$B$22,H$3&lt;'APA Assumptions'!$B$22+'APA Assumptions'!$B$23),'APA Assumptions'!$B$24,0)</f>
        <v>50000</v>
      </c>
      <c r="I12" s="355" t="n">
        <f aca="false">IF(AND(I$3&gt;='APA Assumptions'!$B$22,I$3&lt;'APA Assumptions'!$B$22+'APA Assumptions'!$B$23),'APA Assumptions'!$B$24,0)</f>
        <v>50000</v>
      </c>
      <c r="J12" s="355" t="n">
        <f aca="false">IF(AND(J$3&gt;='APA Assumptions'!$B$22,J$3&lt;'APA Assumptions'!$B$22+'APA Assumptions'!$B$23),'APA Assumptions'!$B$24,0)</f>
        <v>50000</v>
      </c>
      <c r="K12" s="355" t="n">
        <f aca="false">IF(AND(K$3&gt;='APA Assumptions'!$B$22,K$3&lt;'APA Assumptions'!$B$22+'APA Assumptions'!$B$23),'APA Assumptions'!$B$24,0)</f>
        <v>50000</v>
      </c>
      <c r="L12" s="355" t="n">
        <f aca="false">IF(AND(L$3&gt;='APA Assumptions'!$B$22,L$3&lt;'APA Assumptions'!$B$22+'APA Assumptions'!$B$23),'APA Assumptions'!$B$24,0)</f>
        <v>50000</v>
      </c>
      <c r="M12" s="355" t="n">
        <f aca="false">IF(AND(M$3&gt;='APA Assumptions'!$B$22,M$3&lt;'APA Assumptions'!$B$22+'APA Assumptions'!$B$23),'APA Assumptions'!$B$24,0)</f>
        <v>50000</v>
      </c>
      <c r="N12" s="355" t="n">
        <f aca="false">IF(AND(N$3&gt;='APA Assumptions'!$B$22,N$3&lt;'APA Assumptions'!$B$22+'APA Assumptions'!$B$23),'APA Assumptions'!$B$24,0)</f>
        <v>50000</v>
      </c>
      <c r="O12" s="355" t="n">
        <f aca="false">IF(AND(O$3&gt;='APA Assumptions'!$B$22,O$3&lt;'APA Assumptions'!$B$22+'APA Assumptions'!$B$23),'APA Assumptions'!$B$24,0)</f>
        <v>50000</v>
      </c>
      <c r="P12" s="355" t="n">
        <f aca="false">IF(AND(P$3&gt;='APA Assumptions'!$B$22,P$3&lt;'APA Assumptions'!$B$22+'APA Assumptions'!$B$23),'APA Assumptions'!$B$24,0)</f>
        <v>50000</v>
      </c>
      <c r="Q12" s="355" t="n">
        <f aca="false">IF(AND(Q$3&gt;='APA Assumptions'!$B$22,Q$3&lt;'APA Assumptions'!$B$22+'APA Assumptions'!$B$23),'APA Assumptions'!$B$24,0)</f>
        <v>50000</v>
      </c>
      <c r="R12" s="355" t="n">
        <f aca="false">IF(AND(R$3&gt;='APA Assumptions'!$B$22,R$3&lt;'APA Assumptions'!$B$22+'APA Assumptions'!$B$23),'APA Assumptions'!$B$24,0)</f>
        <v>50000</v>
      </c>
      <c r="S12" s="355" t="n">
        <f aca="false">IF(AND(S$3&gt;='APA Assumptions'!$B$22,S$3&lt;'APA Assumptions'!$B$22+'APA Assumptions'!$B$23),'APA Assumptions'!$B$24,0)</f>
        <v>50000</v>
      </c>
      <c r="T12" s="355" t="n">
        <f aca="false">IF(AND(T$3&gt;='APA Assumptions'!$B$22,T$3&lt;'APA Assumptions'!$B$22+'APA Assumptions'!$B$23),'APA Assumptions'!$B$24,0)</f>
        <v>0</v>
      </c>
      <c r="U12" s="355" t="n">
        <f aca="false">IF(AND(U$3&gt;='APA Assumptions'!$B$22,U$3&lt;'APA Assumptions'!$B$22+'APA Assumptions'!$B$23),'APA Assumptions'!$B$24,0)</f>
        <v>0</v>
      </c>
      <c r="V12" s="355" t="n">
        <f aca="false">IF(AND(V$3&gt;='APA Assumptions'!$B$22,V$3&lt;'APA Assumptions'!$B$22+'APA Assumptions'!$B$23),'APA Assumptions'!$B$24,0)</f>
        <v>0</v>
      </c>
      <c r="W12" s="355" t="n">
        <f aca="false">IF(AND(W$3&gt;='APA Assumptions'!$B$22,W$3&lt;'APA Assumptions'!$B$22+'APA Assumptions'!$B$23),'APA Assumptions'!$B$24,0)</f>
        <v>0</v>
      </c>
      <c r="X12" s="355" t="n">
        <f aca="false">IF(AND(X$3&gt;='APA Assumptions'!$B$22,X$3&lt;'APA Assumptions'!$B$22+'APA Assumptions'!$B$23),'APA Assumptions'!$B$24,0)</f>
        <v>0</v>
      </c>
      <c r="Y12" s="355" t="n">
        <f aca="false">IF(AND(Y$3&gt;='APA Assumptions'!$B$22,Y$3&lt;'APA Assumptions'!$B$22+'APA Assumptions'!$B$23),'APA Assumptions'!$B$24,0)</f>
        <v>0</v>
      </c>
      <c r="Z12" s="355" t="n">
        <f aca="false">IF(AND(Z$3&gt;='APA Assumptions'!$B$22,Z$3&lt;'APA Assumptions'!$B$22+'APA Assumptions'!$B$23),'APA Assumptions'!$B$24,0)</f>
        <v>0</v>
      </c>
      <c r="AA12" s="355" t="n">
        <f aca="false">IF(AND(AA$3&gt;='APA Assumptions'!$B$22,AA$3&lt;'APA Assumptions'!$B$22+'APA Assumptions'!$B$23),'APA Assumptions'!$B$24,0)</f>
        <v>0</v>
      </c>
      <c r="AB12" s="355" t="n">
        <f aca="false">IF(AND(AB$3&gt;='APA Assumptions'!$B$22,AB$3&lt;'APA Assumptions'!$B$22+'APA Assumptions'!$B$23),'APA Assumptions'!$B$24,0)</f>
        <v>0</v>
      </c>
      <c r="AC12" s="355" t="n">
        <f aca="false">IF(AND(AC$3&gt;='APA Assumptions'!$B$22,AC$3&lt;'APA Assumptions'!$B$22+'APA Assumptions'!$B$23),'APA Assumptions'!$B$24,0)</f>
        <v>0</v>
      </c>
      <c r="AD12" s="355" t="n">
        <f aca="false">IF(AND(AD$3&gt;='APA Assumptions'!$B$22,AD$3&lt;'APA Assumptions'!$B$22+'APA Assumptions'!$B$23),'APA Assumptions'!$B$24,0)</f>
        <v>0</v>
      </c>
      <c r="AE12" s="355" t="n">
        <f aca="false">IF(AND(AE$3&gt;='APA Assumptions'!$B$22,AE$3&lt;'APA Assumptions'!$B$22+'APA Assumptions'!$B$23),'APA Assumptions'!$B$24,0)</f>
        <v>0</v>
      </c>
      <c r="AF12" s="355" t="n">
        <f aca="false">IF(AND(AF$3&gt;='APA Assumptions'!$B$22,AF$3&lt;'APA Assumptions'!$B$22+'APA Assumptions'!$B$23),'APA Assumptions'!$B$24,0)</f>
        <v>0</v>
      </c>
      <c r="AG12" s="355" t="n">
        <f aca="false">IF(AND(AG$3&gt;='APA Assumptions'!$B$22,AG$3&lt;'APA Assumptions'!$B$22+'APA Assumptions'!$B$23),'APA Assumptions'!$B$24,0)</f>
        <v>0</v>
      </c>
      <c r="AH12" s="355" t="n">
        <f aca="false">IF(AND(AH$3&gt;='APA Assumptions'!$B$22,AH$3&lt;'APA Assumptions'!$B$22+'APA Assumptions'!$B$23),'APA Assumptions'!$B$24,0)</f>
        <v>0</v>
      </c>
      <c r="AI12" s="355" t="n">
        <f aca="false">IF(AND(AI$3&gt;='APA Assumptions'!$B$22,AI$3&lt;'APA Assumptions'!$B$22+'APA Assumptions'!$B$23),'APA Assumptions'!$B$24,0)</f>
        <v>0</v>
      </c>
      <c r="AJ12" s="355" t="n">
        <f aca="false">IF(AND(AJ$3&gt;='APA Assumptions'!$B$22,AJ$3&lt;'APA Assumptions'!$B$22+'APA Assumptions'!$B$23),'APA Assumptions'!$B$24,0)</f>
        <v>0</v>
      </c>
      <c r="AK12" s="355" t="n">
        <f aca="false">IF(AND(AK$3&gt;='APA Assumptions'!$B$22,AK$3&lt;'APA Assumptions'!$B$22+'APA Assumptions'!$B$23),'APA Assumptions'!$B$24,0)</f>
        <v>0</v>
      </c>
      <c r="AL12" s="355" t="n">
        <f aca="false">IF(AND(AL$3&gt;='APA Assumptions'!$B$22,AL$3&lt;'APA Assumptions'!$B$22+'APA Assumptions'!$B$23),'APA Assumptions'!$B$24,0)</f>
        <v>0</v>
      </c>
      <c r="AM12" s="355" t="n">
        <f aca="false">IF(AND(AM$3&gt;='APA Assumptions'!$B$22,AM$3&lt;'APA Assumptions'!$B$22+'APA Assumptions'!$B$23),'APA Assumptions'!$B$24,0)</f>
        <v>0</v>
      </c>
      <c r="AN12" s="355" t="n">
        <f aca="false">SUM(B12:AM12)</f>
        <v>600000</v>
      </c>
    </row>
    <row r="13" customFormat="false" ht="15" hidden="false" customHeight="true" outlineLevel="0" collapsed="false">
      <c r="A13" s="125" t="s">
        <v>1298</v>
      </c>
      <c r="B13" s="355" t="n">
        <f aca="false">IF(AND(B$3&gt;='APA Assumptions'!$B$26,B$3&lt;'APA Assumptions'!$B$26+'APA Assumptions'!$B$27),'APA Assumptions'!$B$25,0)</f>
        <v>0</v>
      </c>
      <c r="C13" s="355" t="n">
        <f aca="false">IF(AND(C$3&gt;='APA Assumptions'!$B$26,C$3&lt;'APA Assumptions'!$B$26+'APA Assumptions'!$B$27),'APA Assumptions'!$B$25,0)</f>
        <v>0</v>
      </c>
      <c r="D13" s="355" t="n">
        <f aca="false">IF(AND(D$3&gt;='APA Assumptions'!$B$26,D$3&lt;'APA Assumptions'!$B$26+'APA Assumptions'!$B$27),'APA Assumptions'!$B$25,0)</f>
        <v>0</v>
      </c>
      <c r="E13" s="355" t="n">
        <f aca="false">IF(AND(E$3&gt;='APA Assumptions'!$B$26,E$3&lt;'APA Assumptions'!$B$26+'APA Assumptions'!$B$27),'APA Assumptions'!$B$25,0)</f>
        <v>0</v>
      </c>
      <c r="F13" s="355" t="n">
        <f aca="false">IF(AND(F$3&gt;='APA Assumptions'!$B$26,F$3&lt;'APA Assumptions'!$B$26+'APA Assumptions'!$B$27),'APA Assumptions'!$B$25,0)</f>
        <v>0</v>
      </c>
      <c r="G13" s="355" t="n">
        <f aca="false">IF(AND(G$3&gt;='APA Assumptions'!$B$26,G$3&lt;'APA Assumptions'!$B$26+'APA Assumptions'!$B$27),'APA Assumptions'!$B$25,0)</f>
        <v>0</v>
      </c>
      <c r="H13" s="355" t="n">
        <f aca="false">IF(AND(H$3&gt;='APA Assumptions'!$B$26,H$3&lt;'APA Assumptions'!$B$26+'APA Assumptions'!$B$27),'APA Assumptions'!$B$25,0)</f>
        <v>0</v>
      </c>
      <c r="I13" s="355" t="n">
        <f aca="false">IF(AND(I$3&gt;='APA Assumptions'!$B$26,I$3&lt;'APA Assumptions'!$B$26+'APA Assumptions'!$B$27),'APA Assumptions'!$B$25,0)</f>
        <v>0</v>
      </c>
      <c r="J13" s="355" t="n">
        <f aca="false">IF(AND(J$3&gt;='APA Assumptions'!$B$26,J$3&lt;'APA Assumptions'!$B$26+'APA Assumptions'!$B$27),'APA Assumptions'!$B$25,0)</f>
        <v>0</v>
      </c>
      <c r="K13" s="355" t="n">
        <f aca="false">IF(AND(K$3&gt;='APA Assumptions'!$B$26,K$3&lt;'APA Assumptions'!$B$26+'APA Assumptions'!$B$27),'APA Assumptions'!$B$25,0)</f>
        <v>0</v>
      </c>
      <c r="L13" s="355" t="n">
        <f aca="false">IF(AND(L$3&gt;='APA Assumptions'!$B$26,L$3&lt;'APA Assumptions'!$B$26+'APA Assumptions'!$B$27),'APA Assumptions'!$B$25,0)</f>
        <v>0</v>
      </c>
      <c r="M13" s="355" t="n">
        <f aca="false">IF(AND(M$3&gt;='APA Assumptions'!$B$26,M$3&lt;'APA Assumptions'!$B$26+'APA Assumptions'!$B$27),'APA Assumptions'!$B$25,0)</f>
        <v>0</v>
      </c>
      <c r="N13" s="355" t="n">
        <f aca="false">IF(AND(N$3&gt;='APA Assumptions'!$B$26,N$3&lt;'APA Assumptions'!$B$26+'APA Assumptions'!$B$27),'APA Assumptions'!$B$25,0)</f>
        <v>0</v>
      </c>
      <c r="O13" s="355" t="n">
        <f aca="false">IF(AND(O$3&gt;='APA Assumptions'!$B$26,O$3&lt;'APA Assumptions'!$B$26+'APA Assumptions'!$B$27),'APA Assumptions'!$B$25,0)</f>
        <v>0</v>
      </c>
      <c r="P13" s="355" t="n">
        <f aca="false">IF(AND(P$3&gt;='APA Assumptions'!$B$26,P$3&lt;'APA Assumptions'!$B$26+'APA Assumptions'!$B$27),'APA Assumptions'!$B$25,0)</f>
        <v>0</v>
      </c>
      <c r="Q13" s="355" t="n">
        <f aca="false">IF(AND(Q$3&gt;='APA Assumptions'!$B$26,Q$3&lt;'APA Assumptions'!$B$26+'APA Assumptions'!$B$27),'APA Assumptions'!$B$25,0)</f>
        <v>0</v>
      </c>
      <c r="R13" s="355" t="n">
        <f aca="false">IF(AND(R$3&gt;='APA Assumptions'!$B$26,R$3&lt;'APA Assumptions'!$B$26+'APA Assumptions'!$B$27),'APA Assumptions'!$B$25,0)</f>
        <v>0</v>
      </c>
      <c r="S13" s="355" t="n">
        <f aca="false">IF(AND(S$3&gt;='APA Assumptions'!$B$26,S$3&lt;'APA Assumptions'!$B$26+'APA Assumptions'!$B$27),'APA Assumptions'!$B$25,0)</f>
        <v>0</v>
      </c>
      <c r="T13" s="355" t="n">
        <f aca="false">IF(AND(T$3&gt;='APA Assumptions'!$B$26,T$3&lt;'APA Assumptions'!$B$26+'APA Assumptions'!$B$27),'APA Assumptions'!$B$25,0)</f>
        <v>0</v>
      </c>
      <c r="U13" s="355" t="n">
        <f aca="false">IF(AND(U$3&gt;='APA Assumptions'!$B$26,U$3&lt;'APA Assumptions'!$B$26+'APA Assumptions'!$B$27),'APA Assumptions'!$B$25,0)</f>
        <v>0</v>
      </c>
      <c r="V13" s="355" t="n">
        <f aca="false">IF(AND(V$3&gt;='APA Assumptions'!$B$26,V$3&lt;'APA Assumptions'!$B$26+'APA Assumptions'!$B$27),'APA Assumptions'!$B$25,0)</f>
        <v>0</v>
      </c>
      <c r="W13" s="355" t="n">
        <f aca="false">IF(AND(W$3&gt;='APA Assumptions'!$B$26,W$3&lt;'APA Assumptions'!$B$26+'APA Assumptions'!$B$27),'APA Assumptions'!$B$25,0)</f>
        <v>2500</v>
      </c>
      <c r="X13" s="355" t="n">
        <f aca="false">IF(AND(X$3&gt;='APA Assumptions'!$B$26,X$3&lt;'APA Assumptions'!$B$26+'APA Assumptions'!$B$27),'APA Assumptions'!$B$25,0)</f>
        <v>2500</v>
      </c>
      <c r="Y13" s="355" t="n">
        <f aca="false">IF(AND(Y$3&gt;='APA Assumptions'!$B$26,Y$3&lt;'APA Assumptions'!$B$26+'APA Assumptions'!$B$27),'APA Assumptions'!$B$25,0)</f>
        <v>2500</v>
      </c>
      <c r="Z13" s="355" t="n">
        <f aca="false">IF(AND(Z$3&gt;='APA Assumptions'!$B$26,Z$3&lt;'APA Assumptions'!$B$26+'APA Assumptions'!$B$27),'APA Assumptions'!$B$25,0)</f>
        <v>2500</v>
      </c>
      <c r="AA13" s="355" t="n">
        <f aca="false">IF(AND(AA$3&gt;='APA Assumptions'!$B$26,AA$3&lt;'APA Assumptions'!$B$26+'APA Assumptions'!$B$27),'APA Assumptions'!$B$25,0)</f>
        <v>2500</v>
      </c>
      <c r="AB13" s="355" t="n">
        <f aca="false">IF(AND(AB$3&gt;='APA Assumptions'!$B$26,AB$3&lt;'APA Assumptions'!$B$26+'APA Assumptions'!$B$27),'APA Assumptions'!$B$25,0)</f>
        <v>2500</v>
      </c>
      <c r="AC13" s="355" t="n">
        <f aca="false">IF(AND(AC$3&gt;='APA Assumptions'!$B$26,AC$3&lt;'APA Assumptions'!$B$26+'APA Assumptions'!$B$27),'APA Assumptions'!$B$25,0)</f>
        <v>2500</v>
      </c>
      <c r="AD13" s="355" t="n">
        <f aca="false">IF(AND(AD$3&gt;='APA Assumptions'!$B$26,AD$3&lt;'APA Assumptions'!$B$26+'APA Assumptions'!$B$27),'APA Assumptions'!$B$25,0)</f>
        <v>2500</v>
      </c>
      <c r="AE13" s="355" t="n">
        <f aca="false">IF(AND(AE$3&gt;='APA Assumptions'!$B$26,AE$3&lt;'APA Assumptions'!$B$26+'APA Assumptions'!$B$27),'APA Assumptions'!$B$25,0)</f>
        <v>2500</v>
      </c>
      <c r="AF13" s="355" t="n">
        <f aca="false">IF(AND(AF$3&gt;='APA Assumptions'!$B$26,AF$3&lt;'APA Assumptions'!$B$26+'APA Assumptions'!$B$27),'APA Assumptions'!$B$25,0)</f>
        <v>2500</v>
      </c>
      <c r="AG13" s="355" t="n">
        <f aca="false">IF(AND(AG$3&gt;='APA Assumptions'!$B$26,AG$3&lt;'APA Assumptions'!$B$26+'APA Assumptions'!$B$27),'APA Assumptions'!$B$25,0)</f>
        <v>2500</v>
      </c>
      <c r="AH13" s="355" t="n">
        <f aca="false">IF(AND(AH$3&gt;='APA Assumptions'!$B$26,AH$3&lt;'APA Assumptions'!$B$26+'APA Assumptions'!$B$27),'APA Assumptions'!$B$25,0)</f>
        <v>2500</v>
      </c>
      <c r="AI13" s="355" t="n">
        <f aca="false">IF(AND(AI$3&gt;='APA Assumptions'!$B$26,AI$3&lt;'APA Assumptions'!$B$26+'APA Assumptions'!$B$27),'APA Assumptions'!$B$25,0)</f>
        <v>2500</v>
      </c>
      <c r="AJ13" s="355" t="n">
        <f aca="false">IF(AND(AJ$3&gt;='APA Assumptions'!$B$26,AJ$3&lt;'APA Assumptions'!$B$26+'APA Assumptions'!$B$27),'APA Assumptions'!$B$25,0)</f>
        <v>2500</v>
      </c>
      <c r="AK13" s="355" t="n">
        <f aca="false">IF(AND(AK$3&gt;='APA Assumptions'!$B$26,AK$3&lt;'APA Assumptions'!$B$26+'APA Assumptions'!$B$27),'APA Assumptions'!$B$25,0)</f>
        <v>2500</v>
      </c>
      <c r="AL13" s="355" t="n">
        <f aca="false">IF(AND(AL$3&gt;='APA Assumptions'!$B$26,AL$3&lt;'APA Assumptions'!$B$26+'APA Assumptions'!$B$27),'APA Assumptions'!$B$25,0)</f>
        <v>2500</v>
      </c>
      <c r="AM13" s="355" t="n">
        <f aca="false">IF(AND(AM$3&gt;='APA Assumptions'!$B$26,AM$3&lt;'APA Assumptions'!$B$26+'APA Assumptions'!$B$27),'APA Assumptions'!$B$25,0)</f>
        <v>2500</v>
      </c>
      <c r="AN13" s="355" t="n">
        <f aca="false">SUM(B13:AM13)</f>
        <v>42500</v>
      </c>
    </row>
    <row r="14" customFormat="false" ht="15" hidden="false" customHeight="true" outlineLevel="0" collapsed="false">
      <c r="A14" s="361" t="s">
        <v>1299</v>
      </c>
      <c r="B14" s="362" t="n">
        <f aca="false">SUM(B7:B13)</f>
        <v>25714.2857142857</v>
      </c>
      <c r="C14" s="362" t="n">
        <f aca="false">SUM(C7:C13)</f>
        <v>38408.2857142857</v>
      </c>
      <c r="D14" s="362" t="n">
        <f aca="false">SUM(D7:D13)</f>
        <v>38408.2857142857</v>
      </c>
      <c r="E14" s="362" t="n">
        <f aca="false">SUM(E7:E13)</f>
        <v>38408.2857142857</v>
      </c>
      <c r="F14" s="362" t="n">
        <f aca="false">SUM(F7:F13)</f>
        <v>38408.2857142857</v>
      </c>
      <c r="G14" s="362" t="n">
        <f aca="false">SUM(G7:G13)</f>
        <v>32908.2857142857</v>
      </c>
      <c r="H14" s="362" t="n">
        <f aca="false">SUM(H7:H13)</f>
        <v>80908.2857142857</v>
      </c>
      <c r="I14" s="362" t="n">
        <f aca="false">SUM(I7:I13)</f>
        <v>55194</v>
      </c>
      <c r="J14" s="362" t="n">
        <f aca="false">SUM(J7:J13)</f>
        <v>57694</v>
      </c>
      <c r="K14" s="362" t="n">
        <f aca="false">SUM(K7:K13)</f>
        <v>57694</v>
      </c>
      <c r="L14" s="362" t="n">
        <f aca="false">SUM(L7:L13)</f>
        <v>57694</v>
      </c>
      <c r="M14" s="362" t="n">
        <f aca="false">SUM(M7:M13)</f>
        <v>57694</v>
      </c>
      <c r="N14" s="362" t="n">
        <f aca="false">SUM(N7:N13)</f>
        <v>57694</v>
      </c>
      <c r="O14" s="362" t="n">
        <f aca="false">SUM(O7:O13)</f>
        <v>57694</v>
      </c>
      <c r="P14" s="362" t="n">
        <f aca="false">SUM(P7:P13)</f>
        <v>57694</v>
      </c>
      <c r="Q14" s="362" t="n">
        <f aca="false">SUM(Q7:Q13)</f>
        <v>57694</v>
      </c>
      <c r="R14" s="362" t="n">
        <f aca="false">SUM(R7:R13)</f>
        <v>55000</v>
      </c>
      <c r="S14" s="362" t="n">
        <f aca="false">SUM(S7:S13)</f>
        <v>55000</v>
      </c>
      <c r="T14" s="362" t="n">
        <f aca="false">SUM(T7:T13)</f>
        <v>5000</v>
      </c>
      <c r="U14" s="362" t="n">
        <f aca="false">SUM(U7:U13)</f>
        <v>5000</v>
      </c>
      <c r="V14" s="362" t="n">
        <f aca="false">SUM(V7:V13)</f>
        <v>5000</v>
      </c>
      <c r="W14" s="362" t="n">
        <f aca="false">SUM(W7:W13)</f>
        <v>7500</v>
      </c>
      <c r="X14" s="362" t="n">
        <f aca="false">SUM(X7:X13)</f>
        <v>7500</v>
      </c>
      <c r="Y14" s="362" t="n">
        <f aca="false">SUM(Y7:Y13)</f>
        <v>7500</v>
      </c>
      <c r="Z14" s="362" t="n">
        <f aca="false">SUM(Z7:Z13)</f>
        <v>7500</v>
      </c>
      <c r="AA14" s="362" t="n">
        <f aca="false">SUM(AA7:AA13)</f>
        <v>7500</v>
      </c>
      <c r="AB14" s="362" t="n">
        <f aca="false">SUM(AB7:AB13)</f>
        <v>7500</v>
      </c>
      <c r="AC14" s="362" t="n">
        <f aca="false">SUM(AC7:AC13)</f>
        <v>7500</v>
      </c>
      <c r="AD14" s="362" t="n">
        <f aca="false">SUM(AD7:AD13)</f>
        <v>7500</v>
      </c>
      <c r="AE14" s="362" t="n">
        <f aca="false">SUM(AE7:AE13)</f>
        <v>7500</v>
      </c>
      <c r="AF14" s="362" t="n">
        <f aca="false">SUM(AF7:AF13)</f>
        <v>7500</v>
      </c>
      <c r="AG14" s="362" t="n">
        <f aca="false">SUM(AG7:AG13)</f>
        <v>5000</v>
      </c>
      <c r="AH14" s="362" t="n">
        <f aca="false">SUM(AH7:AH13)</f>
        <v>5000</v>
      </c>
      <c r="AI14" s="362" t="n">
        <f aca="false">SUM(AI7:AI13)</f>
        <v>5000</v>
      </c>
      <c r="AJ14" s="362" t="n">
        <f aca="false">SUM(AJ7:AJ13)</f>
        <v>5000</v>
      </c>
      <c r="AK14" s="362" t="n">
        <f aca="false">SUM(AK7:AK13)</f>
        <v>5000</v>
      </c>
      <c r="AL14" s="362" t="n">
        <f aca="false">SUM(AL7:AL13)</f>
        <v>5000</v>
      </c>
      <c r="AM14" s="362" t="n">
        <f aca="false">SUM(AM7:AM13)</f>
        <v>5000</v>
      </c>
      <c r="AN14" s="362" t="n">
        <f aca="false">SUM(B14:AM14)</f>
        <v>1044910</v>
      </c>
    </row>
    <row r="16" customFormat="false" ht="15" hidden="false" customHeight="true" outlineLevel="0" collapsed="false">
      <c r="A16" s="23" t="s">
        <v>1270</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1300</v>
      </c>
      <c r="B17" s="355" t="n">
        <f aca="false">IF(B$3&gt;='APA Assumptions'!$B$31,'APA Assumptions'!$B$30,'APA Assumptions'!$B$29)</f>
        <v>12500</v>
      </c>
      <c r="C17" s="355" t="n">
        <f aca="false">IF(C$3&gt;='APA Assumptions'!$B$31,'APA Assumptions'!$B$30,'APA Assumptions'!$B$29)</f>
        <v>12500</v>
      </c>
      <c r="D17" s="355" t="n">
        <f aca="false">IF(D$3&gt;='APA Assumptions'!$B$31,'APA Assumptions'!$B$30,'APA Assumptions'!$B$29)</f>
        <v>12500</v>
      </c>
      <c r="E17" s="355" t="n">
        <f aca="false">IF(E$3&gt;='APA Assumptions'!$B$31,'APA Assumptions'!$B$30,'APA Assumptions'!$B$29)</f>
        <v>12500</v>
      </c>
      <c r="F17" s="355" t="n">
        <f aca="false">IF(F$3&gt;='APA Assumptions'!$B$31,'APA Assumptions'!$B$30,'APA Assumptions'!$B$29)</f>
        <v>12500</v>
      </c>
      <c r="G17" s="355" t="n">
        <f aca="false">IF(G$3&gt;='APA Assumptions'!$B$31,'APA Assumptions'!$B$30,'APA Assumptions'!$B$29)</f>
        <v>12500</v>
      </c>
      <c r="H17" s="355" t="n">
        <f aca="false">IF(H$3&gt;='APA Assumptions'!$B$31,'APA Assumptions'!$B$30,'APA Assumptions'!$B$29)</f>
        <v>18750</v>
      </c>
      <c r="I17" s="355" t="n">
        <f aca="false">IF(I$3&gt;='APA Assumptions'!$B$31,'APA Assumptions'!$B$30,'APA Assumptions'!$B$29)</f>
        <v>18750</v>
      </c>
      <c r="J17" s="355" t="n">
        <f aca="false">IF(J$3&gt;='APA Assumptions'!$B$31,'APA Assumptions'!$B$30,'APA Assumptions'!$B$29)</f>
        <v>18750</v>
      </c>
      <c r="K17" s="355" t="n">
        <f aca="false">IF(K$3&gt;='APA Assumptions'!$B$31,'APA Assumptions'!$B$30,'APA Assumptions'!$B$29)</f>
        <v>18750</v>
      </c>
      <c r="L17" s="355" t="n">
        <f aca="false">IF(L$3&gt;='APA Assumptions'!$B$31,'APA Assumptions'!$B$30,'APA Assumptions'!$B$29)</f>
        <v>18750</v>
      </c>
      <c r="M17" s="355" t="n">
        <f aca="false">IF(M$3&gt;='APA Assumptions'!$B$31,'APA Assumptions'!$B$30,'APA Assumptions'!$B$29)</f>
        <v>18750</v>
      </c>
      <c r="N17" s="355" t="n">
        <f aca="false">IF(N$3&gt;='APA Assumptions'!$B$31,'APA Assumptions'!$B$30,'APA Assumptions'!$B$29)</f>
        <v>18750</v>
      </c>
      <c r="O17" s="355" t="n">
        <f aca="false">IF(O$3&gt;='APA Assumptions'!$B$31,'APA Assumptions'!$B$30,'APA Assumptions'!$B$29)</f>
        <v>18750</v>
      </c>
      <c r="P17" s="355" t="n">
        <f aca="false">IF(P$3&gt;='APA Assumptions'!$B$31,'APA Assumptions'!$B$30,'APA Assumptions'!$B$29)</f>
        <v>18750</v>
      </c>
      <c r="Q17" s="355" t="n">
        <f aca="false">IF(Q$3&gt;='APA Assumptions'!$B$31,'APA Assumptions'!$B$30,'APA Assumptions'!$B$29)</f>
        <v>18750</v>
      </c>
      <c r="R17" s="355" t="n">
        <f aca="false">IF(R$3&gt;='APA Assumptions'!$B$31,'APA Assumptions'!$B$30,'APA Assumptions'!$B$29)</f>
        <v>18750</v>
      </c>
      <c r="S17" s="355" t="n">
        <f aca="false">IF(S$3&gt;='APA Assumptions'!$B$31,'APA Assumptions'!$B$30,'APA Assumptions'!$B$29)</f>
        <v>18750</v>
      </c>
      <c r="T17" s="355" t="n">
        <f aca="false">IF(T$3&gt;='APA Assumptions'!$B$31,'APA Assumptions'!$B$30,'APA Assumptions'!$B$29)</f>
        <v>18750</v>
      </c>
      <c r="U17" s="355" t="n">
        <f aca="false">IF(U$3&gt;='APA Assumptions'!$B$31,'APA Assumptions'!$B$30,'APA Assumptions'!$B$29)</f>
        <v>18750</v>
      </c>
      <c r="V17" s="355" t="n">
        <f aca="false">IF(V$3&gt;='APA Assumptions'!$B$31,'APA Assumptions'!$B$30,'APA Assumptions'!$B$29)</f>
        <v>18750</v>
      </c>
      <c r="W17" s="355" t="n">
        <f aca="false">IF(W$3&gt;='APA Assumptions'!$B$31,'APA Assumptions'!$B$30,'APA Assumptions'!$B$29)</f>
        <v>18750</v>
      </c>
      <c r="X17" s="355" t="n">
        <f aca="false">IF(X$3&gt;='APA Assumptions'!$B$31,'APA Assumptions'!$B$30,'APA Assumptions'!$B$29)</f>
        <v>18750</v>
      </c>
      <c r="Y17" s="355" t="n">
        <f aca="false">IF(Y$3&gt;='APA Assumptions'!$B$31,'APA Assumptions'!$B$30,'APA Assumptions'!$B$29)</f>
        <v>18750</v>
      </c>
      <c r="Z17" s="355" t="n">
        <f aca="false">IF(Z$3&gt;='APA Assumptions'!$B$31,'APA Assumptions'!$B$30,'APA Assumptions'!$B$29)</f>
        <v>18750</v>
      </c>
      <c r="AA17" s="355" t="n">
        <f aca="false">IF(AA$3&gt;='APA Assumptions'!$B$31,'APA Assumptions'!$B$30,'APA Assumptions'!$B$29)</f>
        <v>18750</v>
      </c>
      <c r="AB17" s="355" t="n">
        <f aca="false">IF(AB$3&gt;='APA Assumptions'!$B$31,'APA Assumptions'!$B$30,'APA Assumptions'!$B$29)</f>
        <v>18750</v>
      </c>
      <c r="AC17" s="355" t="n">
        <f aca="false">IF(AC$3&gt;='APA Assumptions'!$B$31,'APA Assumptions'!$B$30,'APA Assumptions'!$B$29)</f>
        <v>18750</v>
      </c>
      <c r="AD17" s="355" t="n">
        <f aca="false">IF(AD$3&gt;='APA Assumptions'!$B$31,'APA Assumptions'!$B$30,'APA Assumptions'!$B$29)</f>
        <v>18750</v>
      </c>
      <c r="AE17" s="355" t="n">
        <f aca="false">IF(AE$3&gt;='APA Assumptions'!$B$31,'APA Assumptions'!$B$30,'APA Assumptions'!$B$29)</f>
        <v>18750</v>
      </c>
      <c r="AF17" s="355" t="n">
        <f aca="false">IF(AF$3&gt;='APA Assumptions'!$B$31,'APA Assumptions'!$B$30,'APA Assumptions'!$B$29)</f>
        <v>18750</v>
      </c>
      <c r="AG17" s="355" t="n">
        <f aca="false">IF(AG$3&gt;='APA Assumptions'!$B$31,'APA Assumptions'!$B$30,'APA Assumptions'!$B$29)</f>
        <v>18750</v>
      </c>
      <c r="AH17" s="355" t="n">
        <f aca="false">IF(AH$3&gt;='APA Assumptions'!$B$31,'APA Assumptions'!$B$30,'APA Assumptions'!$B$29)</f>
        <v>18750</v>
      </c>
      <c r="AI17" s="355" t="n">
        <f aca="false">IF(AI$3&gt;='APA Assumptions'!$B$31,'APA Assumptions'!$B$30,'APA Assumptions'!$B$29)</f>
        <v>18750</v>
      </c>
      <c r="AJ17" s="355" t="n">
        <f aca="false">IF(AJ$3&gt;='APA Assumptions'!$B$31,'APA Assumptions'!$B$30,'APA Assumptions'!$B$29)</f>
        <v>18750</v>
      </c>
      <c r="AK17" s="355" t="n">
        <f aca="false">IF(AK$3&gt;='APA Assumptions'!$B$31,'APA Assumptions'!$B$30,'APA Assumptions'!$B$29)</f>
        <v>18750</v>
      </c>
      <c r="AL17" s="355" t="n">
        <f aca="false">IF(AL$3&gt;='APA Assumptions'!$B$31,'APA Assumptions'!$B$30,'APA Assumptions'!$B$29)</f>
        <v>18750</v>
      </c>
      <c r="AM17" s="355" t="n">
        <f aca="false">IF(AM$3&gt;='APA Assumptions'!$B$31,'APA Assumptions'!$B$30,'APA Assumptions'!$B$29)</f>
        <v>18750</v>
      </c>
      <c r="AN17" s="355" t="n">
        <f aca="false">SUM(B17:AM17)</f>
        <v>675000</v>
      </c>
    </row>
    <row r="18" customFormat="false" ht="15" hidden="false" customHeight="true" outlineLevel="0" collapsed="false">
      <c r="A18" s="125" t="s">
        <v>1301</v>
      </c>
      <c r="B18" s="355" t="n">
        <f aca="false">'APA Assumptions'!$B$32</f>
        <v>365</v>
      </c>
      <c r="C18" s="355" t="n">
        <f aca="false">'APA Assumptions'!$B$32</f>
        <v>365</v>
      </c>
      <c r="D18" s="355" t="n">
        <f aca="false">'APA Assumptions'!$B$32</f>
        <v>365</v>
      </c>
      <c r="E18" s="355" t="n">
        <f aca="false">'APA Assumptions'!$B$32</f>
        <v>365</v>
      </c>
      <c r="F18" s="355" t="n">
        <f aca="false">'APA Assumptions'!$B$32</f>
        <v>365</v>
      </c>
      <c r="G18" s="355" t="n">
        <f aca="false">'APA Assumptions'!$B$32</f>
        <v>365</v>
      </c>
      <c r="H18" s="355" t="n">
        <f aca="false">'APA Assumptions'!$B$32</f>
        <v>365</v>
      </c>
      <c r="I18" s="355" t="n">
        <f aca="false">'APA Assumptions'!$B$32</f>
        <v>365</v>
      </c>
      <c r="J18" s="355" t="n">
        <f aca="false">'APA Assumptions'!$B$32</f>
        <v>365</v>
      </c>
      <c r="K18" s="355" t="n">
        <f aca="false">'APA Assumptions'!$B$32</f>
        <v>365</v>
      </c>
      <c r="L18" s="355" t="n">
        <f aca="false">'APA Assumptions'!$B$32</f>
        <v>365</v>
      </c>
      <c r="M18" s="355" t="n">
        <f aca="false">'APA Assumptions'!$B$32</f>
        <v>365</v>
      </c>
      <c r="N18" s="355" t="n">
        <f aca="false">'APA Assumptions'!$B$32</f>
        <v>365</v>
      </c>
      <c r="O18" s="355" t="n">
        <f aca="false">'APA Assumptions'!$B$32</f>
        <v>365</v>
      </c>
      <c r="P18" s="355" t="n">
        <f aca="false">'APA Assumptions'!$B$32</f>
        <v>365</v>
      </c>
      <c r="Q18" s="355" t="n">
        <f aca="false">'APA Assumptions'!$B$32</f>
        <v>365</v>
      </c>
      <c r="R18" s="355" t="n">
        <f aca="false">'APA Assumptions'!$B$32</f>
        <v>365</v>
      </c>
      <c r="S18" s="355" t="n">
        <f aca="false">'APA Assumptions'!$B$32</f>
        <v>365</v>
      </c>
      <c r="T18" s="355" t="n">
        <f aca="false">'APA Assumptions'!$B$32</f>
        <v>365</v>
      </c>
      <c r="U18" s="355" t="n">
        <f aca="false">'APA Assumptions'!$B$32</f>
        <v>365</v>
      </c>
      <c r="V18" s="355" t="n">
        <f aca="false">'APA Assumptions'!$B$32</f>
        <v>365</v>
      </c>
      <c r="W18" s="355" t="n">
        <f aca="false">'APA Assumptions'!$B$32</f>
        <v>365</v>
      </c>
      <c r="X18" s="355" t="n">
        <f aca="false">'APA Assumptions'!$B$32</f>
        <v>365</v>
      </c>
      <c r="Y18" s="355" t="n">
        <f aca="false">'APA Assumptions'!$B$32</f>
        <v>365</v>
      </c>
      <c r="Z18" s="355" t="n">
        <f aca="false">'APA Assumptions'!$B$32</f>
        <v>365</v>
      </c>
      <c r="AA18" s="355" t="n">
        <f aca="false">'APA Assumptions'!$B$32</f>
        <v>365</v>
      </c>
      <c r="AB18" s="355" t="n">
        <f aca="false">'APA Assumptions'!$B$32</f>
        <v>365</v>
      </c>
      <c r="AC18" s="355" t="n">
        <f aca="false">'APA Assumptions'!$B$32</f>
        <v>365</v>
      </c>
      <c r="AD18" s="355" t="n">
        <f aca="false">'APA Assumptions'!$B$32</f>
        <v>365</v>
      </c>
      <c r="AE18" s="355" t="n">
        <f aca="false">'APA Assumptions'!$B$32</f>
        <v>365</v>
      </c>
      <c r="AF18" s="355" t="n">
        <f aca="false">'APA Assumptions'!$B$32</f>
        <v>365</v>
      </c>
      <c r="AG18" s="355" t="n">
        <f aca="false">'APA Assumptions'!$B$32</f>
        <v>365</v>
      </c>
      <c r="AH18" s="355" t="n">
        <f aca="false">'APA Assumptions'!$B$32</f>
        <v>365</v>
      </c>
      <c r="AI18" s="355" t="n">
        <f aca="false">'APA Assumptions'!$B$32</f>
        <v>365</v>
      </c>
      <c r="AJ18" s="355" t="n">
        <f aca="false">'APA Assumptions'!$B$32</f>
        <v>365</v>
      </c>
      <c r="AK18" s="355" t="n">
        <f aca="false">'APA Assumptions'!$B$32</f>
        <v>365</v>
      </c>
      <c r="AL18" s="355" t="n">
        <f aca="false">'APA Assumptions'!$B$32</f>
        <v>365</v>
      </c>
      <c r="AM18" s="355" t="n">
        <f aca="false">'APA Assumptions'!$B$32</f>
        <v>365</v>
      </c>
      <c r="AN18" s="355" t="n">
        <f aca="false">SUM(B18:AM18)</f>
        <v>13870</v>
      </c>
    </row>
    <row r="19" customFormat="false" ht="15" hidden="false" customHeight="true" outlineLevel="0" collapsed="false">
      <c r="A19" s="125" t="s">
        <v>1302</v>
      </c>
      <c r="B19" s="355" t="n">
        <f aca="false">IF(MOD(B$3-1,12)=0,'APA Assumptions'!$B$33,0)</f>
        <v>8000</v>
      </c>
      <c r="C19" s="355" t="n">
        <f aca="false">IF(MOD(C$3-1,12)=0,'APA Assumptions'!$B$33,0)</f>
        <v>0</v>
      </c>
      <c r="D19" s="355" t="n">
        <f aca="false">IF(MOD(D$3-1,12)=0,'APA Assumptions'!$B$33,0)</f>
        <v>0</v>
      </c>
      <c r="E19" s="355" t="n">
        <f aca="false">IF(MOD(E$3-1,12)=0,'APA Assumptions'!$B$33,0)</f>
        <v>0</v>
      </c>
      <c r="F19" s="355" t="n">
        <f aca="false">IF(MOD(F$3-1,12)=0,'APA Assumptions'!$B$33,0)</f>
        <v>0</v>
      </c>
      <c r="G19" s="355" t="n">
        <f aca="false">IF(MOD(G$3-1,12)=0,'APA Assumptions'!$B$33,0)</f>
        <v>0</v>
      </c>
      <c r="H19" s="355" t="n">
        <f aca="false">IF(MOD(H$3-1,12)=0,'APA Assumptions'!$B$33,0)</f>
        <v>0</v>
      </c>
      <c r="I19" s="355" t="n">
        <f aca="false">IF(MOD(I$3-1,12)=0,'APA Assumptions'!$B$33,0)</f>
        <v>0</v>
      </c>
      <c r="J19" s="355" t="n">
        <f aca="false">IF(MOD(J$3-1,12)=0,'APA Assumptions'!$B$33,0)</f>
        <v>0</v>
      </c>
      <c r="K19" s="355" t="n">
        <f aca="false">IF(MOD(K$3-1,12)=0,'APA Assumptions'!$B$33,0)</f>
        <v>0</v>
      </c>
      <c r="L19" s="355" t="n">
        <f aca="false">IF(MOD(L$3-1,12)=0,'APA Assumptions'!$B$33,0)</f>
        <v>0</v>
      </c>
      <c r="M19" s="355" t="n">
        <f aca="false">IF(MOD(M$3-1,12)=0,'APA Assumptions'!$B$33,0)</f>
        <v>0</v>
      </c>
      <c r="N19" s="355" t="n">
        <f aca="false">IF(MOD(N$3-1,12)=0,'APA Assumptions'!$B$33,0)</f>
        <v>8000</v>
      </c>
      <c r="O19" s="355" t="n">
        <f aca="false">IF(MOD(O$3-1,12)=0,'APA Assumptions'!$B$33,0)</f>
        <v>0</v>
      </c>
      <c r="P19" s="355" t="n">
        <f aca="false">IF(MOD(P$3-1,12)=0,'APA Assumptions'!$B$33,0)</f>
        <v>0</v>
      </c>
      <c r="Q19" s="355" t="n">
        <f aca="false">IF(MOD(Q$3-1,12)=0,'APA Assumptions'!$B$33,0)</f>
        <v>0</v>
      </c>
      <c r="R19" s="355" t="n">
        <f aca="false">IF(MOD(R$3-1,12)=0,'APA Assumptions'!$B$33,0)</f>
        <v>0</v>
      </c>
      <c r="S19" s="355" t="n">
        <f aca="false">IF(MOD(S$3-1,12)=0,'APA Assumptions'!$B$33,0)</f>
        <v>0</v>
      </c>
      <c r="T19" s="355" t="n">
        <f aca="false">IF(MOD(T$3-1,12)=0,'APA Assumptions'!$B$33,0)</f>
        <v>0</v>
      </c>
      <c r="U19" s="355" t="n">
        <f aca="false">IF(MOD(U$3-1,12)=0,'APA Assumptions'!$B$33,0)</f>
        <v>0</v>
      </c>
      <c r="V19" s="355" t="n">
        <f aca="false">IF(MOD(V$3-1,12)=0,'APA Assumptions'!$B$33,0)</f>
        <v>0</v>
      </c>
      <c r="W19" s="355" t="n">
        <f aca="false">IF(MOD(W$3-1,12)=0,'APA Assumptions'!$B$33,0)</f>
        <v>0</v>
      </c>
      <c r="X19" s="355" t="n">
        <f aca="false">IF(MOD(X$3-1,12)=0,'APA Assumptions'!$B$33,0)</f>
        <v>0</v>
      </c>
      <c r="Y19" s="355" t="n">
        <f aca="false">IF(MOD(Y$3-1,12)=0,'APA Assumptions'!$B$33,0)</f>
        <v>0</v>
      </c>
      <c r="Z19" s="355" t="n">
        <f aca="false">IF(MOD(Z$3-1,12)=0,'APA Assumptions'!$B$33,0)</f>
        <v>8000</v>
      </c>
      <c r="AA19" s="355" t="n">
        <f aca="false">IF(MOD(AA$3-1,12)=0,'APA Assumptions'!$B$33,0)</f>
        <v>0</v>
      </c>
      <c r="AB19" s="355" t="n">
        <f aca="false">IF(MOD(AB$3-1,12)=0,'APA Assumptions'!$B$33,0)</f>
        <v>0</v>
      </c>
      <c r="AC19" s="355" t="n">
        <f aca="false">IF(MOD(AC$3-1,12)=0,'APA Assumptions'!$B$33,0)</f>
        <v>0</v>
      </c>
      <c r="AD19" s="355" t="n">
        <f aca="false">IF(MOD(AD$3-1,12)=0,'APA Assumptions'!$B$33,0)</f>
        <v>0</v>
      </c>
      <c r="AE19" s="355" t="n">
        <f aca="false">IF(MOD(AE$3-1,12)=0,'APA Assumptions'!$B$33,0)</f>
        <v>0</v>
      </c>
      <c r="AF19" s="355" t="n">
        <f aca="false">IF(MOD(AF$3-1,12)=0,'APA Assumptions'!$B$33,0)</f>
        <v>0</v>
      </c>
      <c r="AG19" s="355" t="n">
        <f aca="false">IF(MOD(AG$3-1,12)=0,'APA Assumptions'!$B$33,0)</f>
        <v>0</v>
      </c>
      <c r="AH19" s="355" t="n">
        <f aca="false">IF(MOD(AH$3-1,12)=0,'APA Assumptions'!$B$33,0)</f>
        <v>0</v>
      </c>
      <c r="AI19" s="355" t="n">
        <f aca="false">IF(MOD(AI$3-1,12)=0,'APA Assumptions'!$B$33,0)</f>
        <v>0</v>
      </c>
      <c r="AJ19" s="355" t="n">
        <f aca="false">IF(MOD(AJ$3-1,12)=0,'APA Assumptions'!$B$33,0)</f>
        <v>0</v>
      </c>
      <c r="AK19" s="355" t="n">
        <f aca="false">IF(MOD(AK$3-1,12)=0,'APA Assumptions'!$B$33,0)</f>
        <v>0</v>
      </c>
      <c r="AL19" s="355" t="n">
        <f aca="false">IF(MOD(AL$3-1,12)=0,'APA Assumptions'!$B$33,0)</f>
        <v>8000</v>
      </c>
      <c r="AM19" s="355" t="n">
        <f aca="false">IF(MOD(AM$3-1,12)=0,'APA Assumptions'!$B$33,0)</f>
        <v>0</v>
      </c>
      <c r="AN19" s="355" t="n">
        <f aca="false">SUM(B19:AM19)</f>
        <v>32000</v>
      </c>
    </row>
    <row r="20" customFormat="false" ht="15" hidden="false" customHeight="true" outlineLevel="0" collapsed="false">
      <c r="A20" s="125" t="s">
        <v>1303</v>
      </c>
      <c r="B20" s="355" t="n">
        <f aca="false">IF(B$3='APA Assumptions'!$B$36,'APA Assumptions'!$B$34+'APA Assumptions'!$B$35,0)</f>
        <v>0</v>
      </c>
      <c r="C20" s="355" t="n">
        <f aca="false">IF(C$3='APA Assumptions'!$B$36,'APA Assumptions'!$B$34+'APA Assumptions'!$B$35,0)</f>
        <v>7500</v>
      </c>
      <c r="D20" s="355" t="n">
        <f aca="false">IF(D$3='APA Assumptions'!$B$36,'APA Assumptions'!$B$34+'APA Assumptions'!$B$35,0)</f>
        <v>0</v>
      </c>
      <c r="E20" s="355" t="n">
        <f aca="false">IF(E$3='APA Assumptions'!$B$36,'APA Assumptions'!$B$34+'APA Assumptions'!$B$35,0)</f>
        <v>0</v>
      </c>
      <c r="F20" s="355" t="n">
        <f aca="false">IF(F$3='APA Assumptions'!$B$36,'APA Assumptions'!$B$34+'APA Assumptions'!$B$35,0)</f>
        <v>0</v>
      </c>
      <c r="G20" s="355" t="n">
        <f aca="false">IF(G$3='APA Assumptions'!$B$36,'APA Assumptions'!$B$34+'APA Assumptions'!$B$35,0)</f>
        <v>0</v>
      </c>
      <c r="H20" s="355" t="n">
        <f aca="false">IF(H$3='APA Assumptions'!$B$36,'APA Assumptions'!$B$34+'APA Assumptions'!$B$35,0)</f>
        <v>0</v>
      </c>
      <c r="I20" s="355" t="n">
        <f aca="false">IF(I$3='APA Assumptions'!$B$36,'APA Assumptions'!$B$34+'APA Assumptions'!$B$35,0)</f>
        <v>0</v>
      </c>
      <c r="J20" s="355" t="n">
        <f aca="false">IF(J$3='APA Assumptions'!$B$36,'APA Assumptions'!$B$34+'APA Assumptions'!$B$35,0)</f>
        <v>0</v>
      </c>
      <c r="K20" s="355" t="n">
        <f aca="false">IF(K$3='APA Assumptions'!$B$36,'APA Assumptions'!$B$34+'APA Assumptions'!$B$35,0)</f>
        <v>0</v>
      </c>
      <c r="L20" s="355" t="n">
        <f aca="false">IF(L$3='APA Assumptions'!$B$36,'APA Assumptions'!$B$34+'APA Assumptions'!$B$35,0)</f>
        <v>0</v>
      </c>
      <c r="M20" s="355" t="n">
        <f aca="false">IF(M$3='APA Assumptions'!$B$36,'APA Assumptions'!$B$34+'APA Assumptions'!$B$35,0)</f>
        <v>0</v>
      </c>
      <c r="N20" s="355" t="n">
        <f aca="false">IF(N$3='APA Assumptions'!$B$36,'APA Assumptions'!$B$34+'APA Assumptions'!$B$35,0)</f>
        <v>0</v>
      </c>
      <c r="O20" s="355" t="n">
        <f aca="false">IF(O$3='APA Assumptions'!$B$36,'APA Assumptions'!$B$34+'APA Assumptions'!$B$35,0)</f>
        <v>0</v>
      </c>
      <c r="P20" s="355" t="n">
        <f aca="false">IF(P$3='APA Assumptions'!$B$36,'APA Assumptions'!$B$34+'APA Assumptions'!$B$35,0)</f>
        <v>0</v>
      </c>
      <c r="Q20" s="355" t="n">
        <f aca="false">IF(Q$3='APA Assumptions'!$B$36,'APA Assumptions'!$B$34+'APA Assumptions'!$B$35,0)</f>
        <v>0</v>
      </c>
      <c r="R20" s="355" t="n">
        <f aca="false">IF(R$3='APA Assumptions'!$B$36,'APA Assumptions'!$B$34+'APA Assumptions'!$B$35,0)</f>
        <v>0</v>
      </c>
      <c r="S20" s="355" t="n">
        <f aca="false">IF(S$3='APA Assumptions'!$B$36,'APA Assumptions'!$B$34+'APA Assumptions'!$B$35,0)</f>
        <v>0</v>
      </c>
      <c r="T20" s="355" t="n">
        <f aca="false">IF(T$3='APA Assumptions'!$B$36,'APA Assumptions'!$B$34+'APA Assumptions'!$B$35,0)</f>
        <v>0</v>
      </c>
      <c r="U20" s="355" t="n">
        <f aca="false">IF(U$3='APA Assumptions'!$B$36,'APA Assumptions'!$B$34+'APA Assumptions'!$B$35,0)</f>
        <v>0</v>
      </c>
      <c r="V20" s="355" t="n">
        <f aca="false">IF(V$3='APA Assumptions'!$B$36,'APA Assumptions'!$B$34+'APA Assumptions'!$B$35,0)</f>
        <v>0</v>
      </c>
      <c r="W20" s="355" t="n">
        <f aca="false">IF(W$3='APA Assumptions'!$B$36,'APA Assumptions'!$B$34+'APA Assumptions'!$B$35,0)</f>
        <v>0</v>
      </c>
      <c r="X20" s="355" t="n">
        <f aca="false">IF(X$3='APA Assumptions'!$B$36,'APA Assumptions'!$B$34+'APA Assumptions'!$B$35,0)</f>
        <v>0</v>
      </c>
      <c r="Y20" s="355" t="n">
        <f aca="false">IF(Y$3='APA Assumptions'!$B$36,'APA Assumptions'!$B$34+'APA Assumptions'!$B$35,0)</f>
        <v>0</v>
      </c>
      <c r="Z20" s="355" t="n">
        <f aca="false">IF(Z$3='APA Assumptions'!$B$36,'APA Assumptions'!$B$34+'APA Assumptions'!$B$35,0)</f>
        <v>0</v>
      </c>
      <c r="AA20" s="355" t="n">
        <f aca="false">IF(AA$3='APA Assumptions'!$B$36,'APA Assumptions'!$B$34+'APA Assumptions'!$B$35,0)</f>
        <v>0</v>
      </c>
      <c r="AB20" s="355" t="n">
        <f aca="false">IF(AB$3='APA Assumptions'!$B$36,'APA Assumptions'!$B$34+'APA Assumptions'!$B$35,0)</f>
        <v>0</v>
      </c>
      <c r="AC20" s="355" t="n">
        <f aca="false">IF(AC$3='APA Assumptions'!$B$36,'APA Assumptions'!$B$34+'APA Assumptions'!$B$35,0)</f>
        <v>0</v>
      </c>
      <c r="AD20" s="355" t="n">
        <f aca="false">IF(AD$3='APA Assumptions'!$B$36,'APA Assumptions'!$B$34+'APA Assumptions'!$B$35,0)</f>
        <v>0</v>
      </c>
      <c r="AE20" s="355" t="n">
        <f aca="false">IF(AE$3='APA Assumptions'!$B$36,'APA Assumptions'!$B$34+'APA Assumptions'!$B$35,0)</f>
        <v>0</v>
      </c>
      <c r="AF20" s="355" t="n">
        <f aca="false">IF(AF$3='APA Assumptions'!$B$36,'APA Assumptions'!$B$34+'APA Assumptions'!$B$35,0)</f>
        <v>0</v>
      </c>
      <c r="AG20" s="355" t="n">
        <f aca="false">IF(AG$3='APA Assumptions'!$B$36,'APA Assumptions'!$B$34+'APA Assumptions'!$B$35,0)</f>
        <v>0</v>
      </c>
      <c r="AH20" s="355" t="n">
        <f aca="false">IF(AH$3='APA Assumptions'!$B$36,'APA Assumptions'!$B$34+'APA Assumptions'!$B$35,0)</f>
        <v>0</v>
      </c>
      <c r="AI20" s="355" t="n">
        <f aca="false">IF(AI$3='APA Assumptions'!$B$36,'APA Assumptions'!$B$34+'APA Assumptions'!$B$35,0)</f>
        <v>0</v>
      </c>
      <c r="AJ20" s="355" t="n">
        <f aca="false">IF(AJ$3='APA Assumptions'!$B$36,'APA Assumptions'!$B$34+'APA Assumptions'!$B$35,0)</f>
        <v>0</v>
      </c>
      <c r="AK20" s="355" t="n">
        <f aca="false">IF(AK$3='APA Assumptions'!$B$36,'APA Assumptions'!$B$34+'APA Assumptions'!$B$35,0)</f>
        <v>0</v>
      </c>
      <c r="AL20" s="355" t="n">
        <f aca="false">IF(AL$3='APA Assumptions'!$B$36,'APA Assumptions'!$B$34+'APA Assumptions'!$B$35,0)</f>
        <v>0</v>
      </c>
      <c r="AM20" s="355" t="n">
        <f aca="false">IF(AM$3='APA Assumptions'!$B$36,'APA Assumptions'!$B$34+'APA Assumptions'!$B$35,0)</f>
        <v>0</v>
      </c>
      <c r="AN20" s="355" t="n">
        <f aca="false">SUM(B20:AM20)</f>
        <v>7500</v>
      </c>
    </row>
    <row r="21" customFormat="false" ht="15" hidden="false" customHeight="true" outlineLevel="0" collapsed="false">
      <c r="A21" s="361" t="s">
        <v>1304</v>
      </c>
      <c r="B21" s="362" t="n">
        <f aca="false">SUM(B17:B20)</f>
        <v>20865</v>
      </c>
      <c r="C21" s="362" t="n">
        <f aca="false">SUM(C17:C20)</f>
        <v>20365</v>
      </c>
      <c r="D21" s="362" t="n">
        <f aca="false">SUM(D17:D20)</f>
        <v>12865</v>
      </c>
      <c r="E21" s="362" t="n">
        <f aca="false">SUM(E17:E20)</f>
        <v>12865</v>
      </c>
      <c r="F21" s="362" t="n">
        <f aca="false">SUM(F17:F20)</f>
        <v>12865</v>
      </c>
      <c r="G21" s="362" t="n">
        <f aca="false">SUM(G17:G20)</f>
        <v>12865</v>
      </c>
      <c r="H21" s="362" t="n">
        <f aca="false">SUM(H17:H20)</f>
        <v>19115</v>
      </c>
      <c r="I21" s="362" t="n">
        <f aca="false">SUM(I17:I20)</f>
        <v>19115</v>
      </c>
      <c r="J21" s="362" t="n">
        <f aca="false">SUM(J17:J20)</f>
        <v>19115</v>
      </c>
      <c r="K21" s="362" t="n">
        <f aca="false">SUM(K17:K20)</f>
        <v>19115</v>
      </c>
      <c r="L21" s="362" t="n">
        <f aca="false">SUM(L17:L20)</f>
        <v>19115</v>
      </c>
      <c r="M21" s="362" t="n">
        <f aca="false">SUM(M17:M20)</f>
        <v>19115</v>
      </c>
      <c r="N21" s="362" t="n">
        <f aca="false">SUM(N17:N20)</f>
        <v>27115</v>
      </c>
      <c r="O21" s="362" t="n">
        <f aca="false">SUM(O17:O20)</f>
        <v>19115</v>
      </c>
      <c r="P21" s="362" t="n">
        <f aca="false">SUM(P17:P20)</f>
        <v>19115</v>
      </c>
      <c r="Q21" s="362" t="n">
        <f aca="false">SUM(Q17:Q20)</f>
        <v>19115</v>
      </c>
      <c r="R21" s="362" t="n">
        <f aca="false">SUM(R17:R20)</f>
        <v>19115</v>
      </c>
      <c r="S21" s="362" t="n">
        <f aca="false">SUM(S17:S20)</f>
        <v>19115</v>
      </c>
      <c r="T21" s="362" t="n">
        <f aca="false">SUM(T17:T20)</f>
        <v>19115</v>
      </c>
      <c r="U21" s="362" t="n">
        <f aca="false">SUM(U17:U20)</f>
        <v>19115</v>
      </c>
      <c r="V21" s="362" t="n">
        <f aca="false">SUM(V17:V20)</f>
        <v>19115</v>
      </c>
      <c r="W21" s="362" t="n">
        <f aca="false">SUM(W17:W20)</f>
        <v>19115</v>
      </c>
      <c r="X21" s="362" t="n">
        <f aca="false">SUM(X17:X20)</f>
        <v>19115</v>
      </c>
      <c r="Y21" s="362" t="n">
        <f aca="false">SUM(Y17:Y20)</f>
        <v>19115</v>
      </c>
      <c r="Z21" s="362" t="n">
        <f aca="false">SUM(Z17:Z20)</f>
        <v>27115</v>
      </c>
      <c r="AA21" s="362" t="n">
        <f aca="false">SUM(AA17:AA20)</f>
        <v>19115</v>
      </c>
      <c r="AB21" s="362" t="n">
        <f aca="false">SUM(AB17:AB20)</f>
        <v>19115</v>
      </c>
      <c r="AC21" s="362" t="n">
        <f aca="false">SUM(AC17:AC20)</f>
        <v>19115</v>
      </c>
      <c r="AD21" s="362" t="n">
        <f aca="false">SUM(AD17:AD20)</f>
        <v>19115</v>
      </c>
      <c r="AE21" s="362" t="n">
        <f aca="false">SUM(AE17:AE20)</f>
        <v>19115</v>
      </c>
      <c r="AF21" s="362" t="n">
        <f aca="false">SUM(AF17:AF20)</f>
        <v>19115</v>
      </c>
      <c r="AG21" s="362" t="n">
        <f aca="false">SUM(AG17:AG20)</f>
        <v>19115</v>
      </c>
      <c r="AH21" s="362" t="n">
        <f aca="false">SUM(AH17:AH20)</f>
        <v>19115</v>
      </c>
      <c r="AI21" s="362" t="n">
        <f aca="false">SUM(AI17:AI20)</f>
        <v>19115</v>
      </c>
      <c r="AJ21" s="362" t="n">
        <f aca="false">SUM(AJ17:AJ20)</f>
        <v>19115</v>
      </c>
      <c r="AK21" s="362" t="n">
        <f aca="false">SUM(AK17:AK20)</f>
        <v>19115</v>
      </c>
      <c r="AL21" s="362" t="n">
        <f aca="false">SUM(AL17:AL20)</f>
        <v>27115</v>
      </c>
      <c r="AM21" s="362" t="n">
        <f aca="false">SUM(AM17:AM20)</f>
        <v>19115</v>
      </c>
      <c r="AN21" s="362" t="n">
        <f aca="false">SUM(B21:AM21)</f>
        <v>728370</v>
      </c>
    </row>
    <row r="23" customFormat="false" ht="15" hidden="false" customHeight="true" outlineLevel="0" collapsed="false">
      <c r="A23" s="363" t="s">
        <v>1305</v>
      </c>
      <c r="B23" s="364" t="n">
        <f aca="false">B14-B21</f>
        <v>4849.28571428571</v>
      </c>
      <c r="C23" s="364" t="n">
        <f aca="false">C14-C21</f>
        <v>18043.2857142857</v>
      </c>
      <c r="D23" s="364" t="n">
        <f aca="false">D14-D21</f>
        <v>25543.2857142857</v>
      </c>
      <c r="E23" s="364" t="n">
        <f aca="false">E14-E21</f>
        <v>25543.2857142857</v>
      </c>
      <c r="F23" s="364" t="n">
        <f aca="false">F14-F21</f>
        <v>25543.2857142857</v>
      </c>
      <c r="G23" s="364" t="n">
        <f aca="false">G14-G21</f>
        <v>20043.2857142857</v>
      </c>
      <c r="H23" s="364" t="n">
        <f aca="false">H14-H21</f>
        <v>61793.2857142857</v>
      </c>
      <c r="I23" s="364" t="n">
        <f aca="false">I14-I21</f>
        <v>36079</v>
      </c>
      <c r="J23" s="364" t="n">
        <f aca="false">J14-J21</f>
        <v>38579</v>
      </c>
      <c r="K23" s="364" t="n">
        <f aca="false">K14-K21</f>
        <v>38579</v>
      </c>
      <c r="L23" s="364" t="n">
        <f aca="false">L14-L21</f>
        <v>38579</v>
      </c>
      <c r="M23" s="364" t="n">
        <f aca="false">M14-M21</f>
        <v>38579</v>
      </c>
      <c r="N23" s="364" t="n">
        <f aca="false">N14-N21</f>
        <v>30579</v>
      </c>
      <c r="O23" s="364" t="n">
        <f aca="false">O14-O21</f>
        <v>38579</v>
      </c>
      <c r="P23" s="364" t="n">
        <f aca="false">P14-P21</f>
        <v>38579</v>
      </c>
      <c r="Q23" s="364" t="n">
        <f aca="false">Q14-Q21</f>
        <v>38579</v>
      </c>
      <c r="R23" s="364" t="n">
        <f aca="false">R14-R21</f>
        <v>35885</v>
      </c>
      <c r="S23" s="364" t="n">
        <f aca="false">S14-S21</f>
        <v>35885</v>
      </c>
      <c r="T23" s="364" t="n">
        <f aca="false">T14-T21</f>
        <v>-14115</v>
      </c>
      <c r="U23" s="364" t="n">
        <f aca="false">U14-U21</f>
        <v>-14115</v>
      </c>
      <c r="V23" s="364" t="n">
        <f aca="false">V14-V21</f>
        <v>-14115</v>
      </c>
      <c r="W23" s="364" t="n">
        <f aca="false">W14-W21</f>
        <v>-11615</v>
      </c>
      <c r="X23" s="364" t="n">
        <f aca="false">X14-X21</f>
        <v>-11615</v>
      </c>
      <c r="Y23" s="364" t="n">
        <f aca="false">Y14-Y21</f>
        <v>-11615</v>
      </c>
      <c r="Z23" s="364" t="n">
        <f aca="false">Z14-Z21</f>
        <v>-19615</v>
      </c>
      <c r="AA23" s="364" t="n">
        <f aca="false">AA14-AA21</f>
        <v>-11615</v>
      </c>
      <c r="AB23" s="364" t="n">
        <f aca="false">AB14-AB21</f>
        <v>-11615</v>
      </c>
      <c r="AC23" s="364" t="n">
        <f aca="false">AC14-AC21</f>
        <v>-11615</v>
      </c>
      <c r="AD23" s="364" t="n">
        <f aca="false">AD14-AD21</f>
        <v>-11615</v>
      </c>
      <c r="AE23" s="364" t="n">
        <f aca="false">AE14-AE21</f>
        <v>-11615</v>
      </c>
      <c r="AF23" s="364" t="n">
        <f aca="false">AF14-AF21</f>
        <v>-11615</v>
      </c>
      <c r="AG23" s="364" t="n">
        <f aca="false">AG14-AG21</f>
        <v>-14115</v>
      </c>
      <c r="AH23" s="364" t="n">
        <f aca="false">AH14-AH21</f>
        <v>-14115</v>
      </c>
      <c r="AI23" s="364" t="n">
        <f aca="false">AI14-AI21</f>
        <v>-14115</v>
      </c>
      <c r="AJ23" s="364" t="n">
        <f aca="false">AJ14-AJ21</f>
        <v>-14115</v>
      </c>
      <c r="AK23" s="364" t="n">
        <f aca="false">AK14-AK21</f>
        <v>-14115</v>
      </c>
      <c r="AL23" s="364" t="n">
        <f aca="false">AL14-AL21</f>
        <v>-22115</v>
      </c>
      <c r="AM23" s="364" t="n">
        <f aca="false">AM14-AM21</f>
        <v>-14115</v>
      </c>
      <c r="AN23" s="364" t="n">
        <f aca="false">AN14-AN21</f>
        <v>316540</v>
      </c>
    </row>
    <row r="24" customFormat="false" ht="15" hidden="false" customHeight="true" outlineLevel="0" collapsed="false">
      <c r="A24" s="125" t="s">
        <v>1306</v>
      </c>
      <c r="B24" s="355" t="n">
        <f aca="false">B23</f>
        <v>4849.28571428571</v>
      </c>
      <c r="C24" s="355" t="n">
        <f aca="false">B24+C23</f>
        <v>22892.5714285714</v>
      </c>
      <c r="D24" s="355" t="n">
        <f aca="false">C24+D23</f>
        <v>48435.8571428571</v>
      </c>
      <c r="E24" s="355" t="n">
        <f aca="false">D24+E23</f>
        <v>73979.1428571428</v>
      </c>
      <c r="F24" s="355" t="n">
        <f aca="false">E24+F23</f>
        <v>99522.4285714286</v>
      </c>
      <c r="G24" s="355" t="n">
        <f aca="false">F24+G23</f>
        <v>119565.714285714</v>
      </c>
      <c r="H24" s="355" t="n">
        <f aca="false">G24+H23</f>
        <v>181359</v>
      </c>
      <c r="I24" s="355" t="n">
        <f aca="false">H24+I23</f>
        <v>217438</v>
      </c>
      <c r="J24" s="355" t="n">
        <f aca="false">I24+J23</f>
        <v>256017</v>
      </c>
      <c r="K24" s="355" t="n">
        <f aca="false">J24+K23</f>
        <v>294596</v>
      </c>
      <c r="L24" s="355" t="n">
        <f aca="false">K24+L23</f>
        <v>333175</v>
      </c>
      <c r="M24" s="355" t="n">
        <f aca="false">L24+M23</f>
        <v>371754</v>
      </c>
      <c r="N24" s="355" t="n">
        <f aca="false">M24+N23</f>
        <v>402333</v>
      </c>
      <c r="O24" s="355" t="n">
        <f aca="false">N24+O23</f>
        <v>440912</v>
      </c>
      <c r="P24" s="355" t="n">
        <f aca="false">O24+P23</f>
        <v>479491</v>
      </c>
      <c r="Q24" s="355" t="n">
        <f aca="false">P24+Q23</f>
        <v>518070</v>
      </c>
      <c r="R24" s="355" t="n">
        <f aca="false">Q24+R23</f>
        <v>553955</v>
      </c>
      <c r="S24" s="355" t="n">
        <f aca="false">R24+S23</f>
        <v>589840</v>
      </c>
      <c r="T24" s="355" t="n">
        <f aca="false">S24+T23</f>
        <v>575725</v>
      </c>
      <c r="U24" s="355" t="n">
        <f aca="false">T24+U23</f>
        <v>561610</v>
      </c>
      <c r="V24" s="355" t="n">
        <f aca="false">U24+V23</f>
        <v>547495</v>
      </c>
      <c r="W24" s="355" t="n">
        <f aca="false">V24+W23</f>
        <v>535880</v>
      </c>
      <c r="X24" s="355" t="n">
        <f aca="false">W24+X23</f>
        <v>524265</v>
      </c>
      <c r="Y24" s="355" t="n">
        <f aca="false">X24+Y23</f>
        <v>512650</v>
      </c>
      <c r="Z24" s="355" t="n">
        <f aca="false">Y24+Z23</f>
        <v>493035</v>
      </c>
      <c r="AA24" s="355" t="n">
        <f aca="false">Z24+AA23</f>
        <v>481420</v>
      </c>
      <c r="AB24" s="355" t="n">
        <f aca="false">AA24+AB23</f>
        <v>469805</v>
      </c>
      <c r="AC24" s="355" t="n">
        <f aca="false">AB24+AC23</f>
        <v>458190</v>
      </c>
      <c r="AD24" s="355" t="n">
        <f aca="false">AC24+AD23</f>
        <v>446575</v>
      </c>
      <c r="AE24" s="355" t="n">
        <f aca="false">AD24+AE23</f>
        <v>434960</v>
      </c>
      <c r="AF24" s="355" t="n">
        <f aca="false">AE24+AF23</f>
        <v>423345</v>
      </c>
      <c r="AG24" s="355" t="n">
        <f aca="false">AF24+AG23</f>
        <v>409230</v>
      </c>
      <c r="AH24" s="355" t="n">
        <f aca="false">AG24+AH23</f>
        <v>395115</v>
      </c>
      <c r="AI24" s="355" t="n">
        <f aca="false">AH24+AI23</f>
        <v>381000</v>
      </c>
      <c r="AJ24" s="355" t="n">
        <f aca="false">AI24+AJ23</f>
        <v>366885</v>
      </c>
      <c r="AK24" s="355" t="n">
        <f aca="false">AJ24+AK23</f>
        <v>352770</v>
      </c>
      <c r="AL24" s="355" t="n">
        <f aca="false">AK24+AL23</f>
        <v>330655</v>
      </c>
      <c r="AM24" s="355" t="n">
        <f aca="false">AL24+AM23</f>
        <v>316540</v>
      </c>
      <c r="AN24" s="355"/>
    </row>
    <row r="27" customFormat="false" ht="15" hidden="false" customHeight="true" outlineLevel="0" collapsed="false">
      <c r="A27" s="23" t="s">
        <v>1307</v>
      </c>
      <c r="B27" s="23"/>
      <c r="C27" s="23"/>
    </row>
    <row r="28" customFormat="false" ht="15" hidden="false" customHeight="true" outlineLevel="0" collapsed="false">
      <c r="A28" s="177" t="s">
        <v>1299</v>
      </c>
      <c r="B28" s="355" t="n">
        <f aca="false">AN14</f>
        <v>1044910</v>
      </c>
    </row>
    <row r="29" customFormat="false" ht="15" hidden="false" customHeight="true" outlineLevel="0" collapsed="false">
      <c r="A29" s="177" t="s">
        <v>1304</v>
      </c>
      <c r="B29" s="355" t="n">
        <f aca="false">AN21</f>
        <v>728370</v>
      </c>
    </row>
    <row r="30" customFormat="false" ht="15" hidden="false" customHeight="true" outlineLevel="0" collapsed="false">
      <c r="A30" s="101" t="s">
        <v>1308</v>
      </c>
      <c r="B30" s="365" t="n">
        <f aca="false">B28-B29</f>
        <v>316540</v>
      </c>
    </row>
    <row r="31" customFormat="false" ht="15" hidden="false" customHeight="true" outlineLevel="0" collapsed="false">
      <c r="A31" s="101" t="s">
        <v>1309</v>
      </c>
      <c r="B31" s="365" t="n">
        <f aca="false">B30*0.5</f>
        <v>158270</v>
      </c>
    </row>
    <row r="32" customFormat="false" ht="15" hidden="false" customHeight="true" outlineLevel="0" collapsed="false">
      <c r="A32" s="177" t="s">
        <v>1310</v>
      </c>
      <c r="B32" s="355" t="n">
        <f aca="false">B30*0.5</f>
        <v>158270</v>
      </c>
    </row>
    <row r="33" customFormat="false" ht="15" hidden="false" customHeight="true" outlineLevel="0" collapsed="false">
      <c r="A33" s="177" t="s">
        <v>1311</v>
      </c>
      <c r="B33" s="355" t="n">
        <f aca="false">AN17+B32</f>
        <v>833270</v>
      </c>
    </row>
    <row r="35" customFormat="false" ht="15" hidden="false" customHeight="true" outlineLevel="0" collapsed="false">
      <c r="A35" s="72" t="s">
        <v>1312</v>
      </c>
    </row>
    <row r="36" customFormat="false" ht="15" hidden="false" customHeight="true" outlineLevel="0" collapsed="false">
      <c r="A36" s="72" t="s">
        <v>1313</v>
      </c>
    </row>
    <row r="37" customFormat="false" ht="15" hidden="false" customHeight="true" outlineLevel="0" collapsed="false">
      <c r="A37" s="72" t="s">
        <v>1314</v>
      </c>
    </row>
    <row r="38" customFormat="false" ht="15" hidden="false" customHeight="true" outlineLevel="0" collapsed="false">
      <c r="A38" s="72" t="s">
        <v>1315</v>
      </c>
    </row>
    <row r="39" customFormat="false" ht="15" hidden="false" customHeight="true" outlineLevel="0" collapsed="false">
      <c r="A39" s="72" t="s">
        <v>1316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6" t="s">
        <v>1317</v>
      </c>
      <c r="N1" s="1" t="s">
        <v>1318</v>
      </c>
      <c r="O1" s="367" t="n">
        <v>1</v>
      </c>
    </row>
    <row r="2" customFormat="false" ht="13.5" hidden="false" customHeight="true" outlineLevel="0" collapsed="false">
      <c r="A2" s="368" t="s">
        <v>1319</v>
      </c>
      <c r="N2" s="1" t="s">
        <v>1320</v>
      </c>
    </row>
    <row r="3" customFormat="false" ht="57" hidden="false" customHeight="true" outlineLevel="0" collapsed="false">
      <c r="A3" s="176" t="s">
        <v>1321</v>
      </c>
      <c r="B3" s="176" t="s">
        <v>453</v>
      </c>
      <c r="C3" s="176" t="s">
        <v>1322</v>
      </c>
      <c r="D3" s="176" t="s">
        <v>1323</v>
      </c>
      <c r="E3" s="176" t="s">
        <v>1324</v>
      </c>
      <c r="F3" s="176" t="s">
        <v>1325</v>
      </c>
      <c r="G3" s="176" t="s">
        <v>1326</v>
      </c>
      <c r="H3" s="176" t="s">
        <v>608</v>
      </c>
      <c r="I3" s="176" t="s">
        <v>1327</v>
      </c>
      <c r="J3" s="176" t="s">
        <v>1328</v>
      </c>
      <c r="K3" s="176" t="s">
        <v>1329</v>
      </c>
      <c r="L3" s="176" t="s">
        <v>1330</v>
      </c>
    </row>
    <row r="4" customFormat="false" ht="13.5" hidden="false" customHeight="true" outlineLevel="0" collapsed="false">
      <c r="A4" s="215" t="n">
        <v>13</v>
      </c>
      <c r="B4" s="213" t="s">
        <v>7</v>
      </c>
      <c r="C4" s="213" t="s">
        <v>1331</v>
      </c>
      <c r="D4" s="215" t="n">
        <v>0</v>
      </c>
      <c r="E4" s="215" t="n">
        <v>1</v>
      </c>
      <c r="F4" s="369" t="n">
        <v>150000</v>
      </c>
      <c r="G4" s="215" t="n">
        <v>9</v>
      </c>
      <c r="H4" s="213" t="s">
        <v>1332</v>
      </c>
      <c r="I4" s="215" t="n">
        <f aca="false">IF(OR($D4=1,$E4=1),SUM(INDEX(Model!$J$13:$DE$56,$A4-12,0))+SUM(INDEX(Model!$J$60:$DE$103,$A4-12,0)),0)</f>
        <v>5373.77120754728</v>
      </c>
      <c r="J4" s="369" t="n">
        <v>142810</v>
      </c>
      <c r="K4" s="215" t="n">
        <f aca="false">IF(OR($D4=1,$E4=1),J4+IF(AND($D4=1,$O$1=1),0,I4),0)</f>
        <v>148183.771207547</v>
      </c>
      <c r="L4" s="370" t="n">
        <v>0.5</v>
      </c>
    </row>
    <row r="5" customFormat="false" ht="13.5" hidden="false" customHeight="true" outlineLevel="0" collapsed="false">
      <c r="A5" s="371" t="n">
        <v>14</v>
      </c>
      <c r="B5" s="372" t="s">
        <v>8</v>
      </c>
      <c r="C5" s="372" t="s">
        <v>1331</v>
      </c>
      <c r="D5" s="371" t="n">
        <v>0</v>
      </c>
      <c r="E5" s="371" t="n">
        <v>1</v>
      </c>
      <c r="F5" s="373" t="n">
        <v>358268</v>
      </c>
      <c r="G5" s="371" t="n">
        <v>19</v>
      </c>
      <c r="H5" s="372" t="s">
        <v>1332</v>
      </c>
      <c r="I5" s="371" t="n">
        <f aca="false">IF(OR($D5=1,$E5=1),SUM(INDEX(Model!$J$13:$DE$56,$A5-12,0))+SUM(INDEX(Model!$J$60:$DE$103,$A5-12,0)),0)</f>
        <v>-332620.069999998</v>
      </c>
      <c r="J5" s="373" t="n">
        <v>133665</v>
      </c>
      <c r="K5" s="371" t="n">
        <f aca="false">IF(OR($D5=1,$E5=1),J5+IF(AND($D5=1,$O$1=1),0,I5),0)</f>
        <v>-198955.069999998</v>
      </c>
      <c r="L5" s="374" t="n">
        <v>0.5</v>
      </c>
    </row>
    <row r="6" customFormat="false" ht="13.5" hidden="false" customHeight="true" outlineLevel="0" collapsed="false">
      <c r="A6" s="215" t="n">
        <v>15</v>
      </c>
      <c r="B6" s="213" t="s">
        <v>9</v>
      </c>
      <c r="C6" s="213" t="s">
        <v>1333</v>
      </c>
      <c r="D6" s="215" t="n">
        <v>1</v>
      </c>
      <c r="E6" s="215" t="n">
        <v>0</v>
      </c>
      <c r="F6" s="369" t="n">
        <v>0</v>
      </c>
      <c r="G6" s="375" t="n">
        <f aca="false">Retention!$F$4</f>
        <v>17</v>
      </c>
      <c r="H6" s="1" t="s">
        <v>1334</v>
      </c>
      <c r="I6" s="215" t="n">
        <f aca="false">IF(OR($D6=1,$E6=1),SUM(INDEX(Model!$J$13:$DE$56,$A6-12,0))+SUM(INDEX(Model!$J$60:$DE$103,$A6-12,0)),0)</f>
        <v>151039.86</v>
      </c>
      <c r="J6" s="369" t="n">
        <f aca="false">92186-100503</f>
        <v>-8317</v>
      </c>
      <c r="K6" s="215" t="n">
        <f aca="false">IF(OR($D6=1,$E6=1),J6+IF(AND($D6=1,$O$1=1),0,I6),0)</f>
        <v>-8317</v>
      </c>
      <c r="L6" s="370" t="n">
        <v>0</v>
      </c>
    </row>
    <row r="7" customFormat="false" ht="13.5" hidden="false" customHeight="true" outlineLevel="0" collapsed="false">
      <c r="A7" s="371" t="n">
        <v>16</v>
      </c>
      <c r="B7" s="372" t="s">
        <v>10</v>
      </c>
      <c r="C7" s="372" t="s">
        <v>1333</v>
      </c>
      <c r="D7" s="371" t="n">
        <v>1</v>
      </c>
      <c r="E7" s="371" t="n">
        <v>0</v>
      </c>
      <c r="F7" s="373" t="n">
        <v>0</v>
      </c>
      <c r="G7" s="376" t="n">
        <f aca="false">Retention!$F$5</f>
        <v>19</v>
      </c>
      <c r="H7" s="1" t="s">
        <v>1334</v>
      </c>
      <c r="I7" s="371" t="n">
        <f aca="false">IF(OR($D7=1,$E7=1),SUM(INDEX(Model!$J$13:$DE$56,$A7-12,0))+SUM(INDEX(Model!$J$60:$DE$103,$A7-12,0)),0)</f>
        <v>52497.3800000008</v>
      </c>
      <c r="J7" s="373" t="n">
        <f aca="false">107920-116123</f>
        <v>-8203</v>
      </c>
      <c r="K7" s="371" t="n">
        <f aca="false">IF(OR($D7=1,$E7=1),J7+IF(AND($D7=1,$O$1=1),0,I7),0)</f>
        <v>-8203</v>
      </c>
      <c r="L7" s="374" t="n">
        <v>0</v>
      </c>
    </row>
    <row r="8" customFormat="false" ht="13.5" hidden="false" customHeight="true" outlineLevel="0" collapsed="false">
      <c r="A8" s="215" t="n">
        <v>17</v>
      </c>
      <c r="B8" s="213" t="s">
        <v>11</v>
      </c>
      <c r="C8" s="213" t="s">
        <v>1331</v>
      </c>
      <c r="D8" s="215" t="n">
        <v>0</v>
      </c>
      <c r="E8" s="215" t="n">
        <v>1</v>
      </c>
      <c r="F8" s="369" t="n">
        <v>0</v>
      </c>
      <c r="G8" s="375" t="n">
        <f aca="false">Retention!$F$6</f>
        <v>15</v>
      </c>
      <c r="H8" s="213" t="s">
        <v>1332</v>
      </c>
      <c r="I8" s="215" t="n">
        <f aca="false">IF(OR($D8=1,$E8=1),SUM(INDEX(Model!$J$13:$DE$56,$A8-12,0))+SUM(INDEX(Model!$J$60:$DE$103,$A8-12,0)),0)</f>
        <v>0</v>
      </c>
      <c r="J8" s="369" t="n">
        <v>3381</v>
      </c>
      <c r="K8" s="215" t="n">
        <f aca="false">IF(OR($D8=1,$E8=1),J8+IF(AND($D8=1,$O$1=1),0,I8),0)</f>
        <v>3381</v>
      </c>
      <c r="L8" s="370" t="n">
        <v>0.5</v>
      </c>
    </row>
    <row r="9" customFormat="false" ht="13.5" hidden="false" customHeight="true" outlineLevel="0" collapsed="false">
      <c r="A9" s="371" t="n">
        <v>18</v>
      </c>
      <c r="B9" s="372" t="s">
        <v>12</v>
      </c>
      <c r="C9" s="372" t="s">
        <v>1333</v>
      </c>
      <c r="D9" s="371" t="n">
        <v>1</v>
      </c>
      <c r="E9" s="371" t="n">
        <v>0</v>
      </c>
      <c r="F9" s="373" t="n">
        <v>0</v>
      </c>
      <c r="G9" s="376" t="n">
        <f aca="false">Retention!$F$7</f>
        <v>36</v>
      </c>
      <c r="H9" s="1" t="s">
        <v>1334</v>
      </c>
      <c r="I9" s="371" t="n">
        <f aca="false">IF(OR($D9=1,$E9=1),SUM(INDEX(Model!$J$13:$DE$56,$A9-12,0))+SUM(INDEX(Model!$J$60:$DE$103,$A9-12,0)),0)</f>
        <v>0</v>
      </c>
      <c r="J9" s="373" t="n">
        <f aca="false">514466.85-525378</f>
        <v>-10911.15</v>
      </c>
      <c r="K9" s="371" t="n">
        <f aca="false">IF(OR($D9=1,$E9=1),J9+IF(AND($D9=1,$O$1=1),0,I9),0)</f>
        <v>-10911.15</v>
      </c>
      <c r="L9" s="374" t="n">
        <v>0</v>
      </c>
    </row>
    <row r="10" customFormat="false" ht="13.5" hidden="false" customHeight="true" outlineLevel="0" collapsed="false">
      <c r="A10" s="215" t="n">
        <v>19</v>
      </c>
      <c r="B10" s="213" t="s">
        <v>13</v>
      </c>
      <c r="C10" s="213" t="s">
        <v>1333</v>
      </c>
      <c r="D10" s="215" t="n">
        <v>1</v>
      </c>
      <c r="E10" s="215" t="n">
        <v>0</v>
      </c>
      <c r="F10" s="369" t="n">
        <v>0</v>
      </c>
      <c r="G10" s="375" t="n">
        <f aca="false">Retention!$F$8</f>
        <v>24</v>
      </c>
      <c r="H10" s="1" t="s">
        <v>1334</v>
      </c>
      <c r="I10" s="215" t="n">
        <f aca="false">IF(OR($D10=1,$E10=1),SUM(INDEX(Model!$J$13:$DE$56,$A10-12,0))+SUM(INDEX(Model!$J$60:$DE$103,$A10-12,0)),0)</f>
        <v>0</v>
      </c>
      <c r="J10" s="369" t="n">
        <f aca="false">96942.25-96992.25</f>
        <v>-50</v>
      </c>
      <c r="K10" s="215" t="n">
        <f aca="false">IF(OR($D10=1,$E10=1),J10+IF(AND($D10=1,$O$1=1),0,I10),0)</f>
        <v>-50</v>
      </c>
      <c r="L10" s="370" t="n">
        <v>0</v>
      </c>
    </row>
    <row r="11" customFormat="false" ht="13.5" hidden="false" customHeight="true" outlineLevel="0" collapsed="false">
      <c r="A11" s="371" t="n">
        <v>20</v>
      </c>
      <c r="B11" s="372" t="s">
        <v>14</v>
      </c>
      <c r="C11" s="372" t="s">
        <v>1333</v>
      </c>
      <c r="D11" s="371" t="n">
        <v>1</v>
      </c>
      <c r="E11" s="371" t="n">
        <v>0</v>
      </c>
      <c r="F11" s="373" t="n">
        <v>0</v>
      </c>
      <c r="G11" s="376" t="n">
        <f aca="false">Retention!$F$9</f>
        <v>23</v>
      </c>
      <c r="H11" s="1" t="s">
        <v>1334</v>
      </c>
      <c r="I11" s="371" t="n">
        <f aca="false">IF(OR($D11=1,$E11=1),SUM(INDEX(Model!$J$13:$DE$56,$A11-12,0))+SUM(INDEX(Model!$J$60:$DE$103,$A11-12,0)),0)</f>
        <v>0</v>
      </c>
      <c r="J11" s="373" t="n">
        <f aca="false">104889.4-107911</f>
        <v>-3021.60000000001</v>
      </c>
      <c r="K11" s="371" t="n">
        <f aca="false">IF(OR($D11=1,$E11=1),J11+IF(AND($D11=1,$O$1=1),0,I11),0)</f>
        <v>-3021.60000000001</v>
      </c>
      <c r="L11" s="374" t="n">
        <v>0</v>
      </c>
    </row>
    <row r="12" customFormat="false" ht="13.5" hidden="false" customHeight="true" outlineLevel="0" collapsed="false">
      <c r="A12" s="215" t="n">
        <v>21</v>
      </c>
      <c r="B12" s="213" t="s">
        <v>15</v>
      </c>
      <c r="C12" s="213" t="s">
        <v>1333</v>
      </c>
      <c r="D12" s="215" t="n">
        <v>1</v>
      </c>
      <c r="E12" s="215" t="n">
        <v>0</v>
      </c>
      <c r="F12" s="369" t="n">
        <v>0</v>
      </c>
      <c r="G12" s="375" t="n">
        <f aca="false">Retention!$F$10</f>
        <v>32</v>
      </c>
      <c r="H12" s="1" t="s">
        <v>1334</v>
      </c>
      <c r="I12" s="215" t="n">
        <f aca="false">IF(OR($D12=1,$E12=1),SUM(INDEX(Model!$J$13:$DE$56,$A12-12,0))+SUM(INDEX(Model!$J$60:$DE$103,$A12-12,0)),0)</f>
        <v>0</v>
      </c>
      <c r="J12" s="369" t="n">
        <v>0</v>
      </c>
      <c r="K12" s="215" t="n">
        <f aca="false">IF(OR($D12=1,$E12=1),J12+IF(AND($D12=1,$O$1=1),0,I12),0)</f>
        <v>0</v>
      </c>
      <c r="L12" s="370" t="n">
        <v>0</v>
      </c>
    </row>
    <row r="13" customFormat="false" ht="13.5" hidden="false" customHeight="true" outlineLevel="0" collapsed="false">
      <c r="A13" s="371" t="n">
        <v>22</v>
      </c>
      <c r="B13" s="372" t="s">
        <v>16</v>
      </c>
      <c r="C13" s="372" t="s">
        <v>1331</v>
      </c>
      <c r="D13" s="371" t="n">
        <v>0</v>
      </c>
      <c r="E13" s="371" t="n">
        <v>1</v>
      </c>
      <c r="F13" s="373" t="n">
        <v>0</v>
      </c>
      <c r="G13" s="376" t="n">
        <f aca="false">Retention!$F$11</f>
        <v>29</v>
      </c>
      <c r="H13" s="372" t="s">
        <v>1332</v>
      </c>
      <c r="I13" s="371" t="n">
        <f aca="false">IF(OR($D13=1,$E13=1),SUM(INDEX(Model!$J$13:$DE$56,$A13-12,0))+SUM(INDEX(Model!$J$60:$DE$103,$A13-12,0)),0)</f>
        <v>0</v>
      </c>
      <c r="J13" s="373" t="n">
        <v>0</v>
      </c>
      <c r="K13" s="371" t="n">
        <f aca="false">IF(OR($D13=1,$E13=1),J13+IF(AND($D13=1,$O$1=1),0,I13),0)</f>
        <v>0</v>
      </c>
      <c r="L13" s="374" t="n">
        <v>0.5</v>
      </c>
    </row>
    <row r="14" customFormat="false" ht="13.5" hidden="false" customHeight="true" outlineLevel="0" collapsed="false">
      <c r="A14" s="215" t="n">
        <v>23</v>
      </c>
      <c r="B14" s="213" t="s">
        <v>17</v>
      </c>
      <c r="C14" s="213" t="s">
        <v>1331</v>
      </c>
      <c r="D14" s="215" t="n">
        <v>0</v>
      </c>
      <c r="E14" s="215" t="n">
        <v>1</v>
      </c>
      <c r="F14" s="369" t="n">
        <v>0</v>
      </c>
      <c r="G14" s="375" t="n">
        <f aca="false">Retention!$F$12</f>
        <v>28</v>
      </c>
      <c r="H14" s="213" t="s">
        <v>1332</v>
      </c>
      <c r="I14" s="215" t="n">
        <f aca="false">IF(OR($D14=1,$E14=1),SUM(INDEX(Model!$J$13:$DE$56,$A14-12,0))+SUM(INDEX(Model!$J$60:$DE$103,$A14-12,0)),0)</f>
        <v>0</v>
      </c>
      <c r="J14" s="369" t="n">
        <v>0</v>
      </c>
      <c r="K14" s="215" t="n">
        <f aca="false">IF(OR($D14=1,$E14=1),J14+IF(AND($D14=1,$O$1=1),0,I14),0)</f>
        <v>0</v>
      </c>
      <c r="L14" s="370" t="n">
        <v>0.5</v>
      </c>
    </row>
    <row r="15" customFormat="false" ht="13.5" hidden="false" customHeight="true" outlineLevel="0" collapsed="false">
      <c r="A15" s="371" t="n">
        <v>24</v>
      </c>
      <c r="B15" s="372" t="s">
        <v>18</v>
      </c>
      <c r="C15" s="372" t="s">
        <v>1333</v>
      </c>
      <c r="D15" s="371" t="n">
        <v>1</v>
      </c>
      <c r="E15" s="371" t="n">
        <v>0</v>
      </c>
      <c r="F15" s="373" t="n">
        <v>0</v>
      </c>
      <c r="G15" s="376" t="n">
        <f aca="false">Retention!$F$13</f>
        <v>42</v>
      </c>
      <c r="H15" s="1" t="s">
        <v>1334</v>
      </c>
      <c r="I15" s="371" t="n">
        <f aca="false">IF(OR($D15=1,$E15=1),SUM(INDEX(Model!$J$13:$DE$56,$A15-12,0))+SUM(INDEX(Model!$J$60:$DE$103,$A15-12,0)),0)</f>
        <v>0</v>
      </c>
      <c r="J15" s="373" t="n">
        <v>0</v>
      </c>
      <c r="K15" s="371" t="n">
        <f aca="false">IF(OR($D15=1,$E15=1),J15+IF(AND($D15=1,$O$1=1),0,I15),0)</f>
        <v>0</v>
      </c>
      <c r="L15" s="374" t="n">
        <v>0</v>
      </c>
    </row>
    <row r="16" customFormat="false" ht="13.5" hidden="false" customHeight="true" outlineLevel="0" collapsed="false">
      <c r="A16" s="215" t="n">
        <v>25</v>
      </c>
      <c r="B16" s="213" t="s">
        <v>19</v>
      </c>
      <c r="C16" s="213" t="s">
        <v>1333</v>
      </c>
      <c r="D16" s="215" t="n">
        <v>1</v>
      </c>
      <c r="E16" s="215" t="n">
        <v>0</v>
      </c>
      <c r="F16" s="369" t="n">
        <v>0</v>
      </c>
      <c r="G16" s="375" t="n">
        <f aca="false">Retention!$F$14</f>
        <v>56</v>
      </c>
      <c r="H16" s="1" t="s">
        <v>1334</v>
      </c>
      <c r="I16" s="215" t="n">
        <f aca="false">IF(OR($D16=1,$E16=1),SUM(INDEX(Model!$J$13:$DE$56,$A16-12,0))+SUM(INDEX(Model!$J$60:$DE$103,$A16-12,0)),0)</f>
        <v>0</v>
      </c>
      <c r="J16" s="369" t="n">
        <v>0</v>
      </c>
      <c r="K16" s="215" t="n">
        <f aca="false">IF(OR($D16=1,$E16=1),J16+IF(AND($D16=1,$O$1=1),0,I16),0)</f>
        <v>0</v>
      </c>
      <c r="L16" s="370" t="n">
        <v>0</v>
      </c>
    </row>
    <row r="17" customFormat="false" ht="13.5" hidden="false" customHeight="true" outlineLevel="0" collapsed="false">
      <c r="A17" s="371" t="n">
        <v>26</v>
      </c>
      <c r="B17" s="372" t="s">
        <v>20</v>
      </c>
      <c r="C17" s="372" t="s">
        <v>1333</v>
      </c>
      <c r="D17" s="371" t="n">
        <v>1</v>
      </c>
      <c r="E17" s="371" t="n">
        <v>0</v>
      </c>
      <c r="F17" s="373" t="n">
        <v>0</v>
      </c>
      <c r="G17" s="376" t="n">
        <f aca="false">Retention!$F$15</f>
        <v>32</v>
      </c>
      <c r="H17" s="1" t="s">
        <v>1334</v>
      </c>
      <c r="I17" s="371" t="n">
        <f aca="false">IF(OR($D17=1,$E17=1),SUM(INDEX(Model!$J$13:$DE$56,$A17-12,0))+SUM(INDEX(Model!$J$60:$DE$103,$A17-12,0)),0)</f>
        <v>0</v>
      </c>
      <c r="J17" s="373" t="n">
        <v>0</v>
      </c>
      <c r="K17" s="371" t="n">
        <f aca="false">IF(OR($D17=1,$E17=1),J17+IF(AND($D17=1,$O$1=1),0,I17),0)</f>
        <v>0</v>
      </c>
      <c r="L17" s="374" t="n">
        <v>0</v>
      </c>
    </row>
    <row r="18" customFormat="false" ht="13.5" hidden="false" customHeight="true" outlineLevel="0" collapsed="false">
      <c r="A18" s="215" t="n">
        <v>27</v>
      </c>
      <c r="B18" s="213" t="s">
        <v>21</v>
      </c>
      <c r="C18" s="213" t="s">
        <v>1333</v>
      </c>
      <c r="D18" s="215" t="n">
        <v>1</v>
      </c>
      <c r="E18" s="215" t="n">
        <v>0</v>
      </c>
      <c r="F18" s="369" t="n">
        <v>0</v>
      </c>
      <c r="G18" s="375" t="n">
        <f aca="false">Retention!$F$16</f>
        <v>33</v>
      </c>
      <c r="H18" s="1" t="s">
        <v>1334</v>
      </c>
      <c r="I18" s="215" t="n">
        <f aca="false">IF(OR($D18=1,$E18=1),SUM(INDEX(Model!$J$13:$DE$56,$A18-12,0))+SUM(INDEX(Model!$J$60:$DE$103,$A18-12,0)),0)</f>
        <v>0</v>
      </c>
      <c r="J18" s="369" t="n">
        <v>0</v>
      </c>
      <c r="K18" s="215" t="n">
        <f aca="false">IF(OR($D18=1,$E18=1),J18+IF(AND($D18=1,$O$1=1),0,I18),0)</f>
        <v>0</v>
      </c>
      <c r="L18" s="370" t="n">
        <v>0</v>
      </c>
    </row>
    <row r="19" customFormat="false" ht="13.5" hidden="false" customHeight="true" outlineLevel="0" collapsed="false">
      <c r="A19" s="371" t="n">
        <v>28</v>
      </c>
      <c r="B19" s="372" t="s">
        <v>22</v>
      </c>
      <c r="C19" s="372" t="s">
        <v>1333</v>
      </c>
      <c r="D19" s="371" t="n">
        <v>1</v>
      </c>
      <c r="E19" s="371" t="n">
        <v>0</v>
      </c>
      <c r="F19" s="373" t="n">
        <v>0</v>
      </c>
      <c r="G19" s="376" t="n">
        <f aca="false">Retention!$F$17</f>
        <v>34</v>
      </c>
      <c r="H19" s="1" t="s">
        <v>1334</v>
      </c>
      <c r="I19" s="371" t="n">
        <f aca="false">IF(OR($D19=1,$E19=1),SUM(INDEX(Model!$J$13:$DE$56,$A19-12,0))+SUM(INDEX(Model!$J$60:$DE$103,$A19-12,0)),0)</f>
        <v>0</v>
      </c>
      <c r="J19" s="373" t="n">
        <v>0</v>
      </c>
      <c r="K19" s="371" t="n">
        <f aca="false">IF(OR($D19=1,$E19=1),J19+IF(AND($D19=1,$O$1=1),0,I19),0)</f>
        <v>0</v>
      </c>
      <c r="L19" s="374" t="n">
        <v>0</v>
      </c>
    </row>
    <row r="20" customFormat="false" ht="13.5" hidden="false" customHeight="true" outlineLevel="0" collapsed="false">
      <c r="A20" s="215" t="n">
        <v>29</v>
      </c>
      <c r="B20" s="213" t="s">
        <v>23</v>
      </c>
      <c r="C20" s="213" t="s">
        <v>1331</v>
      </c>
      <c r="D20" s="215" t="n">
        <v>0</v>
      </c>
      <c r="E20" s="215" t="n">
        <v>1</v>
      </c>
      <c r="F20" s="369" t="n">
        <v>0</v>
      </c>
      <c r="G20" s="375" t="n">
        <f aca="false">Retention!$F$18</f>
        <v>43</v>
      </c>
      <c r="H20" s="213" t="s">
        <v>1332</v>
      </c>
      <c r="I20" s="215" t="n">
        <f aca="false">IF(OR($D20=1,$E20=1),SUM(INDEX(Model!$J$13:$DE$56,$A20-12,0))+SUM(INDEX(Model!$J$60:$DE$103,$A20-12,0)),0)</f>
        <v>0</v>
      </c>
      <c r="J20" s="369" t="n">
        <v>0</v>
      </c>
      <c r="K20" s="215" t="n">
        <f aca="false">IF(OR($D20=1,$E20=1),J20+IF(AND($D20=1,$O$1=1),0,I20),0)</f>
        <v>0</v>
      </c>
      <c r="L20" s="370" t="n">
        <v>0.5</v>
      </c>
    </row>
    <row r="21" customFormat="false" ht="13.5" hidden="false" customHeight="true" outlineLevel="0" collapsed="false">
      <c r="A21" s="371" t="n">
        <v>30</v>
      </c>
      <c r="B21" s="372" t="s">
        <v>24</v>
      </c>
      <c r="C21" s="372" t="s">
        <v>1331</v>
      </c>
      <c r="D21" s="371" t="n">
        <v>0</v>
      </c>
      <c r="E21" s="371" t="n">
        <v>1</v>
      </c>
      <c r="F21" s="373" t="n">
        <v>0</v>
      </c>
      <c r="G21" s="376" t="n">
        <f aca="false">Retention!$F$19</f>
        <v>28</v>
      </c>
      <c r="H21" s="372" t="s">
        <v>1332</v>
      </c>
      <c r="I21" s="371" t="n">
        <f aca="false">IF(OR($D21=1,$E21=1),SUM(INDEX(Model!$J$13:$DE$56,$A21-12,0))+SUM(INDEX(Model!$J$60:$DE$103,$A21-12,0)),0)</f>
        <v>0</v>
      </c>
      <c r="J21" s="373" t="n">
        <v>0</v>
      </c>
      <c r="K21" s="371" t="n">
        <f aca="false">IF(OR($D21=1,$E21=1),J21+IF(AND($D21=1,$O$1=1),0,I21),0)</f>
        <v>0</v>
      </c>
      <c r="L21" s="374" t="n">
        <v>0.5</v>
      </c>
    </row>
    <row r="22" customFormat="false" ht="13.5" hidden="false" customHeight="true" outlineLevel="0" collapsed="false">
      <c r="A22" s="215" t="n">
        <v>31</v>
      </c>
      <c r="B22" s="213" t="s">
        <v>25</v>
      </c>
      <c r="C22" s="213" t="s">
        <v>1333</v>
      </c>
      <c r="D22" s="215" t="n">
        <v>1</v>
      </c>
      <c r="E22" s="215" t="n">
        <v>0</v>
      </c>
      <c r="F22" s="369" t="n">
        <v>0</v>
      </c>
      <c r="G22" s="375" t="n">
        <f aca="false">Retention!$F$20</f>
        <v>49</v>
      </c>
      <c r="H22" s="213" t="s">
        <v>1334</v>
      </c>
      <c r="I22" s="215" t="n">
        <f aca="false">IF(OR($D22=1,$E22=1),SUM(INDEX(Model!$J$13:$DE$56,$A22-12,0))+SUM(INDEX(Model!$J$60:$DE$103,$A22-12,0)),0)</f>
        <v>0</v>
      </c>
      <c r="J22" s="369" t="n">
        <v>0</v>
      </c>
      <c r="K22" s="215" t="n">
        <f aca="false">IF(OR($D22=1,$E22=1),J22+IF(AND($D22=1,$O$1=1),0,I22),0)</f>
        <v>0</v>
      </c>
      <c r="L22" s="370" t="n">
        <v>0</v>
      </c>
    </row>
    <row r="23" customFormat="false" ht="13.5" hidden="false" customHeight="true" outlineLevel="0" collapsed="false">
      <c r="A23" s="371" t="n">
        <v>32</v>
      </c>
      <c r="B23" s="372" t="s">
        <v>26</v>
      </c>
      <c r="C23" s="372" t="s">
        <v>1333</v>
      </c>
      <c r="D23" s="371" t="n">
        <v>1</v>
      </c>
      <c r="E23" s="371" t="n">
        <v>0</v>
      </c>
      <c r="F23" s="373" t="n">
        <v>0</v>
      </c>
      <c r="G23" s="376" t="n">
        <f aca="false">Retention!$F$21</f>
        <v>52</v>
      </c>
      <c r="H23" s="372" t="s">
        <v>1334</v>
      </c>
      <c r="I23" s="371" t="n">
        <f aca="false">IF(OR($D23=1,$E23=1),SUM(INDEX(Model!$J$13:$DE$56,$A23-12,0))+SUM(INDEX(Model!$J$60:$DE$103,$A23-12,0)),0)</f>
        <v>0</v>
      </c>
      <c r="J23" s="373" t="n">
        <v>0</v>
      </c>
      <c r="K23" s="371" t="n">
        <f aca="false">IF(OR($D23=1,$E23=1),J23+IF(AND($D23=1,$O$1=1),0,I23),0)</f>
        <v>0</v>
      </c>
      <c r="L23" s="374" t="n">
        <v>0</v>
      </c>
    </row>
    <row r="24" customFormat="false" ht="13.5" hidden="false" customHeight="true" outlineLevel="0" collapsed="false">
      <c r="A24" s="215" t="n">
        <v>33</v>
      </c>
      <c r="B24" s="213" t="s">
        <v>27</v>
      </c>
      <c r="C24" s="213" t="s">
        <v>1333</v>
      </c>
      <c r="D24" s="215" t="n">
        <v>1</v>
      </c>
      <c r="E24" s="215" t="n">
        <v>0</v>
      </c>
      <c r="F24" s="369" t="n">
        <v>0</v>
      </c>
      <c r="G24" s="375" t="n">
        <f aca="false">Retention!$F$22</f>
        <v>55</v>
      </c>
      <c r="H24" s="213" t="s">
        <v>1334</v>
      </c>
      <c r="I24" s="215" t="n">
        <f aca="false">IF(OR($D24=1,$E24=1),SUM(INDEX(Model!$J$13:$DE$56,$A24-12,0))+SUM(INDEX(Model!$J$60:$DE$103,$A24-12,0)),0)</f>
        <v>0</v>
      </c>
      <c r="J24" s="369" t="n">
        <v>0</v>
      </c>
      <c r="K24" s="215" t="n">
        <f aca="false">IF(OR($D24=1,$E24=1),J24+IF(AND($D24=1,$O$1=1),0,I24),0)</f>
        <v>0</v>
      </c>
      <c r="L24" s="370" t="n">
        <v>0</v>
      </c>
    </row>
    <row r="25" customFormat="false" ht="13.5" hidden="false" customHeight="true" outlineLevel="0" collapsed="false">
      <c r="A25" s="371" t="n">
        <v>34</v>
      </c>
      <c r="B25" s="372" t="s">
        <v>28</v>
      </c>
      <c r="C25" s="372" t="s">
        <v>1333</v>
      </c>
      <c r="D25" s="371" t="n">
        <v>1</v>
      </c>
      <c r="E25" s="371" t="n">
        <v>0</v>
      </c>
      <c r="F25" s="373" t="n">
        <v>0</v>
      </c>
      <c r="G25" s="376" t="n">
        <f aca="false">Retention!$F$23</f>
        <v>58</v>
      </c>
      <c r="H25" s="372" t="s">
        <v>1334</v>
      </c>
      <c r="I25" s="371" t="n">
        <f aca="false">IF(OR($D25=1,$E25=1),SUM(INDEX(Model!$J$13:$DE$56,$A25-12,0))+SUM(INDEX(Model!$J$60:$DE$103,$A25-12,0)),0)</f>
        <v>0</v>
      </c>
      <c r="J25" s="373" t="n">
        <v>0</v>
      </c>
      <c r="K25" s="371" t="n">
        <f aca="false">IF(OR($D25=1,$E25=1),J25+IF(AND($D25=1,$O$1=1),0,I25),0)</f>
        <v>0</v>
      </c>
      <c r="L25" s="374" t="n">
        <v>0</v>
      </c>
    </row>
    <row r="26" customFormat="false" ht="13.5" hidden="false" customHeight="true" outlineLevel="0" collapsed="false">
      <c r="A26" s="215" t="n">
        <v>35</v>
      </c>
      <c r="B26" s="213" t="s">
        <v>29</v>
      </c>
      <c r="C26" s="213" t="s">
        <v>1333</v>
      </c>
      <c r="D26" s="215" t="n">
        <v>1</v>
      </c>
      <c r="E26" s="215" t="n">
        <v>0</v>
      </c>
      <c r="F26" s="369" t="n">
        <v>0</v>
      </c>
      <c r="G26" s="375" t="n">
        <f aca="false">Retention!$F$24</f>
        <v>60</v>
      </c>
      <c r="H26" s="213" t="s">
        <v>1334</v>
      </c>
      <c r="I26" s="215" t="n">
        <f aca="false">IF(OR($D26=1,$E26=1),SUM(INDEX(Model!$J$13:$DE$56,$A26-12,0))+SUM(INDEX(Model!$J$60:$DE$103,$A26-12,0)),0)</f>
        <v>0</v>
      </c>
      <c r="J26" s="369" t="n">
        <v>0</v>
      </c>
      <c r="K26" s="215" t="n">
        <f aca="false">IF(OR($D26=1,$E26=1),J26+IF(AND($D26=1,$O$1=1),0,I26),0)</f>
        <v>0</v>
      </c>
      <c r="L26" s="370" t="n">
        <v>0</v>
      </c>
    </row>
    <row r="27" customFormat="false" ht="13.5" hidden="false" customHeight="true" outlineLevel="0" collapsed="false">
      <c r="A27" s="371" t="n">
        <v>36</v>
      </c>
      <c r="B27" s="372" t="s">
        <v>30</v>
      </c>
      <c r="C27" s="372" t="s">
        <v>1333</v>
      </c>
      <c r="D27" s="371" t="n">
        <v>1</v>
      </c>
      <c r="E27" s="371" t="n">
        <v>0</v>
      </c>
      <c r="F27" s="373" t="n">
        <v>0</v>
      </c>
      <c r="G27" s="376" t="n">
        <f aca="false">Retention!$F$25</f>
        <v>62</v>
      </c>
      <c r="H27" s="372" t="s">
        <v>1334</v>
      </c>
      <c r="I27" s="371" t="n">
        <f aca="false">IF(OR($D27=1,$E27=1),SUM(INDEX(Model!$J$13:$DE$56,$A27-12,0))+SUM(INDEX(Model!$J$60:$DE$103,$A27-12,0)),0)</f>
        <v>0</v>
      </c>
      <c r="J27" s="373" t="n">
        <v>0</v>
      </c>
      <c r="K27" s="371" t="n">
        <f aca="false">IF(OR($D27=1,$E27=1),J27+IF(AND($D27=1,$O$1=1),0,I27),0)</f>
        <v>0</v>
      </c>
      <c r="L27" s="374" t="n">
        <v>0</v>
      </c>
    </row>
    <row r="28" customFormat="false" ht="13.5" hidden="false" customHeight="true" outlineLevel="0" collapsed="false">
      <c r="A28" s="215" t="n">
        <v>37</v>
      </c>
      <c r="B28" s="213" t="s">
        <v>31</v>
      </c>
      <c r="C28" s="213" t="s">
        <v>1333</v>
      </c>
      <c r="D28" s="215" t="n">
        <v>1</v>
      </c>
      <c r="E28" s="215" t="n">
        <v>0</v>
      </c>
      <c r="F28" s="369" t="n">
        <v>0</v>
      </c>
      <c r="G28" s="375" t="n">
        <f aca="false">Retention!$F$26</f>
        <v>64</v>
      </c>
      <c r="H28" s="213" t="s">
        <v>1334</v>
      </c>
      <c r="I28" s="215" t="n">
        <f aca="false">IF(OR($D28=1,$E28=1),SUM(INDEX(Model!$J$13:$DE$56,$A28-12,0))+SUM(INDEX(Model!$J$60:$DE$103,$A28-12,0)),0)</f>
        <v>0</v>
      </c>
      <c r="J28" s="369" t="n">
        <v>0</v>
      </c>
      <c r="K28" s="215" t="n">
        <f aca="false">IF(OR($D28=1,$E28=1),J28+IF(AND($D28=1,$O$1=1),0,I28),0)</f>
        <v>0</v>
      </c>
      <c r="L28" s="370" t="n">
        <v>0</v>
      </c>
    </row>
    <row r="29" customFormat="false" ht="13.5" hidden="false" customHeight="true" outlineLevel="0" collapsed="false">
      <c r="A29" s="371" t="n">
        <v>38</v>
      </c>
      <c r="B29" s="372" t="s">
        <v>32</v>
      </c>
      <c r="C29" s="372" t="s">
        <v>1333</v>
      </c>
      <c r="D29" s="371" t="n">
        <v>1</v>
      </c>
      <c r="E29" s="371" t="n">
        <v>0</v>
      </c>
      <c r="F29" s="373" t="n">
        <v>0</v>
      </c>
      <c r="G29" s="376" t="n">
        <f aca="false">Retention!$F$27</f>
        <v>66</v>
      </c>
      <c r="H29" s="372" t="s">
        <v>1334</v>
      </c>
      <c r="I29" s="371" t="n">
        <f aca="false">IF(OR($D29=1,$E29=1),SUM(INDEX(Model!$J$13:$DE$56,$A29-12,0))+SUM(INDEX(Model!$J$60:$DE$103,$A29-12,0)),0)</f>
        <v>0</v>
      </c>
      <c r="J29" s="373" t="n">
        <v>0</v>
      </c>
      <c r="K29" s="371" t="n">
        <f aca="false">IF(OR($D29=1,$E29=1),J29+IF(AND($D29=1,$O$1=1),0,I29),0)</f>
        <v>0</v>
      </c>
      <c r="L29" s="374" t="n">
        <v>0</v>
      </c>
    </row>
    <row r="30" customFormat="false" ht="13.5" hidden="false" customHeight="true" outlineLevel="0" collapsed="false">
      <c r="A30" s="215" t="n">
        <v>39</v>
      </c>
      <c r="B30" s="213" t="s">
        <v>33</v>
      </c>
      <c r="C30" s="213" t="s">
        <v>1333</v>
      </c>
      <c r="D30" s="215" t="n">
        <v>1</v>
      </c>
      <c r="E30" s="215" t="n">
        <v>0</v>
      </c>
      <c r="F30" s="369" t="n">
        <v>0</v>
      </c>
      <c r="G30" s="375" t="n">
        <f aca="false">Retention!$F$28</f>
        <v>68</v>
      </c>
      <c r="H30" s="213" t="s">
        <v>1334</v>
      </c>
      <c r="I30" s="215" t="n">
        <f aca="false">IF(OR($D30=1,$E30=1),SUM(INDEX(Model!$J$13:$DE$56,$A30-12,0))+SUM(INDEX(Model!$J$60:$DE$103,$A30-12,0)),0)</f>
        <v>0</v>
      </c>
      <c r="J30" s="369" t="n">
        <v>0</v>
      </c>
      <c r="K30" s="215" t="n">
        <f aca="false">IF(OR($D30=1,$E30=1),J30+IF(AND($D30=1,$O$1=1),0,I30),0)</f>
        <v>0</v>
      </c>
      <c r="L30" s="370" t="n">
        <v>0</v>
      </c>
    </row>
    <row r="31" customFormat="false" ht="13.5" hidden="false" customHeight="true" outlineLevel="0" collapsed="false">
      <c r="A31" s="371" t="n">
        <v>40</v>
      </c>
      <c r="B31" s="372" t="s">
        <v>34</v>
      </c>
      <c r="C31" s="372" t="s">
        <v>1333</v>
      </c>
      <c r="D31" s="371" t="n">
        <v>1</v>
      </c>
      <c r="E31" s="371" t="n">
        <v>0</v>
      </c>
      <c r="F31" s="373" t="n">
        <v>0</v>
      </c>
      <c r="G31" s="376" t="n">
        <f aca="false">Retention!$F$29</f>
        <v>70</v>
      </c>
      <c r="H31" s="372" t="s">
        <v>1334</v>
      </c>
      <c r="I31" s="371" t="n">
        <f aca="false">IF(OR($D31=1,$E31=1),SUM(INDEX(Model!$J$13:$DE$56,$A31-12,0))+SUM(INDEX(Model!$J$60:$DE$103,$A31-12,0)),0)</f>
        <v>0</v>
      </c>
      <c r="J31" s="373" t="n">
        <v>0</v>
      </c>
      <c r="K31" s="371" t="n">
        <f aca="false">IF(OR($D31=1,$E31=1),J31+IF(AND($D31=1,$O$1=1),0,I31),0)</f>
        <v>0</v>
      </c>
      <c r="L31" s="374" t="n">
        <v>0</v>
      </c>
    </row>
    <row r="32" customFormat="false" ht="13.5" hidden="false" customHeight="true" outlineLevel="0" collapsed="false">
      <c r="A32" s="215" t="n">
        <v>41</v>
      </c>
      <c r="B32" s="213" t="s">
        <v>35</v>
      </c>
      <c r="C32" s="213" t="s">
        <v>1333</v>
      </c>
      <c r="D32" s="215" t="n">
        <v>1</v>
      </c>
      <c r="E32" s="215" t="n">
        <v>0</v>
      </c>
      <c r="F32" s="369" t="n">
        <v>0</v>
      </c>
      <c r="G32" s="375" t="n">
        <f aca="false">Retention!$F$30</f>
        <v>72</v>
      </c>
      <c r="H32" s="213" t="s">
        <v>1334</v>
      </c>
      <c r="I32" s="215" t="n">
        <f aca="false">IF(OR($D32=1,$E32=1),SUM(INDEX(Model!$J$13:$DE$56,$A32-12,0))+SUM(INDEX(Model!$J$60:$DE$103,$A32-12,0)),0)</f>
        <v>0</v>
      </c>
      <c r="J32" s="369" t="n">
        <v>0</v>
      </c>
      <c r="K32" s="215" t="n">
        <f aca="false">IF(OR($D32=1,$E32=1),J32+IF(AND($D32=1,$O$1=1),0,I32),0)</f>
        <v>0</v>
      </c>
      <c r="L32" s="370" t="n">
        <v>0</v>
      </c>
    </row>
    <row r="33" customFormat="false" ht="13.5" hidden="false" customHeight="true" outlineLevel="0" collapsed="false">
      <c r="A33" s="371" t="n">
        <v>42</v>
      </c>
      <c r="B33" s="372" t="s">
        <v>36</v>
      </c>
      <c r="C33" s="372" t="s">
        <v>1333</v>
      </c>
      <c r="D33" s="371" t="n">
        <v>1</v>
      </c>
      <c r="E33" s="371" t="n">
        <v>0</v>
      </c>
      <c r="F33" s="373" t="n">
        <v>0</v>
      </c>
      <c r="G33" s="376" t="n">
        <f aca="false">Retention!$F$31</f>
        <v>74</v>
      </c>
      <c r="H33" s="372" t="s">
        <v>1334</v>
      </c>
      <c r="I33" s="371" t="n">
        <f aca="false">IF(OR($D33=1,$E33=1),SUM(INDEX(Model!$J$13:$DE$56,$A33-12,0))+SUM(INDEX(Model!$J$60:$DE$103,$A33-12,0)),0)</f>
        <v>0</v>
      </c>
      <c r="J33" s="373" t="n">
        <v>0</v>
      </c>
      <c r="K33" s="371" t="n">
        <f aca="false">IF(OR($D33=1,$E33=1),J33+IF(AND($D33=1,$O$1=1),0,I33),0)</f>
        <v>0</v>
      </c>
      <c r="L33" s="374" t="n">
        <v>0</v>
      </c>
    </row>
    <row r="34" customFormat="false" ht="13.5" hidden="false" customHeight="true" outlineLevel="0" collapsed="false">
      <c r="A34" s="215" t="n">
        <v>43</v>
      </c>
      <c r="B34" s="213" t="s">
        <v>37</v>
      </c>
      <c r="C34" s="213" t="s">
        <v>1333</v>
      </c>
      <c r="D34" s="215" t="n">
        <v>1</v>
      </c>
      <c r="E34" s="215" t="n">
        <v>0</v>
      </c>
      <c r="F34" s="369" t="n">
        <v>0</v>
      </c>
      <c r="G34" s="375" t="n">
        <f aca="false">Retention!$F$32</f>
        <v>76</v>
      </c>
      <c r="H34" s="213" t="s">
        <v>1334</v>
      </c>
      <c r="I34" s="215" t="n">
        <f aca="false">IF(OR($D34=1,$E34=1),SUM(INDEX(Model!$J$13:$DE$56,$A34-12,0))+SUM(INDEX(Model!$J$60:$DE$103,$A34-12,0)),0)</f>
        <v>0</v>
      </c>
      <c r="J34" s="369" t="n">
        <v>0</v>
      </c>
      <c r="K34" s="215" t="n">
        <f aca="false">IF(OR($D34=1,$E34=1),J34+IF(AND($D34=1,$O$1=1),0,I34),0)</f>
        <v>0</v>
      </c>
      <c r="L34" s="370" t="n">
        <v>0</v>
      </c>
    </row>
    <row r="35" customFormat="false" ht="13.5" hidden="false" customHeight="true" outlineLevel="0" collapsed="false">
      <c r="A35" s="371" t="n">
        <v>44</v>
      </c>
      <c r="B35" s="372" t="s">
        <v>38</v>
      </c>
      <c r="C35" s="372" t="s">
        <v>1333</v>
      </c>
      <c r="D35" s="371" t="n">
        <v>1</v>
      </c>
      <c r="E35" s="371" t="n">
        <v>0</v>
      </c>
      <c r="F35" s="373" t="n">
        <v>0</v>
      </c>
      <c r="G35" s="376" t="n">
        <f aca="false">Retention!$F$33</f>
        <v>78</v>
      </c>
      <c r="H35" s="372" t="s">
        <v>1334</v>
      </c>
      <c r="I35" s="371" t="n">
        <f aca="false">IF(OR($D35=1,$E35=1),SUM(INDEX(Model!$J$13:$DE$56,$A35-12,0))+SUM(INDEX(Model!$J$60:$DE$103,$A35-12,0)),0)</f>
        <v>0</v>
      </c>
      <c r="J35" s="373" t="n">
        <v>0</v>
      </c>
      <c r="K35" s="371" t="n">
        <f aca="false">IF(OR($D35=1,$E35=1),J35+IF(AND($D35=1,$O$1=1),0,I35),0)</f>
        <v>0</v>
      </c>
      <c r="L35" s="374" t="n">
        <v>0</v>
      </c>
    </row>
    <row r="36" customFormat="false" ht="13.5" hidden="false" customHeight="true" outlineLevel="0" collapsed="false">
      <c r="A36" s="215" t="n">
        <v>45</v>
      </c>
      <c r="B36" s="213" t="s">
        <v>39</v>
      </c>
      <c r="C36" s="213" t="s">
        <v>1333</v>
      </c>
      <c r="D36" s="215" t="n">
        <v>1</v>
      </c>
      <c r="E36" s="215" t="n">
        <v>0</v>
      </c>
      <c r="F36" s="369" t="n">
        <v>0</v>
      </c>
      <c r="G36" s="375" t="n">
        <f aca="false">Retention!$F$34</f>
        <v>80</v>
      </c>
      <c r="H36" s="213" t="s">
        <v>1334</v>
      </c>
      <c r="I36" s="215" t="n">
        <f aca="false">IF(OR($D36=1,$E36=1),SUM(INDEX(Model!$J$13:$DE$56,$A36-12,0))+SUM(INDEX(Model!$J$60:$DE$103,$A36-12,0)),0)</f>
        <v>0</v>
      </c>
      <c r="J36" s="369" t="n">
        <v>0</v>
      </c>
      <c r="K36" s="215" t="n">
        <f aca="false">IF(OR($D36=1,$E36=1),J36+IF(AND($D36=1,$O$1=1),0,I36),0)</f>
        <v>0</v>
      </c>
      <c r="L36" s="370" t="n">
        <v>0</v>
      </c>
    </row>
    <row r="37" customFormat="false" ht="13.5" hidden="false" customHeight="true" outlineLevel="0" collapsed="false">
      <c r="A37" s="371" t="n">
        <v>46</v>
      </c>
      <c r="B37" s="372" t="s">
        <v>40</v>
      </c>
      <c r="C37" s="372" t="s">
        <v>1333</v>
      </c>
      <c r="D37" s="371" t="n">
        <v>1</v>
      </c>
      <c r="E37" s="371" t="n">
        <v>0</v>
      </c>
      <c r="F37" s="373" t="n">
        <v>0</v>
      </c>
      <c r="G37" s="376" t="n">
        <f aca="false">Retention!$F$35</f>
        <v>82</v>
      </c>
      <c r="H37" s="372" t="s">
        <v>1334</v>
      </c>
      <c r="I37" s="371" t="n">
        <f aca="false">IF(OR($D37=1,$E37=1),SUM(INDEX(Model!$J$13:$DE$56,$A37-12,0))+SUM(INDEX(Model!$J$60:$DE$103,$A37-12,0)),0)</f>
        <v>0</v>
      </c>
      <c r="J37" s="373" t="n">
        <v>0</v>
      </c>
      <c r="K37" s="371" t="n">
        <f aca="false">IF(OR($D37=1,$E37=1),J37+IF(AND($D37=1,$O$1=1),0,I37),0)</f>
        <v>0</v>
      </c>
      <c r="L37" s="374" t="n">
        <v>0</v>
      </c>
    </row>
    <row r="38" customFormat="false" ht="13.5" hidden="false" customHeight="true" outlineLevel="0" collapsed="false">
      <c r="A38" s="215" t="n">
        <v>47</v>
      </c>
      <c r="B38" s="213" t="s">
        <v>41</v>
      </c>
      <c r="C38" s="213" t="s">
        <v>1333</v>
      </c>
      <c r="D38" s="215" t="n">
        <v>1</v>
      </c>
      <c r="E38" s="215" t="n">
        <v>0</v>
      </c>
      <c r="F38" s="369" t="n">
        <v>0</v>
      </c>
      <c r="G38" s="375" t="n">
        <f aca="false">Retention!$F$36</f>
        <v>84</v>
      </c>
      <c r="H38" s="213" t="s">
        <v>1334</v>
      </c>
      <c r="I38" s="215" t="n">
        <f aca="false">IF(OR($D38=1,$E38=1),SUM(INDEX(Model!$J$13:$DE$56,$A38-12,0))+SUM(INDEX(Model!$J$60:$DE$103,$A38-12,0)),0)</f>
        <v>0</v>
      </c>
      <c r="J38" s="369" t="n">
        <v>0</v>
      </c>
      <c r="K38" s="215" t="n">
        <f aca="false">IF(OR($D38=1,$E38=1),J38+IF(AND($D38=1,$O$1=1),0,I38),0)</f>
        <v>0</v>
      </c>
      <c r="L38" s="370" t="n">
        <v>0</v>
      </c>
    </row>
    <row r="39" customFormat="false" ht="13.5" hidden="false" customHeight="true" outlineLevel="0" collapsed="false">
      <c r="A39" s="371" t="n">
        <v>48</v>
      </c>
      <c r="B39" s="372" t="s">
        <v>42</v>
      </c>
      <c r="C39" s="372" t="s">
        <v>1333</v>
      </c>
      <c r="D39" s="371" t="n">
        <v>1</v>
      </c>
      <c r="E39" s="371" t="n">
        <v>0</v>
      </c>
      <c r="F39" s="373" t="n">
        <v>0</v>
      </c>
      <c r="G39" s="376" t="n">
        <f aca="false">Retention!$F$37</f>
        <v>86</v>
      </c>
      <c r="H39" s="372" t="s">
        <v>1334</v>
      </c>
      <c r="I39" s="371" t="n">
        <f aca="false">IF(OR($D39=1,$E39=1),SUM(INDEX(Model!$J$13:$DE$56,$A39-12,0))+SUM(INDEX(Model!$J$60:$DE$103,$A39-12,0)),0)</f>
        <v>0</v>
      </c>
      <c r="J39" s="373" t="n">
        <v>0</v>
      </c>
      <c r="K39" s="371" t="n">
        <f aca="false">IF(OR($D39=1,$E39=1),J39+IF(AND($D39=1,$O$1=1),0,I39),0)</f>
        <v>0</v>
      </c>
      <c r="L39" s="374" t="n">
        <v>0</v>
      </c>
    </row>
    <row r="40" customFormat="false" ht="13.5" hidden="false" customHeight="true" outlineLevel="0" collapsed="false">
      <c r="A40" s="215" t="n">
        <v>49</v>
      </c>
      <c r="B40" s="213" t="s">
        <v>43</v>
      </c>
      <c r="C40" s="213" t="s">
        <v>1333</v>
      </c>
      <c r="D40" s="215" t="n">
        <v>1</v>
      </c>
      <c r="E40" s="215" t="n">
        <v>0</v>
      </c>
      <c r="F40" s="369" t="n">
        <v>0</v>
      </c>
      <c r="G40" s="375" t="n">
        <f aca="false">Retention!$F$38</f>
        <v>88</v>
      </c>
      <c r="H40" s="213" t="s">
        <v>1334</v>
      </c>
      <c r="I40" s="215" t="n">
        <f aca="false">IF(OR($D40=1,$E40=1),SUM(INDEX(Model!$J$13:$DE$56,$A40-12,0))+SUM(INDEX(Model!$J$60:$DE$103,$A40-12,0)),0)</f>
        <v>0</v>
      </c>
      <c r="J40" s="369" t="n">
        <v>0</v>
      </c>
      <c r="K40" s="215" t="n">
        <f aca="false">IF(OR($D40=1,$E40=1),J40+IF(AND($D40=1,$O$1=1),0,I40),0)</f>
        <v>0</v>
      </c>
      <c r="L40" s="370" t="n">
        <v>0</v>
      </c>
    </row>
    <row r="41" customFormat="false" ht="13.5" hidden="false" customHeight="true" outlineLevel="0" collapsed="false">
      <c r="A41" s="371" t="n">
        <v>50</v>
      </c>
      <c r="B41" s="372" t="s">
        <v>44</v>
      </c>
      <c r="C41" s="372" t="s">
        <v>1333</v>
      </c>
      <c r="D41" s="371" t="n">
        <v>1</v>
      </c>
      <c r="E41" s="371" t="n">
        <v>0</v>
      </c>
      <c r="F41" s="373" t="n">
        <v>0</v>
      </c>
      <c r="G41" s="376" t="n">
        <f aca="false">Retention!$F$39</f>
        <v>90</v>
      </c>
      <c r="H41" s="372" t="s">
        <v>1334</v>
      </c>
      <c r="I41" s="371" t="n">
        <f aca="false">IF(OR($D41=1,$E41=1),SUM(INDEX(Model!$J$13:$DE$56,$A41-12,0))+SUM(INDEX(Model!$J$60:$DE$103,$A41-12,0)),0)</f>
        <v>0</v>
      </c>
      <c r="J41" s="373" t="n">
        <v>0</v>
      </c>
      <c r="K41" s="371" t="n">
        <f aca="false">IF(OR($D41=1,$E41=1),J41+IF(AND($D41=1,$O$1=1),0,I41),0)</f>
        <v>0</v>
      </c>
      <c r="L41" s="374" t="n">
        <v>0</v>
      </c>
    </row>
    <row r="42" customFormat="false" ht="13.5" hidden="false" customHeight="true" outlineLevel="0" collapsed="false">
      <c r="A42" s="215" t="n">
        <v>51</v>
      </c>
      <c r="B42" s="213" t="s">
        <v>45</v>
      </c>
      <c r="C42" s="213" t="s">
        <v>1333</v>
      </c>
      <c r="D42" s="215" t="n">
        <v>1</v>
      </c>
      <c r="E42" s="215" t="n">
        <v>0</v>
      </c>
      <c r="F42" s="369" t="n">
        <v>0</v>
      </c>
      <c r="G42" s="375" t="n">
        <f aca="false">Retention!$F$40</f>
        <v>92</v>
      </c>
      <c r="H42" s="213" t="s">
        <v>1334</v>
      </c>
      <c r="I42" s="215" t="n">
        <f aca="false">IF(OR($D42=1,$E42=1),SUM(INDEX(Model!$J$13:$DE$56,$A42-12,0))+SUM(INDEX(Model!$J$60:$DE$103,$A42-12,0)),0)</f>
        <v>0</v>
      </c>
      <c r="J42" s="369" t="n">
        <v>0</v>
      </c>
      <c r="K42" s="215" t="n">
        <f aca="false">IF(OR($D42=1,$E42=1),J42+IF(AND($D42=1,$O$1=1),0,I42),0)</f>
        <v>0</v>
      </c>
      <c r="L42" s="370" t="n">
        <v>0</v>
      </c>
    </row>
    <row r="43" customFormat="false" ht="13.5" hidden="false" customHeight="true" outlineLevel="0" collapsed="false">
      <c r="A43" s="371" t="n">
        <v>52</v>
      </c>
      <c r="B43" s="372" t="s">
        <v>46</v>
      </c>
      <c r="C43" s="372" t="s">
        <v>1333</v>
      </c>
      <c r="D43" s="371" t="n">
        <v>1</v>
      </c>
      <c r="E43" s="371" t="n">
        <v>0</v>
      </c>
      <c r="F43" s="373" t="n">
        <v>0</v>
      </c>
      <c r="G43" s="376" t="n">
        <f aca="false">Retention!$F$41</f>
        <v>94</v>
      </c>
      <c r="H43" s="372" t="s">
        <v>1334</v>
      </c>
      <c r="I43" s="371" t="n">
        <f aca="false">IF(OR($D43=1,$E43=1),SUM(INDEX(Model!$J$13:$DE$56,$A43-12,0))+SUM(INDEX(Model!$J$60:$DE$103,$A43-12,0)),0)</f>
        <v>0</v>
      </c>
      <c r="J43" s="373" t="n">
        <v>0</v>
      </c>
      <c r="K43" s="371" t="n">
        <f aca="false">IF(OR($D43=1,$E43=1),J43+IF(AND($D43=1,$O$1=1),0,I43),0)</f>
        <v>0</v>
      </c>
      <c r="L43" s="374" t="n">
        <v>0</v>
      </c>
    </row>
    <row r="44" customFormat="false" ht="13.5" hidden="false" customHeight="true" outlineLevel="0" collapsed="false">
      <c r="A44" s="215" t="n">
        <v>53</v>
      </c>
      <c r="B44" s="213" t="s">
        <v>47</v>
      </c>
      <c r="C44" s="213" t="s">
        <v>1333</v>
      </c>
      <c r="D44" s="215" t="n">
        <v>1</v>
      </c>
      <c r="E44" s="215" t="n">
        <v>0</v>
      </c>
      <c r="F44" s="369" t="n">
        <v>0</v>
      </c>
      <c r="G44" s="375" t="n">
        <f aca="false">Retention!$F$42</f>
        <v>96</v>
      </c>
      <c r="H44" s="213" t="s">
        <v>1334</v>
      </c>
      <c r="I44" s="215" t="n">
        <f aca="false">IF(OR($D44=1,$E44=1),SUM(INDEX(Model!$J$13:$DE$56,$A44-12,0))+SUM(INDEX(Model!$J$60:$DE$103,$A44-12,0)),0)</f>
        <v>0</v>
      </c>
      <c r="J44" s="369" t="n">
        <v>0</v>
      </c>
      <c r="K44" s="215" t="n">
        <f aca="false">IF(OR($D44=1,$E44=1),J44+IF(AND($D44=1,$O$1=1),0,I44),0)</f>
        <v>0</v>
      </c>
      <c r="L44" s="370" t="n">
        <v>0</v>
      </c>
    </row>
    <row r="45" customFormat="false" ht="13.5" hidden="false" customHeight="true" outlineLevel="0" collapsed="false">
      <c r="A45" s="371" t="n">
        <v>54</v>
      </c>
      <c r="B45" s="372" t="s">
        <v>48</v>
      </c>
      <c r="C45" s="372" t="s">
        <v>1333</v>
      </c>
      <c r="D45" s="371" t="n">
        <v>1</v>
      </c>
      <c r="E45" s="371" t="n">
        <v>0</v>
      </c>
      <c r="F45" s="373" t="n">
        <v>0</v>
      </c>
      <c r="G45" s="376" t="n">
        <f aca="false">Retention!$F$43</f>
        <v>98</v>
      </c>
      <c r="H45" s="372" t="s">
        <v>1334</v>
      </c>
      <c r="I45" s="371" t="n">
        <f aca="false">IF(OR($D45=1,$E45=1),SUM(INDEX(Model!$J$13:$DE$56,$A45-12,0))+SUM(INDEX(Model!$J$60:$DE$103,$A45-12,0)),0)</f>
        <v>0</v>
      </c>
      <c r="J45" s="373" t="n">
        <v>0</v>
      </c>
      <c r="K45" s="371" t="n">
        <f aca="false">IF(OR($D45=1,$E45=1),J45+IF(AND($D45=1,$O$1=1),0,I45),0)</f>
        <v>0</v>
      </c>
      <c r="L45" s="374" t="n">
        <v>0</v>
      </c>
    </row>
    <row r="46" customFormat="false" ht="13.5" hidden="false" customHeight="true" outlineLevel="0" collapsed="false">
      <c r="A46" s="215" t="n">
        <v>55</v>
      </c>
      <c r="B46" s="213" t="s">
        <v>49</v>
      </c>
      <c r="C46" s="213" t="s">
        <v>1333</v>
      </c>
      <c r="D46" s="215" t="n">
        <v>1</v>
      </c>
      <c r="E46" s="215" t="n">
        <v>0</v>
      </c>
      <c r="F46" s="369" t="n">
        <v>0</v>
      </c>
      <c r="G46" s="375" t="n">
        <f aca="false">Retention!$F$44</f>
        <v>100</v>
      </c>
      <c r="H46" s="213" t="s">
        <v>1334</v>
      </c>
      <c r="I46" s="215" t="n">
        <f aca="false">IF(OR($D46=1,$E46=1),SUM(INDEX(Model!$J$13:$DE$56,$A46-12,0))+SUM(INDEX(Model!$J$60:$DE$103,$A46-12,0)),0)</f>
        <v>0</v>
      </c>
      <c r="J46" s="369" t="n">
        <v>0</v>
      </c>
      <c r="K46" s="215" t="n">
        <f aca="false">IF(OR($D46=1,$E46=1),J46+IF(AND($D46=1,$O$1=1),0,I46),0)</f>
        <v>0</v>
      </c>
      <c r="L46" s="370" t="n">
        <v>0</v>
      </c>
    </row>
    <row r="47" customFormat="false" ht="13.5" hidden="false" customHeight="true" outlineLevel="0" collapsed="false">
      <c r="A47" s="371" t="n">
        <v>56</v>
      </c>
      <c r="B47" s="372" t="s">
        <v>50</v>
      </c>
      <c r="C47" s="372" t="s">
        <v>1335</v>
      </c>
      <c r="D47" s="371" t="n">
        <v>0</v>
      </c>
      <c r="E47" s="371" t="n">
        <v>0</v>
      </c>
      <c r="F47" s="373" t="n">
        <v>0</v>
      </c>
      <c r="G47" s="371" t="n">
        <v>0</v>
      </c>
      <c r="I47" s="371" t="n">
        <f aca="false">IF(OR($D47=1,$E47=1),SUM(INDEX(Model!$J$13:$DE$56,$A47-12,0))+SUM(INDEX(Model!$J$60:$DE$103,$A47-12,0)),0)</f>
        <v>0</v>
      </c>
      <c r="J47" s="373" t="n">
        <v>0</v>
      </c>
      <c r="K47" s="371" t="n">
        <f aca="false">IF(OR($D47=1,$E47=1),J47+IF(AND($D47=1,$O$1=1),0,I47),0)</f>
        <v>0</v>
      </c>
      <c r="L47" s="374" t="n">
        <v>0</v>
      </c>
    </row>
    <row r="58" customFormat="false" ht="13.5" hidden="false" customHeight="true" outlineLevel="0" collapsed="false">
      <c r="A58" s="377" t="s">
        <v>1336</v>
      </c>
    </row>
    <row r="59" customFormat="false" ht="13.5" hidden="false" customHeight="true" outlineLevel="0" collapsed="false">
      <c r="A59" s="1" t="s">
        <v>1337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7" t="s">
        <v>472</v>
      </c>
      <c r="B104" s="377" t="n">
        <f aca="false">SUM(B60:B103)</f>
        <v>0</v>
      </c>
      <c r="C104" s="377" t="n">
        <f aca="false">SUM(C60:C103)</f>
        <v>0</v>
      </c>
      <c r="D104" s="377" t="n">
        <f aca="false">SUM(D60:D103)</f>
        <v>0</v>
      </c>
      <c r="E104" s="377" t="n">
        <f aca="false">SUM(E60:E103)</f>
        <v>0</v>
      </c>
      <c r="F104" s="377" t="n">
        <f aca="false">SUM(F60:F103)</f>
        <v>0</v>
      </c>
      <c r="G104" s="377" t="n">
        <f aca="false">SUM(G60:G103)</f>
        <v>0</v>
      </c>
      <c r="H104" s="377" t="n">
        <f aca="false">SUM(H60:H103)</f>
        <v>0</v>
      </c>
      <c r="I104" s="377" t="n">
        <f aca="false">SUM(I60:I103)</f>
        <v>0</v>
      </c>
      <c r="J104" s="377" t="n">
        <f aca="false">SUM(J60:J103)</f>
        <v>225272.52</v>
      </c>
      <c r="K104" s="377" t="n">
        <f aca="false">SUM(K60:K103)</f>
        <v>248630.71</v>
      </c>
      <c r="L104" s="377" t="n">
        <f aca="false">SUM(L60:L103)</f>
        <v>251735.84</v>
      </c>
      <c r="M104" s="377" t="n">
        <f aca="false">SUM(M60:M103)</f>
        <v>252618.63</v>
      </c>
      <c r="N104" s="377" t="n">
        <f aca="false">SUM(N60:N103)</f>
        <v>261241.069999999</v>
      </c>
      <c r="O104" s="377" t="n">
        <f aca="false">SUM(O60:O103)</f>
        <v>275566.84</v>
      </c>
      <c r="P104" s="377" t="n">
        <f aca="false">SUM(P60:P103)</f>
        <v>283344.14</v>
      </c>
      <c r="Q104" s="377" t="n">
        <f aca="false">SUM(Q60:Q103)</f>
        <v>296785.86</v>
      </c>
      <c r="R104" s="377" t="n">
        <f aca="false">SUM(R60:R103)</f>
        <v>279949.350000001</v>
      </c>
      <c r="S104" s="377" t="n">
        <f aca="false">SUM(S60:S103)</f>
        <v>218493.54</v>
      </c>
      <c r="T104" s="377" t="n">
        <f aca="false">SUM(T60:T103)</f>
        <v>197620.92</v>
      </c>
      <c r="U104" s="377" t="n">
        <f aca="false">SUM(U60:U103)</f>
        <v>194318.949999999</v>
      </c>
      <c r="V104" s="377" t="n">
        <f aca="false">SUM(V60:V103)</f>
        <v>197751.920000001</v>
      </c>
      <c r="W104" s="377" t="n">
        <f aca="false">SUM(W60:W103)</f>
        <v>203537.240000001</v>
      </c>
      <c r="X104" s="377" t="n">
        <f aca="false">SUM(X60:X103)</f>
        <v>203537.240000001</v>
      </c>
      <c r="Y104" s="377" t="n">
        <f aca="false">SUM(Y60:Y103)</f>
        <v>203537.240000001</v>
      </c>
      <c r="Z104" s="377" t="n">
        <f aca="false">SUM(Z60:Z103)</f>
        <v>203537.240000001</v>
      </c>
      <c r="AA104" s="377" t="n">
        <f aca="false">SUM(AA60:AA103)</f>
        <v>203537.240000001</v>
      </c>
      <c r="AB104" s="377" t="n">
        <f aca="false">SUM(AB60:AB103)</f>
        <v>203537.240000001</v>
      </c>
      <c r="AC104" s="377" t="n">
        <f aca="false">SUM(AC60:AC103)</f>
        <v>203537.240000001</v>
      </c>
      <c r="AD104" s="377" t="n">
        <f aca="false">SUM(AD60:AD103)</f>
        <v>203537.240000001</v>
      </c>
      <c r="AE104" s="377" t="n">
        <f aca="false">SUM(AE60:AE103)</f>
        <v>203537.240000001</v>
      </c>
      <c r="AF104" s="377" t="n">
        <f aca="false">SUM(AF60:AF103)</f>
        <v>203537.240000001</v>
      </c>
      <c r="AG104" s="377" t="n">
        <f aca="false">SUM(AG60:AG103)</f>
        <v>203537.240000001</v>
      </c>
      <c r="AH104" s="377" t="n">
        <f aca="false">SUM(AH60:AH103)</f>
        <v>203537.240000001</v>
      </c>
      <c r="AI104" s="377" t="n">
        <f aca="false">SUM(AI60:AI103)</f>
        <v>203537.240000001</v>
      </c>
      <c r="AJ104" s="377" t="n">
        <f aca="false">SUM(AJ60:AJ103)</f>
        <v>203537.240000001</v>
      </c>
      <c r="AK104" s="377" t="n">
        <f aca="false">SUM(AK60:AK103)</f>
        <v>203537.240000001</v>
      </c>
      <c r="AL104" s="377" t="n">
        <f aca="false">SUM(AL60:AL103)</f>
        <v>203537.240000001</v>
      </c>
      <c r="AM104" s="377" t="n">
        <f aca="false">SUM(AM60:AM103)</f>
        <v>203537.240000001</v>
      </c>
      <c r="AN104" s="377" t="n">
        <f aca="false">SUM(AN60:AN103)</f>
        <v>203537.240000001</v>
      </c>
      <c r="AO104" s="377" t="n">
        <f aca="false">SUM(AO60:AO103)</f>
        <v>203537.240000001</v>
      </c>
      <c r="AP104" s="377" t="n">
        <f aca="false">SUM(AP60:AP103)</f>
        <v>203537.240000001</v>
      </c>
      <c r="AQ104" s="377" t="n">
        <f aca="false">SUM(AQ60:AQ103)</f>
        <v>203537.240000001</v>
      </c>
      <c r="AR104" s="377" t="n">
        <f aca="false">SUM(AR60:AR103)</f>
        <v>203537.240000001</v>
      </c>
      <c r="AS104" s="377" t="n">
        <f aca="false">SUM(AS60:AS103)</f>
        <v>203537.240000001</v>
      </c>
      <c r="AT104" s="377" t="n">
        <f aca="false">SUM(AT60:AT103)</f>
        <v>203537.240000001</v>
      </c>
      <c r="AU104" s="377" t="n">
        <f aca="false">SUM(AU60:AU103)</f>
        <v>203537.240000001</v>
      </c>
      <c r="AV104" s="377" t="n">
        <f aca="false">SUM(AV60:AV103)</f>
        <v>203537.240000001</v>
      </c>
      <c r="AW104" s="377" t="n">
        <f aca="false">SUM(AW60:AW103)</f>
        <v>203537.240000001</v>
      </c>
      <c r="AX104" s="377" t="n">
        <f aca="false">SUM(AX60:AX103)</f>
        <v>203537.240000001</v>
      </c>
      <c r="AY104" s="377" t="n">
        <f aca="false">SUM(AY60:AY103)</f>
        <v>203537.240000001</v>
      </c>
      <c r="AZ104" s="377" t="n">
        <f aca="false">SUM(AZ60:AZ103)</f>
        <v>203537.240000001</v>
      </c>
      <c r="BA104" s="377" t="n">
        <f aca="false">SUM(BA60:BA103)</f>
        <v>203537.240000001</v>
      </c>
      <c r="BB104" s="377" t="n">
        <f aca="false">SUM(BB60:BB103)</f>
        <v>203537.240000001</v>
      </c>
      <c r="BC104" s="377" t="n">
        <f aca="false">SUM(BC60:BC103)</f>
        <v>203537.240000001</v>
      </c>
      <c r="BD104" s="377" t="n">
        <f aca="false">SUM(BD60:BD103)</f>
        <v>203537.240000001</v>
      </c>
      <c r="BE104" s="377" t="n">
        <f aca="false">SUM(BE60:BE103)</f>
        <v>203537.240000001</v>
      </c>
      <c r="BF104" s="377" t="n">
        <f aca="false">SUM(BF60:BF103)</f>
        <v>203537.240000001</v>
      </c>
      <c r="BG104" s="377" t="n">
        <f aca="false">SUM(BG60:BG103)</f>
        <v>203537.240000001</v>
      </c>
      <c r="BH104" s="377" t="n">
        <f aca="false">SUM(BH60:BH103)</f>
        <v>203537.240000001</v>
      </c>
      <c r="BI104" s="377" t="n">
        <f aca="false">SUM(BI60:BI103)</f>
        <v>203537.240000001</v>
      </c>
      <c r="BJ104" s="377" t="n">
        <f aca="false">SUM(BJ60:BJ103)</f>
        <v>203537.240000001</v>
      </c>
      <c r="BK104" s="377" t="n">
        <f aca="false">SUM(BK60:BK103)</f>
        <v>203537.240000001</v>
      </c>
      <c r="BL104" s="377" t="n">
        <f aca="false">SUM(BL60:BL103)</f>
        <v>203537.240000001</v>
      </c>
      <c r="BM104" s="377" t="n">
        <f aca="false">SUM(BM60:BM103)</f>
        <v>203537.240000001</v>
      </c>
      <c r="BN104" s="377" t="n">
        <f aca="false">SUM(BN60:BN103)</f>
        <v>203537.240000001</v>
      </c>
      <c r="BO104" s="377" t="n">
        <f aca="false">SUM(BO60:BO103)</f>
        <v>203537.240000001</v>
      </c>
      <c r="BP104" s="377" t="n">
        <f aca="false">SUM(BP60:BP103)</f>
        <v>203537.240000001</v>
      </c>
      <c r="BQ104" s="377" t="n">
        <f aca="false">SUM(BQ60:BQ103)</f>
        <v>203537.240000001</v>
      </c>
      <c r="BR104" s="377" t="n">
        <f aca="false">SUM(BR60:BR103)</f>
        <v>203537.240000001</v>
      </c>
      <c r="BS104" s="377" t="n">
        <f aca="false">SUM(BS60:BS103)</f>
        <v>203537.240000001</v>
      </c>
      <c r="BT104" s="377" t="n">
        <f aca="false">SUM(BT60:BT103)</f>
        <v>203537.240000001</v>
      </c>
      <c r="BU104" s="377" t="n">
        <f aca="false">SUM(BU60:BU103)</f>
        <v>203537.240000001</v>
      </c>
      <c r="BV104" s="377" t="n">
        <f aca="false">SUM(BV60:BV103)</f>
        <v>203537.240000001</v>
      </c>
      <c r="BW104" s="377" t="n">
        <f aca="false">SUM(BW60:BW103)</f>
        <v>203537.240000001</v>
      </c>
      <c r="BX104" s="377" t="n">
        <f aca="false">SUM(BX60:BX103)</f>
        <v>203537.240000001</v>
      </c>
      <c r="BY104" s="377" t="n">
        <f aca="false">SUM(BY60:BY103)</f>
        <v>203537.240000001</v>
      </c>
      <c r="BZ104" s="377" t="n">
        <f aca="false">SUM(BZ60:BZ103)</f>
        <v>203537.240000001</v>
      </c>
      <c r="CA104" s="377" t="n">
        <f aca="false">SUM(CA60:CA103)</f>
        <v>203537.240000001</v>
      </c>
      <c r="CB104" s="377" t="n">
        <f aca="false">SUM(CB60:CB103)</f>
        <v>203537.240000001</v>
      </c>
      <c r="CC104" s="377" t="n">
        <f aca="false">SUM(CC60:CC103)</f>
        <v>203537.240000001</v>
      </c>
      <c r="CD104" s="377" t="n">
        <f aca="false">SUM(CD60:CD103)</f>
        <v>203537.240000001</v>
      </c>
      <c r="CE104" s="377" t="n">
        <f aca="false">SUM(CE60:CE103)</f>
        <v>203537.240000001</v>
      </c>
      <c r="CF104" s="377" t="n">
        <f aca="false">SUM(CF60:CF103)</f>
        <v>203537.240000001</v>
      </c>
      <c r="CG104" s="377" t="n">
        <f aca="false">SUM(CG60:CG103)</f>
        <v>203537.240000001</v>
      </c>
      <c r="CH104" s="377" t="n">
        <f aca="false">SUM(CH60:CH103)</f>
        <v>203537.240000001</v>
      </c>
      <c r="CI104" s="377" t="n">
        <f aca="false">SUM(CI60:CI103)</f>
        <v>203537.240000001</v>
      </c>
      <c r="CJ104" s="377" t="n">
        <f aca="false">SUM(CJ60:CJ103)</f>
        <v>203537.240000001</v>
      </c>
      <c r="CK104" s="377" t="n">
        <f aca="false">SUM(CK60:CK103)</f>
        <v>203537.240000001</v>
      </c>
      <c r="CL104" s="377" t="n">
        <f aca="false">SUM(CL60:CL103)</f>
        <v>203537.240000001</v>
      </c>
      <c r="CM104" s="377" t="n">
        <f aca="false">SUM(CM60:CM103)</f>
        <v>203537.240000001</v>
      </c>
      <c r="CN104" s="377" t="n">
        <f aca="false">SUM(CN60:CN103)</f>
        <v>203537.240000001</v>
      </c>
      <c r="CO104" s="377" t="n">
        <f aca="false">SUM(CO60:CO103)</f>
        <v>203537.240000001</v>
      </c>
      <c r="CP104" s="377" t="n">
        <f aca="false">SUM(CP60:CP103)</f>
        <v>203537.240000001</v>
      </c>
      <c r="CQ104" s="377" t="n">
        <f aca="false">SUM(CQ60:CQ103)</f>
        <v>203537.240000001</v>
      </c>
      <c r="CR104" s="377" t="n">
        <f aca="false">SUM(CR60:CR103)</f>
        <v>203537.240000001</v>
      </c>
      <c r="CS104" s="377" t="n">
        <f aca="false">SUM(CS60:CS103)</f>
        <v>203537.240000001</v>
      </c>
      <c r="CT104" s="377" t="n">
        <f aca="false">SUM(CT60:CT103)</f>
        <v>203537.240000001</v>
      </c>
      <c r="CU104" s="377" t="n">
        <f aca="false">SUM(CU60:CU103)</f>
        <v>203537.240000001</v>
      </c>
      <c r="CV104" s="377" t="n">
        <f aca="false">SUM(CV60:CV103)</f>
        <v>203537.240000001</v>
      </c>
      <c r="CW104" s="377" t="n">
        <f aca="false">SUM(CW60:CW103)</f>
        <v>203537.240000001</v>
      </c>
      <c r="CX104" s="377" t="n">
        <f aca="false">SUM(CX60:CX103)</f>
        <v>203537.240000001</v>
      </c>
      <c r="CY104" s="377" t="n">
        <f aca="false">SUM(CY60:CY103)</f>
        <v>203537.240000001</v>
      </c>
      <c r="CZ104" s="377" t="n">
        <f aca="false">SUM(CZ60:CZ103)</f>
        <v>203537.240000001</v>
      </c>
      <c r="DA104" s="377" t="n">
        <f aca="false">SUM(DA60:DA103)</f>
        <v>203537.240000001</v>
      </c>
      <c r="DB104" s="377" t="n">
        <f aca="false">SUM(DB60:DB103)</f>
        <v>203537.240000001</v>
      </c>
      <c r="DC104" s="377" t="n">
        <f aca="false">SUM(DC60:DC103)</f>
        <v>203537.240000001</v>
      </c>
      <c r="DD104" s="377" t="n">
        <f aca="false">SUM(DD60:DD103)</f>
        <v>203537.240000001</v>
      </c>
      <c r="DE104" s="377"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1338</v>
      </c>
    </row>
    <row r="2" customFormat="false" ht="13.5" hidden="false" customHeight="true" outlineLevel="0" collapsed="false">
      <c r="A2" s="205" t="s">
        <v>1339</v>
      </c>
    </row>
    <row r="4" customFormat="false" ht="13.5" hidden="false" customHeight="true" outlineLevel="0" collapsed="false">
      <c r="A4" s="209" t="s">
        <v>1340</v>
      </c>
      <c r="B4" s="210"/>
      <c r="C4" s="210"/>
      <c r="D4" s="210"/>
      <c r="E4" s="210"/>
      <c r="F4" s="210"/>
    </row>
    <row r="5" customFormat="false" ht="13.5" hidden="false" customHeight="true" outlineLevel="0" collapsed="false">
      <c r="A5" s="110" t="s">
        <v>1341</v>
      </c>
      <c r="B5" s="378" t="n">
        <v>0.875</v>
      </c>
    </row>
    <row r="6" customFormat="false" ht="13.5" hidden="false" customHeight="true" outlineLevel="0" collapsed="false">
      <c r="A6" s="110" t="s">
        <v>1342</v>
      </c>
      <c r="B6" s="378" t="n">
        <v>0.5</v>
      </c>
    </row>
    <row r="7" customFormat="false" ht="13.5" hidden="false" customHeight="true" outlineLevel="0" collapsed="false">
      <c r="A7" s="110" t="s">
        <v>1343</v>
      </c>
      <c r="B7" s="378" t="n">
        <v>0.25</v>
      </c>
    </row>
    <row r="8" customFormat="false" ht="13.5" hidden="false" customHeight="true" outlineLevel="0" collapsed="false">
      <c r="A8" s="110" t="s">
        <v>1344</v>
      </c>
      <c r="B8" s="378" t="n">
        <v>0.165</v>
      </c>
    </row>
    <row r="9" customFormat="false" ht="13.5" hidden="false" customHeight="true" outlineLevel="0" collapsed="false">
      <c r="A9" s="110" t="s">
        <v>1345</v>
      </c>
      <c r="B9" s="378" t="n">
        <v>0.5</v>
      </c>
    </row>
    <row r="10" customFormat="false" ht="13.5" hidden="false" customHeight="true" outlineLevel="0" collapsed="false">
      <c r="A10" s="110" t="s">
        <v>1346</v>
      </c>
      <c r="B10" s="378" t="n">
        <v>0.2</v>
      </c>
    </row>
    <row r="11" customFormat="false" ht="13.5" hidden="false" customHeight="true" outlineLevel="0" collapsed="false">
      <c r="A11" s="110" t="s">
        <v>1347</v>
      </c>
      <c r="B11" s="378" t="n">
        <v>0.5</v>
      </c>
    </row>
    <row r="12" customFormat="false" ht="13.5" hidden="false" customHeight="true" outlineLevel="0" collapsed="false">
      <c r="A12" s="110" t="s">
        <v>1348</v>
      </c>
      <c r="B12" s="379" t="n">
        <v>25000000</v>
      </c>
    </row>
    <row r="13" customFormat="false" ht="13.5" hidden="false" customHeight="true" outlineLevel="0" collapsed="false">
      <c r="A13" s="110" t="s">
        <v>1349</v>
      </c>
      <c r="B13" s="379" t="n">
        <v>10000000</v>
      </c>
    </row>
    <row r="14" customFormat="false" ht="13.5" hidden="false" customHeight="true" outlineLevel="0" collapsed="false">
      <c r="A14" s="110" t="s">
        <v>1350</v>
      </c>
      <c r="B14" s="378" t="n">
        <v>0</v>
      </c>
      <c r="C14" s="208" t="s">
        <v>1351</v>
      </c>
    </row>
    <row r="15" customFormat="false" ht="13.5" hidden="false" customHeight="true" outlineLevel="0" collapsed="false">
      <c r="A15" s="110" t="s">
        <v>1352</v>
      </c>
      <c r="B15" s="378" t="n">
        <v>0</v>
      </c>
    </row>
    <row r="16" customFormat="false" ht="13.5" hidden="false" customHeight="true" outlineLevel="0" collapsed="false">
      <c r="A16" s="110" t="s">
        <v>1353</v>
      </c>
      <c r="B16" s="378" t="n">
        <v>0</v>
      </c>
    </row>
    <row r="17" customFormat="false" ht="13.5" hidden="false" customHeight="true" outlineLevel="0" collapsed="false">
      <c r="A17" s="110" t="s">
        <v>1354</v>
      </c>
      <c r="B17" s="378" t="n">
        <v>1</v>
      </c>
    </row>
    <row r="18" customFormat="false" ht="13.5" hidden="false" customHeight="true" outlineLevel="0" collapsed="false">
      <c r="A18" s="110" t="s">
        <v>1355</v>
      </c>
      <c r="B18" s="378" t="n">
        <v>0.25</v>
      </c>
    </row>
    <row r="19" customFormat="false" ht="13.5" hidden="false" customHeight="true" outlineLevel="0" collapsed="false">
      <c r="A19" s="110" t="s">
        <v>1356</v>
      </c>
      <c r="B19" s="378" t="n">
        <v>6</v>
      </c>
      <c r="C19" s="208" t="s">
        <v>1357</v>
      </c>
    </row>
    <row r="20" customFormat="false" ht="13.5" hidden="false" customHeight="true" outlineLevel="0" collapsed="false">
      <c r="A20" s="110" t="s">
        <v>1358</v>
      </c>
      <c r="B20" s="378" t="n">
        <v>4</v>
      </c>
    </row>
    <row r="21" customFormat="false" ht="13.5" hidden="false" customHeight="true" outlineLevel="0" collapsed="false">
      <c r="A21" s="110" t="s">
        <v>1359</v>
      </c>
      <c r="B21" s="380" t="n">
        <v>0.15</v>
      </c>
    </row>
    <row r="22" customFormat="false" ht="13.5" hidden="false" customHeight="true" outlineLevel="0" collapsed="false">
      <c r="A22" s="110" t="s">
        <v>1360</v>
      </c>
      <c r="B22" s="378" t="n">
        <v>11</v>
      </c>
    </row>
    <row r="23" customFormat="false" ht="13.5" hidden="false" customHeight="true" outlineLevel="0" collapsed="false">
      <c r="A23" s="110" t="s">
        <v>1361</v>
      </c>
      <c r="B23" s="378" t="n">
        <v>13</v>
      </c>
    </row>
    <row r="25" customFormat="false" ht="13.5" hidden="false" customHeight="true" outlineLevel="0" collapsed="false">
      <c r="A25" s="209" t="s">
        <v>1362</v>
      </c>
      <c r="B25" s="210"/>
      <c r="C25" s="210"/>
      <c r="D25" s="210"/>
      <c r="E25" s="210"/>
      <c r="F25" s="210"/>
    </row>
    <row r="26" customFormat="false" ht="13.5" hidden="false" customHeight="true" outlineLevel="0" collapsed="false">
      <c r="A26" s="110" t="s">
        <v>699</v>
      </c>
      <c r="B26" s="379" t="n">
        <v>160000</v>
      </c>
    </row>
    <row r="27" customFormat="false" ht="13.5" hidden="false" customHeight="true" outlineLevel="0" collapsed="false">
      <c r="A27" s="110" t="s">
        <v>1363</v>
      </c>
      <c r="B27" s="379" t="n">
        <v>125000</v>
      </c>
    </row>
    <row r="28" customFormat="false" ht="13.5" hidden="false" customHeight="true" outlineLevel="0" collapsed="false">
      <c r="A28" s="110" t="s">
        <v>695</v>
      </c>
      <c r="B28" s="379" t="n">
        <v>130000</v>
      </c>
    </row>
    <row r="29" customFormat="false" ht="13.5" hidden="false" customHeight="true" outlineLevel="0" collapsed="false">
      <c r="A29" s="110" t="s">
        <v>639</v>
      </c>
      <c r="B29" s="379" t="n">
        <v>180000</v>
      </c>
    </row>
    <row r="30" customFormat="false" ht="13.5" hidden="false" customHeight="true" outlineLevel="0" collapsed="false">
      <c r="A30" s="110" t="s">
        <v>1364</v>
      </c>
      <c r="B30" s="379" t="n">
        <v>80000</v>
      </c>
    </row>
    <row r="32" customFormat="false" ht="13.5" hidden="false" customHeight="true" outlineLevel="0" collapsed="false">
      <c r="A32" s="209" t="s">
        <v>1365</v>
      </c>
      <c r="B32" s="210"/>
      <c r="C32" s="210"/>
      <c r="D32" s="210"/>
      <c r="E32" s="210"/>
      <c r="F32" s="210"/>
    </row>
    <row r="33" customFormat="false" ht="13.5" hidden="false" customHeight="true" outlineLevel="0" collapsed="false">
      <c r="E33" s="381" t="n">
        <f aca="false">Model!E2</f>
        <v>46113</v>
      </c>
      <c r="F33" s="381" t="n">
        <f aca="false">Model!F2</f>
        <v>46143</v>
      </c>
      <c r="G33" s="381" t="n">
        <f aca="false">Model!G2</f>
        <v>46174</v>
      </c>
      <c r="H33" s="381" t="n">
        <f aca="false">Model!H2</f>
        <v>46204</v>
      </c>
      <c r="I33" s="381" t="n">
        <f aca="false">Model!I2</f>
        <v>46235</v>
      </c>
      <c r="J33" s="381" t="n">
        <f aca="false">Model!J2</f>
        <v>46266</v>
      </c>
      <c r="K33" s="381" t="n">
        <f aca="false">Model!K2</f>
        <v>46296</v>
      </c>
      <c r="L33" s="381" t="n">
        <f aca="false">Model!L2</f>
        <v>46327</v>
      </c>
      <c r="M33" s="381" t="n">
        <f aca="false">Model!M2</f>
        <v>46357</v>
      </c>
      <c r="N33" s="381" t="n">
        <f aca="false">Model!N2</f>
        <v>46388</v>
      </c>
      <c r="O33" s="381" t="n">
        <f aca="false">Model!O2</f>
        <v>46419</v>
      </c>
      <c r="P33" s="381" t="n">
        <f aca="false">Model!P2</f>
        <v>46447</v>
      </c>
      <c r="Q33" s="381" t="n">
        <f aca="false">Model!Q2</f>
        <v>46478</v>
      </c>
      <c r="R33" s="381" t="n">
        <f aca="false">Model!R2</f>
        <v>46508</v>
      </c>
      <c r="S33" s="381" t="n">
        <f aca="false">Model!S2</f>
        <v>46539</v>
      </c>
      <c r="T33" s="381" t="n">
        <f aca="false">Model!T2</f>
        <v>46569</v>
      </c>
      <c r="U33" s="381" t="n">
        <f aca="false">Model!U2</f>
        <v>46600</v>
      </c>
      <c r="V33" s="381" t="n">
        <f aca="false">Model!V2</f>
        <v>46631</v>
      </c>
      <c r="W33" s="381" t="n">
        <f aca="false">Model!W2</f>
        <v>46661</v>
      </c>
      <c r="X33" s="381" t="n">
        <f aca="false">Model!X2</f>
        <v>46692</v>
      </c>
      <c r="Y33" s="381" t="n">
        <f aca="false">Model!Y2</f>
        <v>46722</v>
      </c>
      <c r="Z33" s="381" t="n">
        <f aca="false">Model!Z2</f>
        <v>46753</v>
      </c>
      <c r="AA33" s="381" t="n">
        <f aca="false">Model!AA2</f>
        <v>46784</v>
      </c>
      <c r="AB33" s="381" t="n">
        <f aca="false">Model!AB2</f>
        <v>46813</v>
      </c>
      <c r="AC33" s="381" t="n">
        <f aca="false">Model!AC2</f>
        <v>46844</v>
      </c>
      <c r="AD33" s="381" t="n">
        <f aca="false">Model!AD2</f>
        <v>46874</v>
      </c>
      <c r="AE33" s="381" t="n">
        <f aca="false">Model!AE2</f>
        <v>46905</v>
      </c>
      <c r="AF33" s="381" t="n">
        <f aca="false">Model!AF2</f>
        <v>46935</v>
      </c>
      <c r="AG33" s="381" t="n">
        <f aca="false">Model!AG2</f>
        <v>46966</v>
      </c>
      <c r="AH33" s="381" t="n">
        <f aca="false">Model!AH2</f>
        <v>46997</v>
      </c>
      <c r="AI33" s="381" t="n">
        <f aca="false">Model!AI2</f>
        <v>47027</v>
      </c>
      <c r="AJ33" s="381" t="n">
        <f aca="false">Model!AJ2</f>
        <v>47058</v>
      </c>
      <c r="AK33" s="381" t="n">
        <f aca="false">Model!AK2</f>
        <v>47088</v>
      </c>
      <c r="AL33" s="381" t="n">
        <f aca="false">Model!AL2</f>
        <v>47119</v>
      </c>
      <c r="AM33" s="381" t="n">
        <f aca="false">Model!AM2</f>
        <v>47150</v>
      </c>
      <c r="AN33" s="381" t="n">
        <f aca="false">Model!AN2</f>
        <v>47178</v>
      </c>
      <c r="AO33" s="381" t="n">
        <f aca="false">Model!AO2</f>
        <v>47209</v>
      </c>
      <c r="AP33" s="381" t="n">
        <f aca="false">Model!AP2</f>
        <v>47239</v>
      </c>
      <c r="AQ33" s="381" t="n">
        <f aca="false">Model!AQ2</f>
        <v>47270</v>
      </c>
      <c r="AR33" s="381" t="n">
        <f aca="false">Model!AR2</f>
        <v>47300</v>
      </c>
      <c r="AS33" s="381" t="n">
        <f aca="false">Model!AS2</f>
        <v>47331</v>
      </c>
      <c r="AT33" s="381" t="n">
        <f aca="false">Model!AT2</f>
        <v>47362</v>
      </c>
      <c r="AU33" s="381" t="n">
        <f aca="false">Model!AU2</f>
        <v>47392</v>
      </c>
      <c r="AV33" s="381" t="n">
        <f aca="false">Model!AV2</f>
        <v>47423</v>
      </c>
      <c r="AW33" s="381" t="n">
        <f aca="false">Model!AW2</f>
        <v>47453</v>
      </c>
      <c r="AX33" s="381" t="n">
        <f aca="false">Model!AX2</f>
        <v>47484</v>
      </c>
      <c r="AY33" s="381" t="n">
        <f aca="false">Model!AY2</f>
        <v>47515</v>
      </c>
      <c r="AZ33" s="381" t="n">
        <f aca="false">Model!AZ2</f>
        <v>47543</v>
      </c>
      <c r="BA33" s="381" t="n">
        <f aca="false">Model!BA2</f>
        <v>47574</v>
      </c>
      <c r="BB33" s="381" t="n">
        <f aca="false">Model!BB2</f>
        <v>47604</v>
      </c>
      <c r="BC33" s="381" t="n">
        <f aca="false">Model!BC2</f>
        <v>47635</v>
      </c>
      <c r="BD33" s="381" t="n">
        <f aca="false">Model!BD2</f>
        <v>47665</v>
      </c>
      <c r="BE33" s="381" t="n">
        <f aca="false">Model!BE2</f>
        <v>47696</v>
      </c>
      <c r="BF33" s="381" t="n">
        <f aca="false">Model!BF2</f>
        <v>47727</v>
      </c>
      <c r="BG33" s="381" t="n">
        <f aca="false">Model!BG2</f>
        <v>47757</v>
      </c>
      <c r="BH33" s="381" t="n">
        <f aca="false">Model!BH2</f>
        <v>47788</v>
      </c>
      <c r="BI33" s="381" t="n">
        <f aca="false">Model!BI2</f>
        <v>47818</v>
      </c>
      <c r="BJ33" s="381" t="n">
        <f aca="false">Model!BJ2</f>
        <v>47849</v>
      </c>
      <c r="BK33" s="381" t="n">
        <f aca="false">Model!BK2</f>
        <v>47880</v>
      </c>
      <c r="BL33" s="381" t="n">
        <f aca="false">Model!BL2</f>
        <v>47908</v>
      </c>
      <c r="BM33" s="381" t="n">
        <f aca="false">Model!BM2</f>
        <v>47939</v>
      </c>
      <c r="BN33" s="381" t="n">
        <f aca="false">Model!BN2</f>
        <v>47969</v>
      </c>
      <c r="BO33" s="381" t="n">
        <f aca="false">Model!BO2</f>
        <v>48000</v>
      </c>
      <c r="BP33" s="381" t="n">
        <f aca="false">Model!BP2</f>
        <v>48030</v>
      </c>
      <c r="BQ33" s="381" t="n">
        <f aca="false">Model!BQ2</f>
        <v>48061</v>
      </c>
      <c r="BR33" s="381" t="n">
        <f aca="false">Model!BR2</f>
        <v>48092</v>
      </c>
      <c r="BS33" s="381" t="n">
        <f aca="false">Model!BS2</f>
        <v>48122</v>
      </c>
      <c r="BT33" s="381" t="n">
        <f aca="false">Model!BT2</f>
        <v>48153</v>
      </c>
      <c r="BU33" s="381" t="n">
        <f aca="false">Model!BU2</f>
        <v>48183</v>
      </c>
      <c r="BV33" s="381" t="n">
        <f aca="false">Model!BV2</f>
        <v>48214</v>
      </c>
      <c r="BW33" s="381" t="n">
        <f aca="false">Model!BW2</f>
        <v>48245</v>
      </c>
      <c r="BX33" s="381" t="n">
        <f aca="false">Model!BX2</f>
        <v>48274</v>
      </c>
      <c r="BY33" s="381" t="n">
        <f aca="false">Model!BY2</f>
        <v>48305</v>
      </c>
      <c r="BZ33" s="381" t="n">
        <f aca="false">Model!BZ2</f>
        <v>48335</v>
      </c>
      <c r="CA33" s="381" t="n">
        <f aca="false">Model!CA2</f>
        <v>48366</v>
      </c>
      <c r="CB33" s="381" t="n">
        <f aca="false">Model!CB2</f>
        <v>48396</v>
      </c>
      <c r="CC33" s="381" t="n">
        <f aca="false">Model!CC2</f>
        <v>48427</v>
      </c>
      <c r="CD33" s="381" t="n">
        <f aca="false">Model!CD2</f>
        <v>48458</v>
      </c>
      <c r="CE33" s="381" t="n">
        <f aca="false">Model!CE2</f>
        <v>48488</v>
      </c>
      <c r="CF33" s="381" t="n">
        <f aca="false">Model!CF2</f>
        <v>48519</v>
      </c>
      <c r="CG33" s="381" t="n">
        <f aca="false">Model!CG2</f>
        <v>48549</v>
      </c>
      <c r="CH33" s="381" t="n">
        <f aca="false">Model!CH2</f>
        <v>48580</v>
      </c>
      <c r="CI33" s="381" t="n">
        <f aca="false">Model!CI2</f>
        <v>48611</v>
      </c>
      <c r="CJ33" s="381" t="n">
        <f aca="false">Model!CJ2</f>
        <v>48639</v>
      </c>
      <c r="CK33" s="381" t="n">
        <f aca="false">Model!CK2</f>
        <v>48670</v>
      </c>
      <c r="CL33" s="381" t="n">
        <f aca="false">Model!CL2</f>
        <v>48700</v>
      </c>
      <c r="CM33" s="381" t="n">
        <f aca="false">Model!CM2</f>
        <v>48731</v>
      </c>
      <c r="CN33" s="381" t="n">
        <f aca="false">Model!CN2</f>
        <v>48761</v>
      </c>
      <c r="CO33" s="381" t="n">
        <f aca="false">Model!CO2</f>
        <v>48792</v>
      </c>
      <c r="CP33" s="381" t="n">
        <f aca="false">Model!CP2</f>
        <v>48823</v>
      </c>
      <c r="CQ33" s="381" t="n">
        <f aca="false">Model!CQ2</f>
        <v>48853</v>
      </c>
      <c r="CR33" s="381" t="n">
        <f aca="false">Model!CR2</f>
        <v>48884</v>
      </c>
      <c r="CS33" s="381" t="n">
        <f aca="false">Model!CS2</f>
        <v>48914</v>
      </c>
      <c r="CT33" s="381" t="n">
        <f aca="false">Model!CT2</f>
        <v>48945</v>
      </c>
      <c r="CU33" s="381" t="n">
        <f aca="false">Model!CU2</f>
        <v>48976</v>
      </c>
      <c r="CV33" s="381" t="n">
        <f aca="false">Model!CV2</f>
        <v>49004</v>
      </c>
      <c r="CW33" s="381" t="n">
        <f aca="false">Model!CW2</f>
        <v>49035</v>
      </c>
      <c r="CX33" s="381" t="n">
        <f aca="false">Model!CX2</f>
        <v>49065</v>
      </c>
      <c r="CY33" s="381" t="n">
        <f aca="false">Model!CY2</f>
        <v>49096</v>
      </c>
      <c r="CZ33" s="381" t="n">
        <f aca="false">Model!CZ2</f>
        <v>49126</v>
      </c>
      <c r="DA33" s="381" t="n">
        <f aca="false">Model!DA2</f>
        <v>49157</v>
      </c>
      <c r="DB33" s="381" t="n">
        <f aca="false">Model!DB2</f>
        <v>49188</v>
      </c>
      <c r="DC33" s="381" t="n">
        <f aca="false">Model!DC2</f>
        <v>49218</v>
      </c>
      <c r="DD33" s="381" t="n">
        <f aca="false">Model!DD2</f>
        <v>49249</v>
      </c>
      <c r="DE33" s="381"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09" t="s">
        <v>1366</v>
      </c>
      <c r="B36" s="210"/>
      <c r="C36" s="210"/>
      <c r="D36" s="210"/>
      <c r="E36" s="210"/>
      <c r="F36" s="210"/>
    </row>
    <row r="37" customFormat="false" ht="13.5" hidden="false" customHeight="true" outlineLevel="0" collapsed="false">
      <c r="A37" s="110" t="s">
        <v>1367</v>
      </c>
      <c r="E37" s="382" t="n">
        <f aca="false">SUMPRODUCT((Projects!$G$2:$G$45="Yes")*(1&gt;=Projects!$C$2:$C$45)*(1&lt;=Projects!$W$2:$W$45))</f>
        <v>5</v>
      </c>
      <c r="F37" s="382" t="n">
        <f aca="false">SUMPRODUCT((Projects!$G$2:$G$45="Yes")*(2&gt;=Projects!$C$2:$C$45)*(2&lt;=Projects!$W$2:$W$45))</f>
        <v>5</v>
      </c>
      <c r="G37" s="382" t="n">
        <f aca="false">SUMPRODUCT((Projects!$G$2:$G$45="Yes")*(3&gt;=Projects!$C$2:$C$45)*(3&lt;=Projects!$W$2:$W$45))</f>
        <v>5</v>
      </c>
      <c r="H37" s="382" t="n">
        <f aca="false">SUMPRODUCT((Projects!$G$2:$G$45="Yes")*(4&gt;=Projects!$C$2:$C$45)*(4&lt;=Projects!$W$2:$W$45))</f>
        <v>5</v>
      </c>
      <c r="I37" s="382" t="n">
        <f aca="false">SUMPRODUCT((Projects!$G$2:$G$45="Yes")*(5&gt;=Projects!$C$2:$C$45)*(5&lt;=Projects!$W$2:$W$45))</f>
        <v>7</v>
      </c>
      <c r="J37" s="382" t="n">
        <f aca="false">SUMPRODUCT((Projects!$G$2:$G$45="Yes")*(6&gt;=Projects!$C$2:$C$45)*(6&lt;=Projects!$W$2:$W$45))</f>
        <v>8</v>
      </c>
      <c r="K37" s="382" t="n">
        <f aca="false">SUMPRODUCT((Projects!$G$2:$G$45="Yes")*(7&gt;=Projects!$C$2:$C$45)*(7&lt;=Projects!$W$2:$W$45))</f>
        <v>8</v>
      </c>
      <c r="L37" s="382" t="n">
        <f aca="false">SUMPRODUCT((Projects!$G$2:$G$45="Yes")*(8&gt;=Projects!$C$2:$C$45)*(8&lt;=Projects!$W$2:$W$45))</f>
        <v>8</v>
      </c>
      <c r="M37" s="382" t="n">
        <f aca="false">SUMPRODUCT((Projects!$G$2:$G$45="Yes")*(9&gt;=Projects!$C$2:$C$45)*(9&lt;=Projects!$W$2:$W$45))</f>
        <v>8</v>
      </c>
      <c r="N37" s="382" t="n">
        <f aca="false">SUMPRODUCT((Projects!$G$2:$G$45="Yes")*(10&gt;=Projects!$C$2:$C$45)*(10&lt;=Projects!$W$2:$W$45))</f>
        <v>10</v>
      </c>
      <c r="O37" s="382" t="n">
        <f aca="false">SUMPRODUCT((Projects!$G$2:$G$45="Yes")*(11&gt;=Projects!$C$2:$C$45)*(11&lt;=Projects!$W$2:$W$45))</f>
        <v>11</v>
      </c>
      <c r="P37" s="382" t="n">
        <f aca="false">SUMPRODUCT((Projects!$G$2:$G$45="Yes")*(12&gt;=Projects!$C$2:$C$45)*(12&lt;=Projects!$W$2:$W$45))</f>
        <v>11</v>
      </c>
      <c r="Q37" s="382" t="n">
        <f aca="false">SUMPRODUCT((Projects!$G$2:$G$45="Yes")*(13&gt;=Projects!$C$2:$C$45)*(13&lt;=Projects!$W$2:$W$45))</f>
        <v>12</v>
      </c>
      <c r="R37" s="382" t="n">
        <f aca="false">SUMPRODUCT((Projects!$G$2:$G$45="Yes")*(14&gt;=Projects!$C$2:$C$45)*(14&lt;=Projects!$W$2:$W$45))</f>
        <v>13</v>
      </c>
      <c r="S37" s="382" t="n">
        <f aca="false">SUMPRODUCT((Projects!$G$2:$G$45="Yes")*(15&gt;=Projects!$C$2:$C$45)*(15&lt;=Projects!$W$2:$W$45))</f>
        <v>14</v>
      </c>
      <c r="T37" s="382" t="n">
        <f aca="false">SUMPRODUCT((Projects!$G$2:$G$45="Yes")*(16&gt;=Projects!$C$2:$C$45)*(16&lt;=Projects!$W$2:$W$45))</f>
        <v>14</v>
      </c>
      <c r="U37" s="382" t="n">
        <f aca="false">SUMPRODUCT((Projects!$G$2:$G$45="Yes")*(17&gt;=Projects!$C$2:$C$45)*(17&lt;=Projects!$W$2:$W$45))</f>
        <v>14</v>
      </c>
      <c r="V37" s="382" t="n">
        <f aca="false">SUMPRODUCT((Projects!$G$2:$G$45="Yes")*(18&gt;=Projects!$C$2:$C$45)*(18&lt;=Projects!$W$2:$W$45))</f>
        <v>13</v>
      </c>
      <c r="W37" s="382" t="n">
        <f aca="false">SUMPRODUCT((Projects!$G$2:$G$45="Yes")*(19&gt;=Projects!$C$2:$C$45)*(19&lt;=Projects!$W$2:$W$45))</f>
        <v>12</v>
      </c>
      <c r="X37" s="382" t="n">
        <f aca="false">SUMPRODUCT((Projects!$G$2:$G$45="Yes")*(20&gt;=Projects!$C$2:$C$45)*(20&lt;=Projects!$W$2:$W$45))</f>
        <v>12</v>
      </c>
      <c r="Y37" s="382" t="n">
        <f aca="false">SUMPRODUCT((Projects!$G$2:$G$45="Yes")*(21&gt;=Projects!$C$2:$C$45)*(21&lt;=Projects!$W$2:$W$45))</f>
        <v>12</v>
      </c>
      <c r="Z37" s="382" t="n">
        <f aca="false">SUMPRODUCT((Projects!$G$2:$G$45="Yes")*(22&gt;=Projects!$C$2:$C$45)*(22&lt;=Projects!$W$2:$W$45))</f>
        <v>12</v>
      </c>
      <c r="AA37" s="382" t="n">
        <f aca="false">SUMPRODUCT((Projects!$G$2:$G$45="Yes")*(23&gt;=Projects!$C$2:$C$45)*(23&lt;=Projects!$W$2:$W$45))</f>
        <v>12</v>
      </c>
      <c r="AB37" s="382" t="n">
        <f aca="false">SUMPRODUCT((Projects!$G$2:$G$45="Yes")*(24&gt;=Projects!$C$2:$C$45)*(24&lt;=Projects!$W$2:$W$45))</f>
        <v>11</v>
      </c>
      <c r="AC37" s="382" t="n">
        <f aca="false">SUMPRODUCT((Projects!$G$2:$G$45="Yes")*(25&gt;=Projects!$C$2:$C$45)*(25&lt;=Projects!$W$2:$W$45))</f>
        <v>10</v>
      </c>
      <c r="AD37" s="382" t="n">
        <f aca="false">SUMPRODUCT((Projects!$G$2:$G$45="Yes")*(26&gt;=Projects!$C$2:$C$45)*(26&lt;=Projects!$W$2:$W$45))</f>
        <v>10</v>
      </c>
      <c r="AE37" s="382" t="n">
        <f aca="false">SUMPRODUCT((Projects!$G$2:$G$45="Yes")*(27&gt;=Projects!$C$2:$C$45)*(27&lt;=Projects!$W$2:$W$45))</f>
        <v>11</v>
      </c>
      <c r="AF37" s="382" t="n">
        <f aca="false">SUMPRODUCT((Projects!$G$2:$G$45="Yes")*(28&gt;=Projects!$C$2:$C$45)*(28&lt;=Projects!$W$2:$W$45))</f>
        <v>11</v>
      </c>
      <c r="AG37" s="382" t="n">
        <f aca="false">SUMPRODUCT((Projects!$G$2:$G$45="Yes")*(29&gt;=Projects!$C$2:$C$45)*(29&lt;=Projects!$W$2:$W$45))</f>
        <v>9</v>
      </c>
      <c r="AH37" s="382" t="n">
        <f aca="false">SUMPRODUCT((Projects!$G$2:$G$45="Yes")*(30&gt;=Projects!$C$2:$C$45)*(30&lt;=Projects!$W$2:$W$45))</f>
        <v>8</v>
      </c>
      <c r="AI37" s="382" t="n">
        <f aca="false">SUMPRODUCT((Projects!$G$2:$G$45="Yes")*(31&gt;=Projects!$C$2:$C$45)*(31&lt;=Projects!$W$2:$W$45))</f>
        <v>8</v>
      </c>
      <c r="AJ37" s="382" t="n">
        <f aca="false">SUMPRODUCT((Projects!$G$2:$G$45="Yes")*(32&gt;=Projects!$C$2:$C$45)*(32&lt;=Projects!$W$2:$W$45))</f>
        <v>8</v>
      </c>
      <c r="AK37" s="382" t="n">
        <f aca="false">SUMPRODUCT((Projects!$G$2:$G$45="Yes")*(33&gt;=Projects!$C$2:$C$45)*(33&lt;=Projects!$W$2:$W$45))</f>
        <v>6</v>
      </c>
      <c r="AL37" s="382" t="n">
        <f aca="false">SUMPRODUCT((Projects!$G$2:$G$45="Yes")*(34&gt;=Projects!$C$2:$C$45)*(34&lt;=Projects!$W$2:$W$45))</f>
        <v>5</v>
      </c>
      <c r="AM37" s="382" t="n">
        <f aca="false">SUMPRODUCT((Projects!$G$2:$G$45="Yes")*(35&gt;=Projects!$C$2:$C$45)*(35&lt;=Projects!$W$2:$W$45))</f>
        <v>4</v>
      </c>
      <c r="AN37" s="382" t="n">
        <f aca="false">SUMPRODUCT((Projects!$G$2:$G$45="Yes")*(36&gt;=Projects!$C$2:$C$45)*(36&lt;=Projects!$W$2:$W$45))</f>
        <v>4</v>
      </c>
      <c r="AO37" s="382" t="n">
        <f aca="false">SUMPRODUCT((Projects!$G$2:$G$45="Yes")*(37&gt;=Projects!$C$2:$C$45)*(37&lt;=Projects!$W$2:$W$45))</f>
        <v>3</v>
      </c>
      <c r="AP37" s="382" t="n">
        <f aca="false">SUMPRODUCT((Projects!$G$2:$G$45="Yes")*(38&gt;=Projects!$C$2:$C$45)*(38&lt;=Projects!$W$2:$W$45))</f>
        <v>3</v>
      </c>
      <c r="AQ37" s="382" t="n">
        <f aca="false">SUMPRODUCT((Projects!$G$2:$G$45="Yes")*(39&gt;=Projects!$C$2:$C$45)*(39&lt;=Projects!$W$2:$W$45))</f>
        <v>3</v>
      </c>
      <c r="AR37" s="382" t="n">
        <f aca="false">SUMPRODUCT((Projects!$G$2:$G$45="Yes")*(40&gt;=Projects!$C$2:$C$45)*(40&lt;=Projects!$W$2:$W$45))</f>
        <v>3</v>
      </c>
      <c r="AS37" s="382" t="n">
        <f aca="false">SUMPRODUCT((Projects!$G$2:$G$45="Yes")*(41&gt;=Projects!$C$2:$C$45)*(41&lt;=Projects!$W$2:$W$45))</f>
        <v>3</v>
      </c>
      <c r="AT37" s="382" t="n">
        <f aca="false">SUMPRODUCT((Projects!$G$2:$G$45="Yes")*(42&gt;=Projects!$C$2:$C$45)*(42&lt;=Projects!$W$2:$W$45))</f>
        <v>3</v>
      </c>
      <c r="AU37" s="382" t="n">
        <f aca="false">SUMPRODUCT((Projects!$G$2:$G$45="Yes")*(43&gt;=Projects!$C$2:$C$45)*(43&lt;=Projects!$W$2:$W$45))</f>
        <v>2</v>
      </c>
      <c r="AV37" s="382" t="n">
        <f aca="false">SUMPRODUCT((Projects!$G$2:$G$45="Yes")*(44&gt;=Projects!$C$2:$C$45)*(44&lt;=Projects!$W$2:$W$45))</f>
        <v>1</v>
      </c>
      <c r="AW37" s="382" t="n">
        <f aca="false">SUMPRODUCT((Projects!$G$2:$G$45="Yes")*(45&gt;=Projects!$C$2:$C$45)*(45&lt;=Projects!$W$2:$W$45))</f>
        <v>1</v>
      </c>
      <c r="AX37" s="382" t="n">
        <f aca="false">SUMPRODUCT((Projects!$G$2:$G$45="Yes")*(46&gt;=Projects!$C$2:$C$45)*(46&lt;=Projects!$W$2:$W$45))</f>
        <v>1</v>
      </c>
      <c r="AY37" s="382" t="n">
        <f aca="false">SUMPRODUCT((Projects!$G$2:$G$45="Yes")*(47&gt;=Projects!$C$2:$C$45)*(47&lt;=Projects!$W$2:$W$45))</f>
        <v>1</v>
      </c>
      <c r="AZ37" s="382" t="n">
        <f aca="false">SUMPRODUCT((Projects!$G$2:$G$45="Yes")*(48&gt;=Projects!$C$2:$C$45)*(48&lt;=Projects!$W$2:$W$45))</f>
        <v>1</v>
      </c>
      <c r="BA37" s="382" t="n">
        <f aca="false">SUMPRODUCT((Projects!$G$2:$G$45="Yes")*(49&gt;=Projects!$C$2:$C$45)*(49&lt;=Projects!$W$2:$W$45))</f>
        <v>1</v>
      </c>
      <c r="BB37" s="382" t="n">
        <f aca="false">SUMPRODUCT((Projects!$G$2:$G$45="Yes")*(50&gt;=Projects!$C$2:$C$45)*(50&lt;=Projects!$W$2:$W$45))</f>
        <v>1</v>
      </c>
      <c r="BC37" s="382" t="n">
        <f aca="false">SUMPRODUCT((Projects!$G$2:$G$45="Yes")*(51&gt;=Projects!$C$2:$C$45)*(51&lt;=Projects!$W$2:$W$45))</f>
        <v>1</v>
      </c>
      <c r="BD37" s="382" t="n">
        <f aca="false">SUMPRODUCT((Projects!$G$2:$G$45="Yes")*(52&gt;=Projects!$C$2:$C$45)*(52&lt;=Projects!$W$2:$W$45))</f>
        <v>1</v>
      </c>
      <c r="BE37" s="382" t="n">
        <f aca="false">SUMPRODUCT((Projects!$G$2:$G$45="Yes")*(53&gt;=Projects!$C$2:$C$45)*(53&lt;=Projects!$W$2:$W$45))</f>
        <v>1</v>
      </c>
      <c r="BF37" s="382" t="n">
        <f aca="false">SUMPRODUCT((Projects!$G$2:$G$45="Yes")*(54&gt;=Projects!$C$2:$C$45)*(54&lt;=Projects!$W$2:$W$45))</f>
        <v>1</v>
      </c>
      <c r="BG37" s="382" t="n">
        <f aca="false">SUMPRODUCT((Projects!$G$2:$G$45="Yes")*(55&gt;=Projects!$C$2:$C$45)*(55&lt;=Projects!$W$2:$W$45))</f>
        <v>1</v>
      </c>
      <c r="BH37" s="382" t="n">
        <f aca="false">SUMPRODUCT((Projects!$G$2:$G$45="Yes")*(56&gt;=Projects!$C$2:$C$45)*(56&lt;=Projects!$W$2:$W$45))</f>
        <v>1</v>
      </c>
      <c r="BI37" s="382" t="n">
        <f aca="false">SUMPRODUCT((Projects!$G$2:$G$45="Yes")*(57&gt;=Projects!$C$2:$C$45)*(57&lt;=Projects!$W$2:$W$45))</f>
        <v>0</v>
      </c>
      <c r="BJ37" s="382" t="n">
        <f aca="false">SUMPRODUCT((Projects!$G$2:$G$45="Yes")*(58&gt;=Projects!$C$2:$C$45)*(58&lt;=Projects!$W$2:$W$45))</f>
        <v>0</v>
      </c>
      <c r="BK37" s="382" t="n">
        <f aca="false">SUMPRODUCT((Projects!$G$2:$G$45="Yes")*(59&gt;=Projects!$C$2:$C$45)*(59&lt;=Projects!$W$2:$W$45))</f>
        <v>0</v>
      </c>
      <c r="BL37" s="382" t="n">
        <f aca="false">SUMPRODUCT((Projects!$G$2:$G$45="Yes")*(60&gt;=Projects!$C$2:$C$45)*(60&lt;=Projects!$W$2:$W$45))</f>
        <v>0</v>
      </c>
      <c r="BM37" s="382" t="n">
        <f aca="false">SUMPRODUCT((Projects!$G$2:$G$45="Yes")*(61&gt;=Projects!$C$2:$C$45)*(61&lt;=Projects!$W$2:$W$45))</f>
        <v>0</v>
      </c>
      <c r="BN37" s="382" t="n">
        <f aca="false">SUMPRODUCT((Projects!$G$2:$G$45="Yes")*(62&gt;=Projects!$C$2:$C$45)*(62&lt;=Projects!$W$2:$W$45))</f>
        <v>0</v>
      </c>
      <c r="BO37" s="382" t="n">
        <f aca="false">SUMPRODUCT((Projects!$G$2:$G$45="Yes")*(63&gt;=Projects!$C$2:$C$45)*(63&lt;=Projects!$W$2:$W$45))</f>
        <v>0</v>
      </c>
      <c r="BP37" s="382" t="n">
        <f aca="false">SUMPRODUCT((Projects!$G$2:$G$45="Yes")*(64&gt;=Projects!$C$2:$C$45)*(64&lt;=Projects!$W$2:$W$45))</f>
        <v>0</v>
      </c>
      <c r="BQ37" s="382" t="n">
        <f aca="false">SUMPRODUCT((Projects!$G$2:$G$45="Yes")*(65&gt;=Projects!$C$2:$C$45)*(65&lt;=Projects!$W$2:$W$45))</f>
        <v>0</v>
      </c>
      <c r="BR37" s="382" t="n">
        <f aca="false">SUMPRODUCT((Projects!$G$2:$G$45="Yes")*(66&gt;=Projects!$C$2:$C$45)*(66&lt;=Projects!$W$2:$W$45))</f>
        <v>0</v>
      </c>
      <c r="BS37" s="382" t="n">
        <f aca="false">SUMPRODUCT((Projects!$G$2:$G$45="Yes")*(67&gt;=Projects!$C$2:$C$45)*(67&lt;=Projects!$W$2:$W$45))</f>
        <v>0</v>
      </c>
      <c r="BT37" s="382" t="n">
        <f aca="false">SUMPRODUCT((Projects!$G$2:$G$45="Yes")*(68&gt;=Projects!$C$2:$C$45)*(68&lt;=Projects!$W$2:$W$45))</f>
        <v>0</v>
      </c>
      <c r="BU37" s="382" t="n">
        <f aca="false">SUMPRODUCT((Projects!$G$2:$G$45="Yes")*(69&gt;=Projects!$C$2:$C$45)*(69&lt;=Projects!$W$2:$W$45))</f>
        <v>0</v>
      </c>
      <c r="BV37" s="382" t="n">
        <f aca="false">SUMPRODUCT((Projects!$G$2:$G$45="Yes")*(70&gt;=Projects!$C$2:$C$45)*(70&lt;=Projects!$W$2:$W$45))</f>
        <v>0</v>
      </c>
      <c r="BW37" s="382" t="n">
        <f aca="false">SUMPRODUCT((Projects!$G$2:$G$45="Yes")*(71&gt;=Projects!$C$2:$C$45)*(71&lt;=Projects!$W$2:$W$45))</f>
        <v>0</v>
      </c>
      <c r="BX37" s="382" t="n">
        <f aca="false">SUMPRODUCT((Projects!$G$2:$G$45="Yes")*(72&gt;=Projects!$C$2:$C$45)*(72&lt;=Projects!$W$2:$W$45))</f>
        <v>0</v>
      </c>
      <c r="BY37" s="382" t="n">
        <f aca="false">SUMPRODUCT((Projects!$G$2:$G$45="Yes")*(73&gt;=Projects!$C$2:$C$45)*(73&lt;=Projects!$W$2:$W$45))</f>
        <v>0</v>
      </c>
      <c r="BZ37" s="382" t="n">
        <f aca="false">SUMPRODUCT((Projects!$G$2:$G$45="Yes")*(74&gt;=Projects!$C$2:$C$45)*(74&lt;=Projects!$W$2:$W$45))</f>
        <v>0</v>
      </c>
      <c r="CA37" s="382" t="n">
        <f aca="false">SUMPRODUCT((Projects!$G$2:$G$45="Yes")*(75&gt;=Projects!$C$2:$C$45)*(75&lt;=Projects!$W$2:$W$45))</f>
        <v>0</v>
      </c>
      <c r="CB37" s="382" t="n">
        <f aca="false">SUMPRODUCT((Projects!$G$2:$G$45="Yes")*(76&gt;=Projects!$C$2:$C$45)*(76&lt;=Projects!$W$2:$W$45))</f>
        <v>0</v>
      </c>
      <c r="CC37" s="382" t="n">
        <f aca="false">SUMPRODUCT((Projects!$G$2:$G$45="Yes")*(77&gt;=Projects!$C$2:$C$45)*(77&lt;=Projects!$W$2:$W$45))</f>
        <v>0</v>
      </c>
      <c r="CD37" s="382" t="n">
        <f aca="false">SUMPRODUCT((Projects!$G$2:$G$45="Yes")*(78&gt;=Projects!$C$2:$C$45)*(78&lt;=Projects!$W$2:$W$45))</f>
        <v>0</v>
      </c>
      <c r="CE37" s="382" t="n">
        <f aca="false">SUMPRODUCT((Projects!$G$2:$G$45="Yes")*(79&gt;=Projects!$C$2:$C$45)*(79&lt;=Projects!$W$2:$W$45))</f>
        <v>0</v>
      </c>
      <c r="CF37" s="382" t="n">
        <f aca="false">SUMPRODUCT((Projects!$G$2:$G$45="Yes")*(80&gt;=Projects!$C$2:$C$45)*(80&lt;=Projects!$W$2:$W$45))</f>
        <v>0</v>
      </c>
      <c r="CG37" s="382" t="n">
        <f aca="false">SUMPRODUCT((Projects!$G$2:$G$45="Yes")*(81&gt;=Projects!$C$2:$C$45)*(81&lt;=Projects!$W$2:$W$45))</f>
        <v>0</v>
      </c>
      <c r="CH37" s="382" t="n">
        <f aca="false">SUMPRODUCT((Projects!$G$2:$G$45="Yes")*(82&gt;=Projects!$C$2:$C$45)*(82&lt;=Projects!$W$2:$W$45))</f>
        <v>0</v>
      </c>
      <c r="CI37" s="382" t="n">
        <f aca="false">SUMPRODUCT((Projects!$G$2:$G$45="Yes")*(83&gt;=Projects!$C$2:$C$45)*(83&lt;=Projects!$W$2:$W$45))</f>
        <v>0</v>
      </c>
      <c r="CJ37" s="382" t="n">
        <f aca="false">SUMPRODUCT((Projects!$G$2:$G$45="Yes")*(84&gt;=Projects!$C$2:$C$45)*(84&lt;=Projects!$W$2:$W$45))</f>
        <v>0</v>
      </c>
      <c r="CK37" s="382" t="n">
        <f aca="false">SUMPRODUCT((Projects!$G$2:$G$45="Yes")*(85&gt;=Projects!$C$2:$C$45)*(85&lt;=Projects!$W$2:$W$45))</f>
        <v>0</v>
      </c>
      <c r="CL37" s="382" t="n">
        <f aca="false">SUMPRODUCT((Projects!$G$2:$G$45="Yes")*(86&gt;=Projects!$C$2:$C$45)*(86&lt;=Projects!$W$2:$W$45))</f>
        <v>0</v>
      </c>
      <c r="CM37" s="382" t="n">
        <f aca="false">SUMPRODUCT((Projects!$G$2:$G$45="Yes")*(87&gt;=Projects!$C$2:$C$45)*(87&lt;=Projects!$W$2:$W$45))</f>
        <v>0</v>
      </c>
      <c r="CN37" s="382" t="n">
        <f aca="false">SUMPRODUCT((Projects!$G$2:$G$45="Yes")*(88&gt;=Projects!$C$2:$C$45)*(88&lt;=Projects!$W$2:$W$45))</f>
        <v>0</v>
      </c>
      <c r="CO37" s="382" t="n">
        <f aca="false">SUMPRODUCT((Projects!$G$2:$G$45="Yes")*(89&gt;=Projects!$C$2:$C$45)*(89&lt;=Projects!$W$2:$W$45))</f>
        <v>0</v>
      </c>
      <c r="CP37" s="382" t="n">
        <f aca="false">SUMPRODUCT((Projects!$G$2:$G$45="Yes")*(90&gt;=Projects!$C$2:$C$45)*(90&lt;=Projects!$W$2:$W$45))</f>
        <v>0</v>
      </c>
      <c r="CQ37" s="382" t="n">
        <f aca="false">SUMPRODUCT((Projects!$G$2:$G$45="Yes")*(91&gt;=Projects!$C$2:$C$45)*(91&lt;=Projects!$W$2:$W$45))</f>
        <v>0</v>
      </c>
      <c r="CR37" s="382" t="n">
        <f aca="false">SUMPRODUCT((Projects!$G$2:$G$45="Yes")*(92&gt;=Projects!$C$2:$C$45)*(92&lt;=Projects!$W$2:$W$45))</f>
        <v>0</v>
      </c>
      <c r="CS37" s="382" t="n">
        <f aca="false">SUMPRODUCT((Projects!$G$2:$G$45="Yes")*(93&gt;=Projects!$C$2:$C$45)*(93&lt;=Projects!$W$2:$W$45))</f>
        <v>0</v>
      </c>
      <c r="CT37" s="382" t="n">
        <f aca="false">SUMPRODUCT((Projects!$G$2:$G$45="Yes")*(94&gt;=Projects!$C$2:$C$45)*(94&lt;=Projects!$W$2:$W$45))</f>
        <v>0</v>
      </c>
      <c r="CU37" s="382" t="n">
        <f aca="false">SUMPRODUCT((Projects!$G$2:$G$45="Yes")*(95&gt;=Projects!$C$2:$C$45)*(95&lt;=Projects!$W$2:$W$45))</f>
        <v>0</v>
      </c>
      <c r="CV37" s="382" t="n">
        <f aca="false">SUMPRODUCT((Projects!$G$2:$G$45="Yes")*(96&gt;=Projects!$C$2:$C$45)*(96&lt;=Projects!$W$2:$W$45))</f>
        <v>0</v>
      </c>
      <c r="CW37" s="382" t="n">
        <f aca="false">SUMPRODUCT((Projects!$G$2:$G$45="Yes")*(97&gt;=Projects!$C$2:$C$45)*(97&lt;=Projects!$W$2:$W$45))</f>
        <v>0</v>
      </c>
      <c r="CX37" s="382" t="n">
        <f aca="false">SUMPRODUCT((Projects!$G$2:$G$45="Yes")*(98&gt;=Projects!$C$2:$C$45)*(98&lt;=Projects!$W$2:$W$45))</f>
        <v>0</v>
      </c>
      <c r="CY37" s="382" t="n">
        <f aca="false">SUMPRODUCT((Projects!$G$2:$G$45="Yes")*(99&gt;=Projects!$C$2:$C$45)*(99&lt;=Projects!$W$2:$W$45))</f>
        <v>0</v>
      </c>
      <c r="CZ37" s="382" t="n">
        <f aca="false">SUMPRODUCT((Projects!$G$2:$G$45="Yes")*(100&gt;=Projects!$C$2:$C$45)*(100&lt;=Projects!$W$2:$W$45))</f>
        <v>0</v>
      </c>
      <c r="DA37" s="382" t="n">
        <f aca="false">SUMPRODUCT((Projects!$G$2:$G$45="Yes")*(101&gt;=Projects!$C$2:$C$45)*(101&lt;=Projects!$W$2:$W$45))</f>
        <v>0</v>
      </c>
      <c r="DB37" s="382" t="n">
        <f aca="false">SUMPRODUCT((Projects!$G$2:$G$45="Yes")*(102&gt;=Projects!$C$2:$C$45)*(102&lt;=Projects!$W$2:$W$45))</f>
        <v>0</v>
      </c>
      <c r="DC37" s="382" t="n">
        <f aca="false">SUMPRODUCT((Projects!$G$2:$G$45="Yes")*(103&gt;=Projects!$C$2:$C$45)*(103&lt;=Projects!$W$2:$W$45))</f>
        <v>0</v>
      </c>
      <c r="DD37" s="382" t="n">
        <f aca="false">SUMPRODUCT((Projects!$G$2:$G$45="Yes")*(104&gt;=Projects!$C$2:$C$45)*(104&lt;=Projects!$W$2:$W$45))</f>
        <v>0</v>
      </c>
      <c r="DE37" s="382" t="n">
        <f aca="false">SUMPRODUCT((Projects!$G$2:$G$45="Yes")*(105&gt;=Projects!$C$2:$C$45)*(105&lt;=Projects!$W$2:$W$45))</f>
        <v>0</v>
      </c>
    </row>
    <row r="38" customFormat="false" ht="13.5" hidden="false" customHeight="true" outlineLevel="0" collapsed="false">
      <c r="A38" s="110" t="s">
        <v>1368</v>
      </c>
      <c r="E38" s="382" t="n">
        <f aca="false">SUMPRODUCT((Projects!$G$2:$G$45="Yes")*(1&gt;=Projects!$C$2:$C$45-$B$14)*(1&lt;=Projects!$W$2:$W$45+$B$17))*$B$5</f>
        <v>4.375</v>
      </c>
      <c r="F38" s="382" t="n">
        <f aca="false">SUMPRODUCT((Projects!$G$2:$G$45="Yes")*(2&gt;=Projects!$C$2:$C$45-$B$14)*(2&lt;=Projects!$W$2:$W$45+$B$17))*$B$5</f>
        <v>4.375</v>
      </c>
      <c r="G38" s="382" t="n">
        <f aca="false">SUMPRODUCT((Projects!$G$2:$G$45="Yes")*(3&gt;=Projects!$C$2:$C$45-$B$14)*(3&lt;=Projects!$W$2:$W$45+$B$17))*$B$5</f>
        <v>4.375</v>
      </c>
      <c r="H38" s="382" t="n">
        <f aca="false">SUMPRODUCT((Projects!$G$2:$G$45="Yes")*(4&gt;=Projects!$C$2:$C$45-$B$14)*(4&lt;=Projects!$W$2:$W$45+$B$17))*$B$5</f>
        <v>4.375</v>
      </c>
      <c r="I38" s="382" t="n">
        <f aca="false">SUMPRODUCT((Projects!$G$2:$G$45="Yes")*(5&gt;=Projects!$C$2:$C$45-$B$14)*(5&lt;=Projects!$W$2:$W$45+$B$17))*$B$5</f>
        <v>6.125</v>
      </c>
      <c r="J38" s="382" t="n">
        <f aca="false">SUMPRODUCT((Projects!$G$2:$G$45="Yes")*(6&gt;=Projects!$C$2:$C$45-$B$14)*(6&lt;=Projects!$W$2:$W$45+$B$17))*$B$5</f>
        <v>7</v>
      </c>
      <c r="K38" s="382" t="n">
        <f aca="false">SUMPRODUCT((Projects!$G$2:$G$45="Yes")*(7&gt;=Projects!$C$2:$C$45-$B$14)*(7&lt;=Projects!$W$2:$W$45+$B$17))*$B$5</f>
        <v>7</v>
      </c>
      <c r="L38" s="382" t="n">
        <f aca="false">SUMPRODUCT((Projects!$G$2:$G$45="Yes")*(8&gt;=Projects!$C$2:$C$45-$B$14)*(8&lt;=Projects!$W$2:$W$45+$B$17))*$B$5</f>
        <v>7</v>
      </c>
      <c r="M38" s="382" t="n">
        <f aca="false">SUMPRODUCT((Projects!$G$2:$G$45="Yes")*(9&gt;=Projects!$C$2:$C$45-$B$14)*(9&lt;=Projects!$W$2:$W$45+$B$17))*$B$5</f>
        <v>7.875</v>
      </c>
      <c r="N38" s="382" t="n">
        <f aca="false">SUMPRODUCT((Projects!$G$2:$G$45="Yes")*(10&gt;=Projects!$C$2:$C$45-$B$14)*(10&lt;=Projects!$W$2:$W$45+$B$17))*$B$5</f>
        <v>8.75</v>
      </c>
      <c r="O38" s="382" t="n">
        <f aca="false">SUMPRODUCT((Projects!$G$2:$G$45="Yes")*(11&gt;=Projects!$C$2:$C$45-$B$14)*(11&lt;=Projects!$W$2:$W$45+$B$17))*$B$5</f>
        <v>9.625</v>
      </c>
      <c r="P38" s="382" t="n">
        <f aca="false">SUMPRODUCT((Projects!$G$2:$G$45="Yes")*(12&gt;=Projects!$C$2:$C$45-$B$14)*(12&lt;=Projects!$W$2:$W$45+$B$17))*$B$5</f>
        <v>9.625</v>
      </c>
      <c r="Q38" s="382" t="n">
        <f aca="false">SUMPRODUCT((Projects!$G$2:$G$45="Yes")*(13&gt;=Projects!$C$2:$C$45-$B$14)*(13&lt;=Projects!$W$2:$W$45+$B$17))*$B$5</f>
        <v>10.5</v>
      </c>
      <c r="R38" s="382" t="n">
        <f aca="false">SUMPRODUCT((Projects!$G$2:$G$45="Yes")*(14&gt;=Projects!$C$2:$C$45-$B$14)*(14&lt;=Projects!$W$2:$W$45+$B$17))*$B$5</f>
        <v>11.375</v>
      </c>
      <c r="S38" s="382" t="n">
        <f aca="false">SUMPRODUCT((Projects!$G$2:$G$45="Yes")*(15&gt;=Projects!$C$2:$C$45-$B$14)*(15&lt;=Projects!$W$2:$W$45+$B$17))*$B$5</f>
        <v>12.25</v>
      </c>
      <c r="T38" s="382" t="n">
        <f aca="false">SUMPRODUCT((Projects!$G$2:$G$45="Yes")*(16&gt;=Projects!$C$2:$C$45-$B$14)*(16&lt;=Projects!$W$2:$W$45+$B$17))*$B$5</f>
        <v>13.125</v>
      </c>
      <c r="U38" s="382" t="n">
        <f aca="false">SUMPRODUCT((Projects!$G$2:$G$45="Yes")*(17&gt;=Projects!$C$2:$C$45-$B$14)*(17&lt;=Projects!$W$2:$W$45+$B$17))*$B$5</f>
        <v>12.25</v>
      </c>
      <c r="V38" s="382" t="n">
        <f aca="false">SUMPRODUCT((Projects!$G$2:$G$45="Yes")*(18&gt;=Projects!$C$2:$C$45-$B$14)*(18&lt;=Projects!$W$2:$W$45+$B$17))*$B$5</f>
        <v>12.25</v>
      </c>
      <c r="W38" s="382" t="n">
        <f aca="false">SUMPRODUCT((Projects!$G$2:$G$45="Yes")*(19&gt;=Projects!$C$2:$C$45-$B$14)*(19&lt;=Projects!$W$2:$W$45+$B$17))*$B$5</f>
        <v>11.375</v>
      </c>
      <c r="X38" s="382" t="n">
        <f aca="false">SUMPRODUCT((Projects!$G$2:$G$45="Yes")*(20&gt;=Projects!$C$2:$C$45-$B$14)*(20&lt;=Projects!$W$2:$W$45+$B$17))*$B$5</f>
        <v>11.375</v>
      </c>
      <c r="Y38" s="382" t="n">
        <f aca="false">SUMPRODUCT((Projects!$G$2:$G$45="Yes")*(21&gt;=Projects!$C$2:$C$45-$B$14)*(21&lt;=Projects!$W$2:$W$45+$B$17))*$B$5</f>
        <v>10.5</v>
      </c>
      <c r="Z38" s="382" t="n">
        <f aca="false">SUMPRODUCT((Projects!$G$2:$G$45="Yes")*(22&gt;=Projects!$C$2:$C$45-$B$14)*(22&lt;=Projects!$W$2:$W$45+$B$17))*$B$5</f>
        <v>10.5</v>
      </c>
      <c r="AA38" s="382" t="n">
        <f aca="false">SUMPRODUCT((Projects!$G$2:$G$45="Yes")*(23&gt;=Projects!$C$2:$C$45-$B$14)*(23&lt;=Projects!$W$2:$W$45+$B$17))*$B$5</f>
        <v>10.5</v>
      </c>
      <c r="AB38" s="382" t="n">
        <f aca="false">SUMPRODUCT((Projects!$G$2:$G$45="Yes")*(24&gt;=Projects!$C$2:$C$45-$B$14)*(24&lt;=Projects!$W$2:$W$45+$B$17))*$B$5</f>
        <v>10.5</v>
      </c>
      <c r="AC38" s="382" t="n">
        <f aca="false">SUMPRODUCT((Projects!$G$2:$G$45="Yes")*(25&gt;=Projects!$C$2:$C$45-$B$14)*(25&lt;=Projects!$W$2:$W$45+$B$17))*$B$5</f>
        <v>9.625</v>
      </c>
      <c r="AD38" s="382" t="n">
        <f aca="false">SUMPRODUCT((Projects!$G$2:$G$45="Yes")*(26&gt;=Projects!$C$2:$C$45-$B$14)*(26&lt;=Projects!$W$2:$W$45+$B$17))*$B$5</f>
        <v>8.75</v>
      </c>
      <c r="AE38" s="382" t="n">
        <f aca="false">SUMPRODUCT((Projects!$G$2:$G$45="Yes")*(27&gt;=Projects!$C$2:$C$45-$B$14)*(27&lt;=Projects!$W$2:$W$45+$B$17))*$B$5</f>
        <v>9.625</v>
      </c>
      <c r="AF38" s="382" t="n">
        <f aca="false">SUMPRODUCT((Projects!$G$2:$G$45="Yes")*(28&gt;=Projects!$C$2:$C$45-$B$14)*(28&lt;=Projects!$W$2:$W$45+$B$17))*$B$5</f>
        <v>9.625</v>
      </c>
      <c r="AG38" s="382" t="n">
        <f aca="false">SUMPRODUCT((Projects!$G$2:$G$45="Yes")*(29&gt;=Projects!$C$2:$C$45-$B$14)*(29&lt;=Projects!$W$2:$W$45+$B$17))*$B$5</f>
        <v>9.625</v>
      </c>
      <c r="AH38" s="382" t="n">
        <f aca="false">SUMPRODUCT((Projects!$G$2:$G$45="Yes")*(30&gt;=Projects!$C$2:$C$45-$B$14)*(30&lt;=Projects!$W$2:$W$45+$B$17))*$B$5</f>
        <v>7.875</v>
      </c>
      <c r="AI38" s="382" t="n">
        <f aca="false">SUMPRODUCT((Projects!$G$2:$G$45="Yes")*(31&gt;=Projects!$C$2:$C$45-$B$14)*(31&lt;=Projects!$W$2:$W$45+$B$17))*$B$5</f>
        <v>7</v>
      </c>
      <c r="AJ38" s="382" t="n">
        <f aca="false">SUMPRODUCT((Projects!$G$2:$G$45="Yes")*(32&gt;=Projects!$C$2:$C$45-$B$14)*(32&lt;=Projects!$W$2:$W$45+$B$17))*$B$5</f>
        <v>7</v>
      </c>
      <c r="AK38" s="382" t="n">
        <f aca="false">SUMPRODUCT((Projects!$G$2:$G$45="Yes")*(33&gt;=Projects!$C$2:$C$45-$B$14)*(33&lt;=Projects!$W$2:$W$45+$B$17))*$B$5</f>
        <v>7</v>
      </c>
      <c r="AL38" s="382" t="n">
        <f aca="false">SUMPRODUCT((Projects!$G$2:$G$45="Yes")*(34&gt;=Projects!$C$2:$C$45-$B$14)*(34&lt;=Projects!$W$2:$W$45+$B$17))*$B$5</f>
        <v>5.25</v>
      </c>
      <c r="AM38" s="382" t="n">
        <f aca="false">SUMPRODUCT((Projects!$G$2:$G$45="Yes")*(35&gt;=Projects!$C$2:$C$45-$B$14)*(35&lt;=Projects!$W$2:$W$45+$B$17))*$B$5</f>
        <v>4.375</v>
      </c>
      <c r="AN38" s="382" t="n">
        <f aca="false">SUMPRODUCT((Projects!$G$2:$G$45="Yes")*(36&gt;=Projects!$C$2:$C$45-$B$14)*(36&lt;=Projects!$W$2:$W$45+$B$17))*$B$5</f>
        <v>3.5</v>
      </c>
      <c r="AO38" s="382" t="n">
        <f aca="false">SUMPRODUCT((Projects!$G$2:$G$45="Yes")*(37&gt;=Projects!$C$2:$C$45-$B$14)*(37&lt;=Projects!$W$2:$W$45+$B$17))*$B$5</f>
        <v>3.5</v>
      </c>
      <c r="AP38" s="382" t="n">
        <f aca="false">SUMPRODUCT((Projects!$G$2:$G$45="Yes")*(38&gt;=Projects!$C$2:$C$45-$B$14)*(38&lt;=Projects!$W$2:$W$45+$B$17))*$B$5</f>
        <v>2.625</v>
      </c>
      <c r="AQ38" s="382" t="n">
        <f aca="false">SUMPRODUCT((Projects!$G$2:$G$45="Yes")*(39&gt;=Projects!$C$2:$C$45-$B$14)*(39&lt;=Projects!$W$2:$W$45+$B$17))*$B$5</f>
        <v>2.625</v>
      </c>
      <c r="AR38" s="382" t="n">
        <f aca="false">SUMPRODUCT((Projects!$G$2:$G$45="Yes")*(40&gt;=Projects!$C$2:$C$45-$B$14)*(40&lt;=Projects!$W$2:$W$45+$B$17))*$B$5</f>
        <v>2.625</v>
      </c>
      <c r="AS38" s="382" t="n">
        <f aca="false">SUMPRODUCT((Projects!$G$2:$G$45="Yes")*(41&gt;=Projects!$C$2:$C$45-$B$14)*(41&lt;=Projects!$W$2:$W$45+$B$17))*$B$5</f>
        <v>2.625</v>
      </c>
      <c r="AT38" s="382" t="n">
        <f aca="false">SUMPRODUCT((Projects!$G$2:$G$45="Yes")*(42&gt;=Projects!$C$2:$C$45-$B$14)*(42&lt;=Projects!$W$2:$W$45+$B$17))*$B$5</f>
        <v>2.625</v>
      </c>
      <c r="AU38" s="382" t="n">
        <f aca="false">SUMPRODUCT((Projects!$G$2:$G$45="Yes")*(43&gt;=Projects!$C$2:$C$45-$B$14)*(43&lt;=Projects!$W$2:$W$45+$B$17))*$B$5</f>
        <v>2.625</v>
      </c>
      <c r="AV38" s="382" t="n">
        <f aca="false">SUMPRODUCT((Projects!$G$2:$G$45="Yes")*(44&gt;=Projects!$C$2:$C$45-$B$14)*(44&lt;=Projects!$W$2:$W$45+$B$17))*$B$5</f>
        <v>1.75</v>
      </c>
      <c r="AW38" s="382" t="n">
        <f aca="false">SUMPRODUCT((Projects!$G$2:$G$45="Yes")*(45&gt;=Projects!$C$2:$C$45-$B$14)*(45&lt;=Projects!$W$2:$W$45+$B$17))*$B$5</f>
        <v>0.875</v>
      </c>
      <c r="AX38" s="382" t="n">
        <f aca="false">SUMPRODUCT((Projects!$G$2:$G$45="Yes")*(46&gt;=Projects!$C$2:$C$45-$B$14)*(46&lt;=Projects!$W$2:$W$45+$B$17))*$B$5</f>
        <v>0.875</v>
      </c>
      <c r="AY38" s="382" t="n">
        <f aca="false">SUMPRODUCT((Projects!$G$2:$G$45="Yes")*(47&gt;=Projects!$C$2:$C$45-$B$14)*(47&lt;=Projects!$W$2:$W$45+$B$17))*$B$5</f>
        <v>0.875</v>
      </c>
      <c r="AZ38" s="382" t="n">
        <f aca="false">SUMPRODUCT((Projects!$G$2:$G$45="Yes")*(48&gt;=Projects!$C$2:$C$45-$B$14)*(48&lt;=Projects!$W$2:$W$45+$B$17))*$B$5</f>
        <v>0.875</v>
      </c>
      <c r="BA38" s="382" t="n">
        <f aca="false">SUMPRODUCT((Projects!$G$2:$G$45="Yes")*(49&gt;=Projects!$C$2:$C$45-$B$14)*(49&lt;=Projects!$W$2:$W$45+$B$17))*$B$5</f>
        <v>0.875</v>
      </c>
      <c r="BB38" s="382" t="n">
        <f aca="false">SUMPRODUCT((Projects!$G$2:$G$45="Yes")*(50&gt;=Projects!$C$2:$C$45-$B$14)*(50&lt;=Projects!$W$2:$W$45+$B$17))*$B$5</f>
        <v>0.875</v>
      </c>
      <c r="BC38" s="382" t="n">
        <f aca="false">SUMPRODUCT((Projects!$G$2:$G$45="Yes")*(51&gt;=Projects!$C$2:$C$45-$B$14)*(51&lt;=Projects!$W$2:$W$45+$B$17))*$B$5</f>
        <v>0.875</v>
      </c>
      <c r="BD38" s="382" t="n">
        <f aca="false">SUMPRODUCT((Projects!$G$2:$G$45="Yes")*(52&gt;=Projects!$C$2:$C$45-$B$14)*(52&lt;=Projects!$W$2:$W$45+$B$17))*$B$5</f>
        <v>0.875</v>
      </c>
      <c r="BE38" s="382" t="n">
        <f aca="false">SUMPRODUCT((Projects!$G$2:$G$45="Yes")*(53&gt;=Projects!$C$2:$C$45-$B$14)*(53&lt;=Projects!$W$2:$W$45+$B$17))*$B$5</f>
        <v>0.875</v>
      </c>
      <c r="BF38" s="382" t="n">
        <f aca="false">SUMPRODUCT((Projects!$G$2:$G$45="Yes")*(54&gt;=Projects!$C$2:$C$45-$B$14)*(54&lt;=Projects!$W$2:$W$45+$B$17))*$B$5</f>
        <v>0.875</v>
      </c>
      <c r="BG38" s="382" t="n">
        <f aca="false">SUMPRODUCT((Projects!$G$2:$G$45="Yes")*(55&gt;=Projects!$C$2:$C$45-$B$14)*(55&lt;=Projects!$W$2:$W$45+$B$17))*$B$5</f>
        <v>0.875</v>
      </c>
      <c r="BH38" s="382" t="n">
        <f aca="false">SUMPRODUCT((Projects!$G$2:$G$45="Yes")*(56&gt;=Projects!$C$2:$C$45-$B$14)*(56&lt;=Projects!$W$2:$W$45+$B$17))*$B$5</f>
        <v>0.875</v>
      </c>
      <c r="BI38" s="382" t="n">
        <f aca="false">SUMPRODUCT((Projects!$G$2:$G$45="Yes")*(57&gt;=Projects!$C$2:$C$45-$B$14)*(57&lt;=Projects!$W$2:$W$45+$B$17))*$B$5</f>
        <v>0.875</v>
      </c>
      <c r="BJ38" s="382" t="n">
        <f aca="false">SUMPRODUCT((Projects!$G$2:$G$45="Yes")*(58&gt;=Projects!$C$2:$C$45-$B$14)*(58&lt;=Projects!$W$2:$W$45+$B$17))*$B$5</f>
        <v>0</v>
      </c>
      <c r="BK38" s="382" t="n">
        <f aca="false">SUMPRODUCT((Projects!$G$2:$G$45="Yes")*(59&gt;=Projects!$C$2:$C$45-$B$14)*(59&lt;=Projects!$W$2:$W$45+$B$17))*$B$5</f>
        <v>0</v>
      </c>
      <c r="BL38" s="382" t="n">
        <f aca="false">SUMPRODUCT((Projects!$G$2:$G$45="Yes")*(60&gt;=Projects!$C$2:$C$45-$B$14)*(60&lt;=Projects!$W$2:$W$45+$B$17))*$B$5</f>
        <v>0</v>
      </c>
      <c r="BM38" s="382" t="n">
        <f aca="false">SUMPRODUCT((Projects!$G$2:$G$45="Yes")*(61&gt;=Projects!$C$2:$C$45-$B$14)*(61&lt;=Projects!$W$2:$W$45+$B$17))*$B$5</f>
        <v>0</v>
      </c>
      <c r="BN38" s="382" t="n">
        <f aca="false">SUMPRODUCT((Projects!$G$2:$G$45="Yes")*(62&gt;=Projects!$C$2:$C$45-$B$14)*(62&lt;=Projects!$W$2:$W$45+$B$17))*$B$5</f>
        <v>0</v>
      </c>
      <c r="BO38" s="382" t="n">
        <f aca="false">SUMPRODUCT((Projects!$G$2:$G$45="Yes")*(63&gt;=Projects!$C$2:$C$45-$B$14)*(63&lt;=Projects!$W$2:$W$45+$B$17))*$B$5</f>
        <v>0</v>
      </c>
      <c r="BP38" s="382" t="n">
        <f aca="false">SUMPRODUCT((Projects!$G$2:$G$45="Yes")*(64&gt;=Projects!$C$2:$C$45-$B$14)*(64&lt;=Projects!$W$2:$W$45+$B$17))*$B$5</f>
        <v>0</v>
      </c>
      <c r="BQ38" s="382" t="n">
        <f aca="false">SUMPRODUCT((Projects!$G$2:$G$45="Yes")*(65&gt;=Projects!$C$2:$C$45-$B$14)*(65&lt;=Projects!$W$2:$W$45+$B$17))*$B$5</f>
        <v>0</v>
      </c>
      <c r="BR38" s="382" t="n">
        <f aca="false">SUMPRODUCT((Projects!$G$2:$G$45="Yes")*(66&gt;=Projects!$C$2:$C$45-$B$14)*(66&lt;=Projects!$W$2:$W$45+$B$17))*$B$5</f>
        <v>0</v>
      </c>
      <c r="BS38" s="382" t="n">
        <f aca="false">SUMPRODUCT((Projects!$G$2:$G$45="Yes")*(67&gt;=Projects!$C$2:$C$45-$B$14)*(67&lt;=Projects!$W$2:$W$45+$B$17))*$B$5</f>
        <v>0</v>
      </c>
      <c r="BT38" s="382" t="n">
        <f aca="false">SUMPRODUCT((Projects!$G$2:$G$45="Yes")*(68&gt;=Projects!$C$2:$C$45-$B$14)*(68&lt;=Projects!$W$2:$W$45+$B$17))*$B$5</f>
        <v>0</v>
      </c>
      <c r="BU38" s="382" t="n">
        <f aca="false">SUMPRODUCT((Projects!$G$2:$G$45="Yes")*(69&gt;=Projects!$C$2:$C$45-$B$14)*(69&lt;=Projects!$W$2:$W$45+$B$17))*$B$5</f>
        <v>0</v>
      </c>
      <c r="BV38" s="382" t="n">
        <f aca="false">SUMPRODUCT((Projects!$G$2:$G$45="Yes")*(70&gt;=Projects!$C$2:$C$45-$B$14)*(70&lt;=Projects!$W$2:$W$45+$B$17))*$B$5</f>
        <v>0</v>
      </c>
      <c r="BW38" s="382" t="n">
        <f aca="false">SUMPRODUCT((Projects!$G$2:$G$45="Yes")*(71&gt;=Projects!$C$2:$C$45-$B$14)*(71&lt;=Projects!$W$2:$W$45+$B$17))*$B$5</f>
        <v>0</v>
      </c>
      <c r="BX38" s="382" t="n">
        <f aca="false">SUMPRODUCT((Projects!$G$2:$G$45="Yes")*(72&gt;=Projects!$C$2:$C$45-$B$14)*(72&lt;=Projects!$W$2:$W$45+$B$17))*$B$5</f>
        <v>0</v>
      </c>
      <c r="BY38" s="382" t="n">
        <f aca="false">SUMPRODUCT((Projects!$G$2:$G$45="Yes")*(73&gt;=Projects!$C$2:$C$45-$B$14)*(73&lt;=Projects!$W$2:$W$45+$B$17))*$B$5</f>
        <v>0</v>
      </c>
      <c r="BZ38" s="382" t="n">
        <f aca="false">SUMPRODUCT((Projects!$G$2:$G$45="Yes")*(74&gt;=Projects!$C$2:$C$45-$B$14)*(74&lt;=Projects!$W$2:$W$45+$B$17))*$B$5</f>
        <v>0</v>
      </c>
      <c r="CA38" s="382" t="n">
        <f aca="false">SUMPRODUCT((Projects!$G$2:$G$45="Yes")*(75&gt;=Projects!$C$2:$C$45-$B$14)*(75&lt;=Projects!$W$2:$W$45+$B$17))*$B$5</f>
        <v>0</v>
      </c>
      <c r="CB38" s="382" t="n">
        <f aca="false">SUMPRODUCT((Projects!$G$2:$G$45="Yes")*(76&gt;=Projects!$C$2:$C$45-$B$14)*(76&lt;=Projects!$W$2:$W$45+$B$17))*$B$5</f>
        <v>0</v>
      </c>
      <c r="CC38" s="382" t="n">
        <f aca="false">SUMPRODUCT((Projects!$G$2:$G$45="Yes")*(77&gt;=Projects!$C$2:$C$45-$B$14)*(77&lt;=Projects!$W$2:$W$45+$B$17))*$B$5</f>
        <v>0</v>
      </c>
      <c r="CD38" s="382" t="n">
        <f aca="false">SUMPRODUCT((Projects!$G$2:$G$45="Yes")*(78&gt;=Projects!$C$2:$C$45-$B$14)*(78&lt;=Projects!$W$2:$W$45+$B$17))*$B$5</f>
        <v>0</v>
      </c>
      <c r="CE38" s="382" t="n">
        <f aca="false">SUMPRODUCT((Projects!$G$2:$G$45="Yes")*(79&gt;=Projects!$C$2:$C$45-$B$14)*(79&lt;=Projects!$W$2:$W$45+$B$17))*$B$5</f>
        <v>0</v>
      </c>
      <c r="CF38" s="382" t="n">
        <f aca="false">SUMPRODUCT((Projects!$G$2:$G$45="Yes")*(80&gt;=Projects!$C$2:$C$45-$B$14)*(80&lt;=Projects!$W$2:$W$45+$B$17))*$B$5</f>
        <v>0</v>
      </c>
      <c r="CG38" s="382" t="n">
        <f aca="false">SUMPRODUCT((Projects!$G$2:$G$45="Yes")*(81&gt;=Projects!$C$2:$C$45-$B$14)*(81&lt;=Projects!$W$2:$W$45+$B$17))*$B$5</f>
        <v>0</v>
      </c>
      <c r="CH38" s="382" t="n">
        <f aca="false">SUMPRODUCT((Projects!$G$2:$G$45="Yes")*(82&gt;=Projects!$C$2:$C$45-$B$14)*(82&lt;=Projects!$W$2:$W$45+$B$17))*$B$5</f>
        <v>0</v>
      </c>
      <c r="CI38" s="382" t="n">
        <f aca="false">SUMPRODUCT((Projects!$G$2:$G$45="Yes")*(83&gt;=Projects!$C$2:$C$45-$B$14)*(83&lt;=Projects!$W$2:$W$45+$B$17))*$B$5</f>
        <v>0</v>
      </c>
      <c r="CJ38" s="382" t="n">
        <f aca="false">SUMPRODUCT((Projects!$G$2:$G$45="Yes")*(84&gt;=Projects!$C$2:$C$45-$B$14)*(84&lt;=Projects!$W$2:$W$45+$B$17))*$B$5</f>
        <v>0</v>
      </c>
      <c r="CK38" s="382" t="n">
        <f aca="false">SUMPRODUCT((Projects!$G$2:$G$45="Yes")*(85&gt;=Projects!$C$2:$C$45-$B$14)*(85&lt;=Projects!$W$2:$W$45+$B$17))*$B$5</f>
        <v>0</v>
      </c>
      <c r="CL38" s="382" t="n">
        <f aca="false">SUMPRODUCT((Projects!$G$2:$G$45="Yes")*(86&gt;=Projects!$C$2:$C$45-$B$14)*(86&lt;=Projects!$W$2:$W$45+$B$17))*$B$5</f>
        <v>0</v>
      </c>
      <c r="CM38" s="382" t="n">
        <f aca="false">SUMPRODUCT((Projects!$G$2:$G$45="Yes")*(87&gt;=Projects!$C$2:$C$45-$B$14)*(87&lt;=Projects!$W$2:$W$45+$B$17))*$B$5</f>
        <v>0</v>
      </c>
      <c r="CN38" s="382" t="n">
        <f aca="false">SUMPRODUCT((Projects!$G$2:$G$45="Yes")*(88&gt;=Projects!$C$2:$C$45-$B$14)*(88&lt;=Projects!$W$2:$W$45+$B$17))*$B$5</f>
        <v>0</v>
      </c>
      <c r="CO38" s="382" t="n">
        <f aca="false">SUMPRODUCT((Projects!$G$2:$G$45="Yes")*(89&gt;=Projects!$C$2:$C$45-$B$14)*(89&lt;=Projects!$W$2:$W$45+$B$17))*$B$5</f>
        <v>0</v>
      </c>
      <c r="CP38" s="382" t="n">
        <f aca="false">SUMPRODUCT((Projects!$G$2:$G$45="Yes")*(90&gt;=Projects!$C$2:$C$45-$B$14)*(90&lt;=Projects!$W$2:$W$45+$B$17))*$B$5</f>
        <v>0</v>
      </c>
      <c r="CQ38" s="382" t="n">
        <f aca="false">SUMPRODUCT((Projects!$G$2:$G$45="Yes")*(91&gt;=Projects!$C$2:$C$45-$B$14)*(91&lt;=Projects!$W$2:$W$45+$B$17))*$B$5</f>
        <v>0</v>
      </c>
      <c r="CR38" s="382" t="n">
        <f aca="false">SUMPRODUCT((Projects!$G$2:$G$45="Yes")*(92&gt;=Projects!$C$2:$C$45-$B$14)*(92&lt;=Projects!$W$2:$W$45+$B$17))*$B$5</f>
        <v>0</v>
      </c>
      <c r="CS38" s="382" t="n">
        <f aca="false">SUMPRODUCT((Projects!$G$2:$G$45="Yes")*(93&gt;=Projects!$C$2:$C$45-$B$14)*(93&lt;=Projects!$W$2:$W$45+$B$17))*$B$5</f>
        <v>0</v>
      </c>
      <c r="CT38" s="382" t="n">
        <f aca="false">SUMPRODUCT((Projects!$G$2:$G$45="Yes")*(94&gt;=Projects!$C$2:$C$45-$B$14)*(94&lt;=Projects!$W$2:$W$45+$B$17))*$B$5</f>
        <v>0</v>
      </c>
      <c r="CU38" s="382" t="n">
        <f aca="false">SUMPRODUCT((Projects!$G$2:$G$45="Yes")*(95&gt;=Projects!$C$2:$C$45-$B$14)*(95&lt;=Projects!$W$2:$W$45+$B$17))*$B$5</f>
        <v>0</v>
      </c>
      <c r="CV38" s="382" t="n">
        <f aca="false">SUMPRODUCT((Projects!$G$2:$G$45="Yes")*(96&gt;=Projects!$C$2:$C$45-$B$14)*(96&lt;=Projects!$W$2:$W$45+$B$17))*$B$5</f>
        <v>0</v>
      </c>
      <c r="CW38" s="382" t="n">
        <f aca="false">SUMPRODUCT((Projects!$G$2:$G$45="Yes")*(97&gt;=Projects!$C$2:$C$45-$B$14)*(97&lt;=Projects!$W$2:$W$45+$B$17))*$B$5</f>
        <v>0</v>
      </c>
      <c r="CX38" s="382" t="n">
        <f aca="false">SUMPRODUCT((Projects!$G$2:$G$45="Yes")*(98&gt;=Projects!$C$2:$C$45-$B$14)*(98&lt;=Projects!$W$2:$W$45+$B$17))*$B$5</f>
        <v>0</v>
      </c>
      <c r="CY38" s="382" t="n">
        <f aca="false">SUMPRODUCT((Projects!$G$2:$G$45="Yes")*(99&gt;=Projects!$C$2:$C$45-$B$14)*(99&lt;=Projects!$W$2:$W$45+$B$17))*$B$5</f>
        <v>0</v>
      </c>
      <c r="CZ38" s="382" t="n">
        <f aca="false">SUMPRODUCT((Projects!$G$2:$G$45="Yes")*(100&gt;=Projects!$C$2:$C$45-$B$14)*(100&lt;=Projects!$W$2:$W$45+$B$17))*$B$5</f>
        <v>0</v>
      </c>
      <c r="DA38" s="382" t="n">
        <f aca="false">SUMPRODUCT((Projects!$G$2:$G$45="Yes")*(101&gt;=Projects!$C$2:$C$45-$B$14)*(101&lt;=Projects!$W$2:$W$45+$B$17))*$B$5</f>
        <v>0</v>
      </c>
      <c r="DB38" s="382" t="n">
        <f aca="false">SUMPRODUCT((Projects!$G$2:$G$45="Yes")*(102&gt;=Projects!$C$2:$C$45-$B$14)*(102&lt;=Projects!$W$2:$W$45+$B$17))*$B$5</f>
        <v>0</v>
      </c>
      <c r="DC38" s="382" t="n">
        <f aca="false">SUMPRODUCT((Projects!$G$2:$G$45="Yes")*(103&gt;=Projects!$C$2:$C$45-$B$14)*(103&lt;=Projects!$W$2:$W$45+$B$17))*$B$5</f>
        <v>0</v>
      </c>
      <c r="DD38" s="382" t="n">
        <f aca="false">SUMPRODUCT((Projects!$G$2:$G$45="Yes")*(104&gt;=Projects!$C$2:$C$45-$B$14)*(104&lt;=Projects!$W$2:$W$45+$B$17))*$B$5</f>
        <v>0</v>
      </c>
      <c r="DE38" s="382" t="n">
        <f aca="false">SUMPRODUCT((Projects!$G$2:$G$45="Yes")*(105&gt;=Projects!$C$2:$C$45-$B$14)*(105&lt;=Projects!$W$2:$W$45+$B$17))*$B$5</f>
        <v>0</v>
      </c>
    </row>
    <row r="39" customFormat="false" ht="13.5" hidden="false" customHeight="true" outlineLevel="0" collapsed="false">
      <c r="A39" s="110" t="s">
        <v>1369</v>
      </c>
      <c r="E39" s="382" t="n">
        <f aca="false">SUMPRODUCT((Projects!$G$2:$G$45="Yes")*(1&gt;=Projects!$C$2:$C$45-$B$15)*((1&lt;=Projects!$W$2:$W$45-$B$106)*1+(1&gt;Projects!$W$2:$W$45-$B$106)*(1&lt;=Projects!$W$2:$W$45+$B$17)*$B$107)*((Projects!$B$2:$B$45&gt;=$B$12)*$B$6+(Projects!$B$2:$B$45&lt;$B$12)*(Projects!$B$2:$B$45&gt;=$B$13)*$B$7+(Projects!$B$2:$B$45&lt;$B$13)*$B$8))</f>
        <v>1.08</v>
      </c>
      <c r="F39" s="382" t="n">
        <f aca="false">SUMPRODUCT((Projects!$G$2:$G$45="Yes")*(2&gt;=Projects!$C$2:$C$45-$B$15)*((2&lt;=Projects!$W$2:$W$45-$B$106)*1+(2&gt;Projects!$W$2:$W$45-$B$106)*(2&lt;=Projects!$W$2:$W$45+$B$17)*$B$107)*((Projects!$B$2:$B$45&gt;=$B$12)*$B$6+(Projects!$B$2:$B$45&lt;$B$12)*(Projects!$B$2:$B$45&gt;=$B$13)*$B$7+(Projects!$B$2:$B$45&lt;$B$13)*$B$8))</f>
        <v>1.08</v>
      </c>
      <c r="G39" s="382" t="n">
        <f aca="false">SUMPRODUCT((Projects!$G$2:$G$45="Yes")*(3&gt;=Projects!$C$2:$C$45-$B$15)*((3&lt;=Projects!$W$2:$W$45-$B$106)*1+(3&gt;Projects!$W$2:$W$45-$B$106)*(3&lt;=Projects!$W$2:$W$45+$B$17)*$B$107)*((Projects!$B$2:$B$45&gt;=$B$12)*$B$6+(Projects!$B$2:$B$45&lt;$B$12)*(Projects!$B$2:$B$45&gt;=$B$13)*$B$7+(Projects!$B$2:$B$45&lt;$B$13)*$B$8))</f>
        <v>1.08</v>
      </c>
      <c r="H39" s="382" t="n">
        <f aca="false">SUMPRODUCT((Projects!$G$2:$G$45="Yes")*(4&gt;=Projects!$C$2:$C$45-$B$15)*((4&lt;=Projects!$W$2:$W$45-$B$106)*1+(4&gt;Projects!$W$2:$W$45-$B$106)*(4&lt;=Projects!$W$2:$W$45+$B$17)*$B$107)*((Projects!$B$2:$B$45&gt;=$B$12)*$B$6+(Projects!$B$2:$B$45&lt;$B$12)*(Projects!$B$2:$B$45&gt;=$B$13)*$B$7+(Projects!$B$2:$B$45&lt;$B$13)*$B$8))</f>
        <v>1.08</v>
      </c>
      <c r="I39" s="382" t="n">
        <f aca="false">SUMPRODUCT((Projects!$G$2:$G$45="Yes")*(5&gt;=Projects!$C$2:$C$45-$B$15)*((5&lt;=Projects!$W$2:$W$45-$B$106)*1+(5&gt;Projects!$W$2:$W$45-$B$106)*(5&lt;=Projects!$W$2:$W$45+$B$17)*$B$107)*((Projects!$B$2:$B$45&gt;=$B$12)*$B$6+(Projects!$B$2:$B$45&lt;$B$12)*(Projects!$B$2:$B$45&gt;=$B$13)*$B$7+(Projects!$B$2:$B$45&lt;$B$13)*$B$8))</f>
        <v>1.83</v>
      </c>
      <c r="J39" s="382" t="n">
        <f aca="false">SUMPRODUCT((Projects!$G$2:$G$45="Yes")*(6&gt;=Projects!$C$2:$C$45-$B$15)*((6&lt;=Projects!$W$2:$W$45-$B$106)*1+(6&gt;Projects!$W$2:$W$45-$B$106)*(6&lt;=Projects!$W$2:$W$45+$B$17)*$B$107)*((Projects!$B$2:$B$45&gt;=$B$12)*$B$6+(Projects!$B$2:$B$45&lt;$B$12)*(Projects!$B$2:$B$45&gt;=$B$13)*$B$7+(Projects!$B$2:$B$45&lt;$B$13)*$B$8))</f>
        <v>1.9975</v>
      </c>
      <c r="K39" s="382" t="n">
        <f aca="false">SUMPRODUCT((Projects!$G$2:$G$45="Yes")*(7&gt;=Projects!$C$2:$C$45-$B$15)*((7&lt;=Projects!$W$2:$W$45-$B$106)*1+(7&gt;Projects!$W$2:$W$45-$B$106)*(7&lt;=Projects!$W$2:$W$45+$B$17)*$B$107)*((Projects!$B$2:$B$45&gt;=$B$12)*$B$6+(Projects!$B$2:$B$45&lt;$B$12)*(Projects!$B$2:$B$45&gt;=$B$13)*$B$7+(Projects!$B$2:$B$45&lt;$B$13)*$B$8))</f>
        <v>1.9975</v>
      </c>
      <c r="L39" s="382" t="n">
        <f aca="false">SUMPRODUCT((Projects!$G$2:$G$45="Yes")*(8&gt;=Projects!$C$2:$C$45-$B$15)*((8&lt;=Projects!$W$2:$W$45-$B$106)*1+(8&gt;Projects!$W$2:$W$45-$B$106)*(8&lt;=Projects!$W$2:$W$45+$B$17)*$B$107)*((Projects!$B$2:$B$45&gt;=$B$12)*$B$6+(Projects!$B$2:$B$45&lt;$B$12)*(Projects!$B$2:$B$45&gt;=$B$13)*$B$7+(Projects!$B$2:$B$45&lt;$B$13)*$B$8))</f>
        <v>1.9975</v>
      </c>
      <c r="M39" s="382" t="n">
        <f aca="false">SUMPRODUCT((Projects!$G$2:$G$45="Yes")*(9&gt;=Projects!$C$2:$C$45-$B$15)*((9&lt;=Projects!$W$2:$W$45-$B$106)*1+(9&gt;Projects!$W$2:$W$45-$B$106)*(9&lt;=Projects!$W$2:$W$45+$B$17)*$B$107)*((Projects!$B$2:$B$45&gt;=$B$12)*$B$6+(Projects!$B$2:$B$45&lt;$B$12)*(Projects!$B$2:$B$45&gt;=$B$13)*$B$7+(Projects!$B$2:$B$45&lt;$B$13)*$B$8))</f>
        <v>2.2475</v>
      </c>
      <c r="N39" s="382" t="n">
        <f aca="false">SUMPRODUCT((Projects!$G$2:$G$45="Yes")*(10&gt;=Projects!$C$2:$C$45-$B$15)*((10&lt;=Projects!$W$2:$W$45-$B$106)*1+(10&gt;Projects!$W$2:$W$45-$B$106)*(10&lt;=Projects!$W$2:$W$45+$B$17)*$B$107)*((Projects!$B$2:$B$45&gt;=$B$12)*$B$6+(Projects!$B$2:$B$45&lt;$B$12)*(Projects!$B$2:$B$45&gt;=$B$13)*$B$7+(Projects!$B$2:$B$45&lt;$B$13)*$B$8))</f>
        <v>2.58</v>
      </c>
      <c r="O39" s="382" t="n">
        <f aca="false">SUMPRODUCT((Projects!$G$2:$G$45="Yes")*(11&gt;=Projects!$C$2:$C$45-$B$15)*((11&lt;=Projects!$W$2:$W$45-$B$106)*1+(11&gt;Projects!$W$2:$W$45-$B$106)*(11&lt;=Projects!$W$2:$W$45+$B$17)*$B$107)*((Projects!$B$2:$B$45&gt;=$B$12)*$B$6+(Projects!$B$2:$B$45&lt;$B$12)*(Projects!$B$2:$B$45&gt;=$B$13)*$B$7+(Projects!$B$2:$B$45&lt;$B$13)*$B$8))</f>
        <v>2.745</v>
      </c>
      <c r="P39" s="382" t="n">
        <f aca="false">SUMPRODUCT((Projects!$G$2:$G$45="Yes")*(12&gt;=Projects!$C$2:$C$45-$B$15)*((12&lt;=Projects!$W$2:$W$45-$B$106)*1+(12&gt;Projects!$W$2:$W$45-$B$106)*(12&lt;=Projects!$W$2:$W$45+$B$17)*$B$107)*((Projects!$B$2:$B$45&gt;=$B$12)*$B$6+(Projects!$B$2:$B$45&lt;$B$12)*(Projects!$B$2:$B$45&gt;=$B$13)*$B$7+(Projects!$B$2:$B$45&lt;$B$13)*$B$8))</f>
        <v>2.745</v>
      </c>
      <c r="Q39" s="382" t="n">
        <f aca="false">SUMPRODUCT((Projects!$G$2:$G$45="Yes")*(13&gt;=Projects!$C$2:$C$45-$B$15)*((13&lt;=Projects!$W$2:$W$45-$B$106)*1+(13&gt;Projects!$W$2:$W$45-$B$106)*(13&lt;=Projects!$W$2:$W$45+$B$17)*$B$107)*((Projects!$B$2:$B$45&gt;=$B$12)*$B$6+(Projects!$B$2:$B$45&lt;$B$12)*(Projects!$B$2:$B$45&gt;=$B$13)*$B$7+(Projects!$B$2:$B$45&lt;$B$13)*$B$8))</f>
        <v>3.1625</v>
      </c>
      <c r="R39" s="382" t="n">
        <f aca="false">SUMPRODUCT((Projects!$G$2:$G$45="Yes")*(14&gt;=Projects!$C$2:$C$45-$B$15)*((14&lt;=Projects!$W$2:$W$45-$B$106)*1+(14&gt;Projects!$W$2:$W$45-$B$106)*(14&lt;=Projects!$W$2:$W$45+$B$17)*$B$107)*((Projects!$B$2:$B$45&gt;=$B$12)*$B$6+(Projects!$B$2:$B$45&lt;$B$12)*(Projects!$B$2:$B$45&gt;=$B$13)*$B$7+(Projects!$B$2:$B$45&lt;$B$13)*$B$8))</f>
        <v>3.4125</v>
      </c>
      <c r="S39" s="382" t="n">
        <f aca="false">SUMPRODUCT((Projects!$G$2:$G$45="Yes")*(15&gt;=Projects!$C$2:$C$45-$B$15)*((15&lt;=Projects!$W$2:$W$45-$B$106)*1+(15&gt;Projects!$W$2:$W$45-$B$106)*(15&lt;=Projects!$W$2:$W$45+$B$17)*$B$107)*((Projects!$B$2:$B$45&gt;=$B$12)*$B$6+(Projects!$B$2:$B$45&lt;$B$12)*(Projects!$B$2:$B$45&gt;=$B$13)*$B$7+(Projects!$B$2:$B$45&lt;$B$13)*$B$8))</f>
        <v>3.5375</v>
      </c>
      <c r="T39" s="382" t="n">
        <f aca="false">SUMPRODUCT((Projects!$G$2:$G$45="Yes")*(16&gt;=Projects!$C$2:$C$45-$B$15)*((16&lt;=Projects!$W$2:$W$45-$B$106)*1+(16&gt;Projects!$W$2:$W$45-$B$106)*(16&lt;=Projects!$W$2:$W$45+$B$17)*$B$107)*((Projects!$B$2:$B$45&gt;=$B$12)*$B$6+(Projects!$B$2:$B$45&lt;$B$12)*(Projects!$B$2:$B$45&gt;=$B$13)*$B$7+(Projects!$B$2:$B$45&lt;$B$13)*$B$8))</f>
        <v>3.6625</v>
      </c>
      <c r="U39" s="382" t="n">
        <f aca="false">SUMPRODUCT((Projects!$G$2:$G$45="Yes")*(17&gt;=Projects!$C$2:$C$45-$B$15)*((17&lt;=Projects!$W$2:$W$45-$B$106)*1+(17&gt;Projects!$W$2:$W$45-$B$106)*(17&lt;=Projects!$W$2:$W$45+$B$17)*$B$107)*((Projects!$B$2:$B$45&gt;=$B$12)*$B$6+(Projects!$B$2:$B$45&lt;$B$12)*(Projects!$B$2:$B$45&gt;=$B$13)*$B$7+(Projects!$B$2:$B$45&lt;$B$13)*$B$8))</f>
        <v>3.455</v>
      </c>
      <c r="V39" s="382" t="n">
        <f aca="false">SUMPRODUCT((Projects!$G$2:$G$45="Yes")*(18&gt;=Projects!$C$2:$C$45-$B$15)*((18&lt;=Projects!$W$2:$W$45-$B$106)*1+(18&gt;Projects!$W$2:$W$45-$B$106)*(18&lt;=Projects!$W$2:$W$45+$B$17)*$B$107)*((Projects!$B$2:$B$45&gt;=$B$12)*$B$6+(Projects!$B$2:$B$45&lt;$B$12)*(Projects!$B$2:$B$45&gt;=$B$13)*$B$7+(Projects!$B$2:$B$45&lt;$B$13)*$B$8))</f>
        <v>3.455</v>
      </c>
      <c r="W39" s="382" t="n">
        <f aca="false">SUMPRODUCT((Projects!$G$2:$G$45="Yes")*(19&gt;=Projects!$C$2:$C$45-$B$15)*((19&lt;=Projects!$W$2:$W$45-$B$106)*1+(19&gt;Projects!$W$2:$W$45-$B$106)*(19&lt;=Projects!$W$2:$W$45+$B$17)*$B$107)*((Projects!$B$2:$B$45&gt;=$B$12)*$B$6+(Projects!$B$2:$B$45&lt;$B$12)*(Projects!$B$2:$B$45&gt;=$B$13)*$B$7+(Projects!$B$2:$B$45&lt;$B$13)*$B$8))</f>
        <v>3.33</v>
      </c>
      <c r="X39" s="382" t="n">
        <f aca="false">SUMPRODUCT((Projects!$G$2:$G$45="Yes")*(20&gt;=Projects!$C$2:$C$45-$B$15)*((20&lt;=Projects!$W$2:$W$45-$B$106)*1+(20&gt;Projects!$W$2:$W$45-$B$106)*(20&lt;=Projects!$W$2:$W$45+$B$17)*$B$107)*((Projects!$B$2:$B$45&gt;=$B$12)*$B$6+(Projects!$B$2:$B$45&lt;$B$12)*(Projects!$B$2:$B$45&gt;=$B$13)*$B$7+(Projects!$B$2:$B$45&lt;$B$13)*$B$8))</f>
        <v>3.705</v>
      </c>
      <c r="Y39" s="382" t="n">
        <f aca="false">SUMPRODUCT((Projects!$G$2:$G$45="Yes")*(21&gt;=Projects!$C$2:$C$45-$B$15)*((21&lt;=Projects!$W$2:$W$45-$B$106)*1+(21&gt;Projects!$W$2:$W$45-$B$106)*(21&lt;=Projects!$W$2:$W$45+$B$17)*$B$107)*((Projects!$B$2:$B$45&gt;=$B$12)*$B$6+(Projects!$B$2:$B$45&lt;$B$12)*(Projects!$B$2:$B$45&gt;=$B$13)*$B$7+(Projects!$B$2:$B$45&lt;$B$13)*$B$8))</f>
        <v>3.455</v>
      </c>
      <c r="Z39" s="382" t="n">
        <f aca="false">SUMPRODUCT((Projects!$G$2:$G$45="Yes")*(22&gt;=Projects!$C$2:$C$45-$B$15)*((22&lt;=Projects!$W$2:$W$45-$B$106)*1+(22&gt;Projects!$W$2:$W$45-$B$106)*(22&lt;=Projects!$W$2:$W$45+$B$17)*$B$107)*((Projects!$B$2:$B$45&gt;=$B$12)*$B$6+(Projects!$B$2:$B$45&lt;$B$12)*(Projects!$B$2:$B$45&gt;=$B$13)*$B$7+(Projects!$B$2:$B$45&lt;$B$13)*$B$8))</f>
        <v>3.33</v>
      </c>
      <c r="AA39" s="382" t="n">
        <f aca="false">SUMPRODUCT((Projects!$G$2:$G$45="Yes")*(23&gt;=Projects!$C$2:$C$45-$B$15)*((23&lt;=Projects!$W$2:$W$45-$B$106)*1+(23&gt;Projects!$W$2:$W$45-$B$106)*(23&lt;=Projects!$W$2:$W$45+$B$17)*$B$107)*((Projects!$B$2:$B$45&gt;=$B$12)*$B$6+(Projects!$B$2:$B$45&lt;$B$12)*(Projects!$B$2:$B$45&gt;=$B$13)*$B$7+(Projects!$B$2:$B$45&lt;$B$13)*$B$8))</f>
        <v>3.33</v>
      </c>
      <c r="AB39" s="382" t="n">
        <f aca="false">SUMPRODUCT((Projects!$G$2:$G$45="Yes")*(24&gt;=Projects!$C$2:$C$45-$B$15)*((24&lt;=Projects!$W$2:$W$45-$B$106)*1+(24&gt;Projects!$W$2:$W$45-$B$106)*(24&lt;=Projects!$W$2:$W$45+$B$17)*$B$107)*((Projects!$B$2:$B$45&gt;=$B$12)*$B$6+(Projects!$B$2:$B$45&lt;$B$12)*(Projects!$B$2:$B$45&gt;=$B$13)*$B$7+(Projects!$B$2:$B$45&lt;$B$13)*$B$8))</f>
        <v>3.33</v>
      </c>
      <c r="AC39" s="382" t="n">
        <f aca="false">SUMPRODUCT((Projects!$G$2:$G$45="Yes")*(25&gt;=Projects!$C$2:$C$45-$B$15)*((25&lt;=Projects!$W$2:$W$45-$B$106)*1+(25&gt;Projects!$W$2:$W$45-$B$106)*(25&lt;=Projects!$W$2:$W$45+$B$17)*$B$107)*((Projects!$B$2:$B$45&gt;=$B$12)*$B$6+(Projects!$B$2:$B$45&lt;$B$12)*(Projects!$B$2:$B$45&gt;=$B$13)*$B$7+(Projects!$B$2:$B$45&lt;$B$13)*$B$8))</f>
        <v>3.205</v>
      </c>
      <c r="AD39" s="382" t="n">
        <f aca="false">SUMPRODUCT((Projects!$G$2:$G$45="Yes")*(26&gt;=Projects!$C$2:$C$45-$B$15)*((26&lt;=Projects!$W$2:$W$45-$B$106)*1+(26&gt;Projects!$W$2:$W$45-$B$106)*(26&lt;=Projects!$W$2:$W$45+$B$17)*$B$107)*((Projects!$B$2:$B$45&gt;=$B$12)*$B$6+(Projects!$B$2:$B$45&lt;$B$12)*(Projects!$B$2:$B$45&gt;=$B$13)*$B$7+(Projects!$B$2:$B$45&lt;$B$13)*$B$8))</f>
        <v>2.8725</v>
      </c>
      <c r="AE39" s="382" t="n">
        <f aca="false">SUMPRODUCT((Projects!$G$2:$G$45="Yes")*(27&gt;=Projects!$C$2:$C$45-$B$15)*((27&lt;=Projects!$W$2:$W$45-$B$106)*1+(27&gt;Projects!$W$2:$W$45-$B$106)*(27&lt;=Projects!$W$2:$W$45+$B$17)*$B$107)*((Projects!$B$2:$B$45&gt;=$B$12)*$B$6+(Projects!$B$2:$B$45&lt;$B$12)*(Projects!$B$2:$B$45&gt;=$B$13)*$B$7+(Projects!$B$2:$B$45&lt;$B$13)*$B$8))</f>
        <v>3.29</v>
      </c>
      <c r="AF39" s="382" t="n">
        <f aca="false">SUMPRODUCT((Projects!$G$2:$G$45="Yes")*(28&gt;=Projects!$C$2:$C$45-$B$15)*((28&lt;=Projects!$W$2:$W$45-$B$106)*1+(28&gt;Projects!$W$2:$W$45-$B$106)*(28&lt;=Projects!$W$2:$W$45+$B$17)*$B$107)*((Projects!$B$2:$B$45&gt;=$B$12)*$B$6+(Projects!$B$2:$B$45&lt;$B$12)*(Projects!$B$2:$B$45&gt;=$B$13)*$B$7+(Projects!$B$2:$B$45&lt;$B$13)*$B$8))</f>
        <v>3.29</v>
      </c>
      <c r="AG39" s="382" t="n">
        <f aca="false">SUMPRODUCT((Projects!$G$2:$G$45="Yes")*(29&gt;=Projects!$C$2:$C$45-$B$15)*((29&lt;=Projects!$W$2:$W$45-$B$106)*1+(29&gt;Projects!$W$2:$W$45-$B$106)*(29&lt;=Projects!$W$2:$W$45+$B$17)*$B$107)*((Projects!$B$2:$B$45&gt;=$B$12)*$B$6+(Projects!$B$2:$B$45&lt;$B$12)*(Projects!$B$2:$B$45&gt;=$B$13)*$B$7+(Projects!$B$2:$B$45&lt;$B$13)*$B$8))</f>
        <v>3.29</v>
      </c>
      <c r="AH39" s="382" t="n">
        <f aca="false">SUMPRODUCT((Projects!$G$2:$G$45="Yes")*(30&gt;=Projects!$C$2:$C$45-$B$15)*((30&lt;=Projects!$W$2:$W$45-$B$106)*1+(30&gt;Projects!$W$2:$W$45-$B$106)*(30&lt;=Projects!$W$2:$W$45+$B$17)*$B$107)*((Projects!$B$2:$B$45&gt;=$B$12)*$B$6+(Projects!$B$2:$B$45&lt;$B$12)*(Projects!$B$2:$B$45&gt;=$B$13)*$B$7+(Projects!$B$2:$B$45&lt;$B$13)*$B$8))</f>
        <v>2.8325</v>
      </c>
      <c r="AI39" s="382" t="n">
        <f aca="false">SUMPRODUCT((Projects!$G$2:$G$45="Yes")*(31&gt;=Projects!$C$2:$C$45-$B$15)*((31&lt;=Projects!$W$2:$W$45-$B$106)*1+(31&gt;Projects!$W$2:$W$45-$B$106)*(31&lt;=Projects!$W$2:$W$45+$B$17)*$B$107)*((Projects!$B$2:$B$45&gt;=$B$12)*$B$6+(Projects!$B$2:$B$45&lt;$B$12)*(Projects!$B$2:$B$45&gt;=$B$13)*$B$7+(Projects!$B$2:$B$45&lt;$B$13)*$B$8))</f>
        <v>2.625</v>
      </c>
      <c r="AJ39" s="382" t="n">
        <f aca="false">SUMPRODUCT((Projects!$G$2:$G$45="Yes")*(32&gt;=Projects!$C$2:$C$45-$B$15)*((32&lt;=Projects!$W$2:$W$45-$B$106)*1+(32&gt;Projects!$W$2:$W$45-$B$106)*(32&lt;=Projects!$W$2:$W$45+$B$17)*$B$107)*((Projects!$B$2:$B$45&gt;=$B$12)*$B$6+(Projects!$B$2:$B$45&lt;$B$12)*(Projects!$B$2:$B$45&gt;=$B$13)*$B$7+(Projects!$B$2:$B$45&lt;$B$13)*$B$8))</f>
        <v>2.5</v>
      </c>
      <c r="AK39" s="382" t="n">
        <f aca="false">SUMPRODUCT((Projects!$G$2:$G$45="Yes")*(33&gt;=Projects!$C$2:$C$45-$B$15)*((33&lt;=Projects!$W$2:$W$45-$B$106)*1+(33&gt;Projects!$W$2:$W$45-$B$106)*(33&lt;=Projects!$W$2:$W$45+$B$17)*$B$107)*((Projects!$B$2:$B$45&gt;=$B$12)*$B$6+(Projects!$B$2:$B$45&lt;$B$12)*(Projects!$B$2:$B$45&gt;=$B$13)*$B$7+(Projects!$B$2:$B$45&lt;$B$13)*$B$8))</f>
        <v>2.5</v>
      </c>
      <c r="AL39" s="382" t="n">
        <f aca="false">SUMPRODUCT((Projects!$G$2:$G$45="Yes")*(34&gt;=Projects!$C$2:$C$45-$B$15)*((34&lt;=Projects!$W$2:$W$45-$B$106)*1+(34&gt;Projects!$W$2:$W$45-$B$106)*(34&lt;=Projects!$W$2:$W$45+$B$17)*$B$107)*((Projects!$B$2:$B$45&gt;=$B$12)*$B$6+(Projects!$B$2:$B$45&lt;$B$12)*(Projects!$B$2:$B$45&gt;=$B$13)*$B$7+(Projects!$B$2:$B$45&lt;$B$13)*$B$8))</f>
        <v>2</v>
      </c>
      <c r="AM39" s="382" t="n">
        <f aca="false">SUMPRODUCT((Projects!$G$2:$G$45="Yes")*(35&gt;=Projects!$C$2:$C$45-$B$15)*((35&lt;=Projects!$W$2:$W$45-$B$106)*1+(35&gt;Projects!$W$2:$W$45-$B$106)*(35&lt;=Projects!$W$2:$W$45+$B$17)*$B$107)*((Projects!$B$2:$B$45&gt;=$B$12)*$B$6+(Projects!$B$2:$B$45&lt;$B$12)*(Projects!$B$2:$B$45&gt;=$B$13)*$B$7+(Projects!$B$2:$B$45&lt;$B$13)*$B$8))</f>
        <v>1.875</v>
      </c>
      <c r="AN39" s="382" t="n">
        <f aca="false">SUMPRODUCT((Projects!$G$2:$G$45="Yes")*(36&gt;=Projects!$C$2:$C$45-$B$15)*((36&lt;=Projects!$W$2:$W$45-$B$106)*1+(36&gt;Projects!$W$2:$W$45-$B$106)*(36&lt;=Projects!$W$2:$W$45+$B$17)*$B$107)*((Projects!$B$2:$B$45&gt;=$B$12)*$B$6+(Projects!$B$2:$B$45&lt;$B$12)*(Projects!$B$2:$B$45&gt;=$B$13)*$B$7+(Projects!$B$2:$B$45&lt;$B$13)*$B$8))</f>
        <v>1.75</v>
      </c>
      <c r="AO39" s="382" t="n">
        <f aca="false">SUMPRODUCT((Projects!$G$2:$G$45="Yes")*(37&gt;=Projects!$C$2:$C$45-$B$15)*((37&lt;=Projects!$W$2:$W$45-$B$106)*1+(37&gt;Projects!$W$2:$W$45-$B$106)*(37&lt;=Projects!$W$2:$W$45+$B$17)*$B$107)*((Projects!$B$2:$B$45&gt;=$B$12)*$B$6+(Projects!$B$2:$B$45&lt;$B$12)*(Projects!$B$2:$B$45&gt;=$B$13)*$B$7+(Projects!$B$2:$B$45&lt;$B$13)*$B$8))</f>
        <v>1.75</v>
      </c>
      <c r="AP39" s="382" t="n">
        <f aca="false">SUMPRODUCT((Projects!$G$2:$G$45="Yes")*(38&gt;=Projects!$C$2:$C$45-$B$15)*((38&lt;=Projects!$W$2:$W$45-$B$106)*1+(38&gt;Projects!$W$2:$W$45-$B$106)*(38&lt;=Projects!$W$2:$W$45+$B$17)*$B$107)*((Projects!$B$2:$B$45&gt;=$B$12)*$B$6+(Projects!$B$2:$B$45&lt;$B$12)*(Projects!$B$2:$B$45&gt;=$B$13)*$B$7+(Projects!$B$2:$B$45&lt;$B$13)*$B$8))</f>
        <v>1.5</v>
      </c>
      <c r="AQ39" s="382" t="n">
        <f aca="false">SUMPRODUCT((Projects!$G$2:$G$45="Yes")*(39&gt;=Projects!$C$2:$C$45-$B$15)*((39&lt;=Projects!$W$2:$W$45-$B$106)*1+(39&gt;Projects!$W$2:$W$45-$B$106)*(39&lt;=Projects!$W$2:$W$45+$B$17)*$B$107)*((Projects!$B$2:$B$45&gt;=$B$12)*$B$6+(Projects!$B$2:$B$45&lt;$B$12)*(Projects!$B$2:$B$45&gt;=$B$13)*$B$7+(Projects!$B$2:$B$45&lt;$B$13)*$B$8))</f>
        <v>1.5</v>
      </c>
      <c r="AR39" s="382" t="n">
        <f aca="false">SUMPRODUCT((Projects!$G$2:$G$45="Yes")*(40&gt;=Projects!$C$2:$C$45-$B$15)*((40&lt;=Projects!$W$2:$W$45-$B$106)*1+(40&gt;Projects!$W$2:$W$45-$B$106)*(40&lt;=Projects!$W$2:$W$45+$B$17)*$B$107)*((Projects!$B$2:$B$45&gt;=$B$12)*$B$6+(Projects!$B$2:$B$45&lt;$B$12)*(Projects!$B$2:$B$45&gt;=$B$13)*$B$7+(Projects!$B$2:$B$45&lt;$B$13)*$B$8))</f>
        <v>1.25</v>
      </c>
      <c r="AS39" s="382" t="n">
        <f aca="false">SUMPRODUCT((Projects!$G$2:$G$45="Yes")*(41&gt;=Projects!$C$2:$C$45-$B$15)*((41&lt;=Projects!$W$2:$W$45-$B$106)*1+(41&gt;Projects!$W$2:$W$45-$B$106)*(41&lt;=Projects!$W$2:$W$45+$B$17)*$B$107)*((Projects!$B$2:$B$45&gt;=$B$12)*$B$6+(Projects!$B$2:$B$45&lt;$B$12)*(Projects!$B$2:$B$45&gt;=$B$13)*$B$7+(Projects!$B$2:$B$45&lt;$B$13)*$B$8))</f>
        <v>1</v>
      </c>
      <c r="AT39" s="382" t="n">
        <f aca="false">SUMPRODUCT((Projects!$G$2:$G$45="Yes")*(42&gt;=Projects!$C$2:$C$45-$B$15)*((42&lt;=Projects!$W$2:$W$45-$B$106)*1+(42&gt;Projects!$W$2:$W$45-$B$106)*(42&lt;=Projects!$W$2:$W$45+$B$17)*$B$107)*((Projects!$B$2:$B$45&gt;=$B$12)*$B$6+(Projects!$B$2:$B$45&lt;$B$12)*(Projects!$B$2:$B$45&gt;=$B$13)*$B$7+(Projects!$B$2:$B$45&lt;$B$13)*$B$8))</f>
        <v>1</v>
      </c>
      <c r="AU39" s="382" t="n">
        <f aca="false">SUMPRODUCT((Projects!$G$2:$G$45="Yes")*(43&gt;=Projects!$C$2:$C$45-$B$15)*((43&lt;=Projects!$W$2:$W$45-$B$106)*1+(43&gt;Projects!$W$2:$W$45-$B$106)*(43&lt;=Projects!$W$2:$W$45+$B$17)*$B$107)*((Projects!$B$2:$B$45&gt;=$B$12)*$B$6+(Projects!$B$2:$B$45&lt;$B$12)*(Projects!$B$2:$B$45&gt;=$B$13)*$B$7+(Projects!$B$2:$B$45&lt;$B$13)*$B$8))</f>
        <v>1</v>
      </c>
      <c r="AV39" s="382" t="n">
        <f aca="false">SUMPRODUCT((Projects!$G$2:$G$45="Yes")*(44&gt;=Projects!$C$2:$C$45-$B$15)*((44&lt;=Projects!$W$2:$W$45-$B$106)*1+(44&gt;Projects!$W$2:$W$45-$B$106)*(44&lt;=Projects!$W$2:$W$45+$B$17)*$B$107)*((Projects!$B$2:$B$45&gt;=$B$12)*$B$6+(Projects!$B$2:$B$45&lt;$B$12)*(Projects!$B$2:$B$45&gt;=$B$13)*$B$7+(Projects!$B$2:$B$45&lt;$B$13)*$B$8))</f>
        <v>0.75</v>
      </c>
      <c r="AW39" s="382" t="n">
        <f aca="false">SUMPRODUCT((Projects!$G$2:$G$45="Yes")*(45&gt;=Projects!$C$2:$C$45-$B$15)*((45&lt;=Projects!$W$2:$W$45-$B$106)*1+(45&gt;Projects!$W$2:$W$45-$B$106)*(45&lt;=Projects!$W$2:$W$45+$B$17)*$B$107)*((Projects!$B$2:$B$45&gt;=$B$12)*$B$6+(Projects!$B$2:$B$45&lt;$B$12)*(Projects!$B$2:$B$45&gt;=$B$13)*$B$7+(Projects!$B$2:$B$45&lt;$B$13)*$B$8))</f>
        <v>0.5</v>
      </c>
      <c r="AX39" s="382" t="n">
        <f aca="false">SUMPRODUCT((Projects!$G$2:$G$45="Yes")*(46&gt;=Projects!$C$2:$C$45-$B$15)*((46&lt;=Projects!$W$2:$W$45-$B$106)*1+(46&gt;Projects!$W$2:$W$45-$B$106)*(46&lt;=Projects!$W$2:$W$45+$B$17)*$B$107)*((Projects!$B$2:$B$45&gt;=$B$12)*$B$6+(Projects!$B$2:$B$45&lt;$B$12)*(Projects!$B$2:$B$45&gt;=$B$13)*$B$7+(Projects!$B$2:$B$45&lt;$B$13)*$B$8))</f>
        <v>0.5</v>
      </c>
      <c r="AY39" s="382" t="n">
        <f aca="false">SUMPRODUCT((Projects!$G$2:$G$45="Yes")*(47&gt;=Projects!$C$2:$C$45-$B$15)*((47&lt;=Projects!$W$2:$W$45-$B$106)*1+(47&gt;Projects!$W$2:$W$45-$B$106)*(47&lt;=Projects!$W$2:$W$45+$B$17)*$B$107)*((Projects!$B$2:$B$45&gt;=$B$12)*$B$6+(Projects!$B$2:$B$45&lt;$B$12)*(Projects!$B$2:$B$45&gt;=$B$13)*$B$7+(Projects!$B$2:$B$45&lt;$B$13)*$B$8))</f>
        <v>0.5</v>
      </c>
      <c r="AZ39" s="382" t="n">
        <f aca="false">SUMPRODUCT((Projects!$G$2:$G$45="Yes")*(48&gt;=Projects!$C$2:$C$45-$B$15)*((48&lt;=Projects!$W$2:$W$45-$B$106)*1+(48&gt;Projects!$W$2:$W$45-$B$106)*(48&lt;=Projects!$W$2:$W$45+$B$17)*$B$107)*((Projects!$B$2:$B$45&gt;=$B$12)*$B$6+(Projects!$B$2:$B$45&lt;$B$12)*(Projects!$B$2:$B$45&gt;=$B$13)*$B$7+(Projects!$B$2:$B$45&lt;$B$13)*$B$8))</f>
        <v>0.5</v>
      </c>
      <c r="BA39" s="382" t="n">
        <f aca="false">SUMPRODUCT((Projects!$G$2:$G$45="Yes")*(49&gt;=Projects!$C$2:$C$45-$B$15)*((49&lt;=Projects!$W$2:$W$45-$B$106)*1+(49&gt;Projects!$W$2:$W$45-$B$106)*(49&lt;=Projects!$W$2:$W$45+$B$17)*$B$107)*((Projects!$B$2:$B$45&gt;=$B$12)*$B$6+(Projects!$B$2:$B$45&lt;$B$12)*(Projects!$B$2:$B$45&gt;=$B$13)*$B$7+(Projects!$B$2:$B$45&lt;$B$13)*$B$8))</f>
        <v>0.5</v>
      </c>
      <c r="BB39" s="382" t="n">
        <f aca="false">SUMPRODUCT((Projects!$G$2:$G$45="Yes")*(50&gt;=Projects!$C$2:$C$45-$B$15)*((50&lt;=Projects!$W$2:$W$45-$B$106)*1+(50&gt;Projects!$W$2:$W$45-$B$106)*(50&lt;=Projects!$W$2:$W$45+$B$17)*$B$107)*((Projects!$B$2:$B$45&gt;=$B$12)*$B$6+(Projects!$B$2:$B$45&lt;$B$12)*(Projects!$B$2:$B$45&gt;=$B$13)*$B$7+(Projects!$B$2:$B$45&lt;$B$13)*$B$8))</f>
        <v>0.5</v>
      </c>
      <c r="BC39" s="382" t="n">
        <f aca="false">SUMPRODUCT((Projects!$G$2:$G$45="Yes")*(51&gt;=Projects!$C$2:$C$45-$B$15)*((51&lt;=Projects!$W$2:$W$45-$B$106)*1+(51&gt;Projects!$W$2:$W$45-$B$106)*(51&lt;=Projects!$W$2:$W$45+$B$17)*$B$107)*((Projects!$B$2:$B$45&gt;=$B$12)*$B$6+(Projects!$B$2:$B$45&lt;$B$12)*(Projects!$B$2:$B$45&gt;=$B$13)*$B$7+(Projects!$B$2:$B$45&lt;$B$13)*$B$8))</f>
        <v>0.5</v>
      </c>
      <c r="BD39" s="382" t="n">
        <f aca="false">SUMPRODUCT((Projects!$G$2:$G$45="Yes")*(52&gt;=Projects!$C$2:$C$45-$B$15)*((52&lt;=Projects!$W$2:$W$45-$B$106)*1+(52&gt;Projects!$W$2:$W$45-$B$106)*(52&lt;=Projects!$W$2:$W$45+$B$17)*$B$107)*((Projects!$B$2:$B$45&gt;=$B$12)*$B$6+(Projects!$B$2:$B$45&lt;$B$12)*(Projects!$B$2:$B$45&gt;=$B$13)*$B$7+(Projects!$B$2:$B$45&lt;$B$13)*$B$8))</f>
        <v>0.5</v>
      </c>
      <c r="BE39" s="382" t="n">
        <f aca="false">SUMPRODUCT((Projects!$G$2:$G$45="Yes")*(53&gt;=Projects!$C$2:$C$45-$B$15)*((53&lt;=Projects!$W$2:$W$45-$B$106)*1+(53&gt;Projects!$W$2:$W$45-$B$106)*(53&lt;=Projects!$W$2:$W$45+$B$17)*$B$107)*((Projects!$B$2:$B$45&gt;=$B$12)*$B$6+(Projects!$B$2:$B$45&lt;$B$12)*(Projects!$B$2:$B$45&gt;=$B$13)*$B$7+(Projects!$B$2:$B$45&lt;$B$13)*$B$8))</f>
        <v>0.5</v>
      </c>
      <c r="BF39" s="382" t="n">
        <f aca="false">SUMPRODUCT((Projects!$G$2:$G$45="Yes")*(54&gt;=Projects!$C$2:$C$45-$B$15)*((54&lt;=Projects!$W$2:$W$45-$B$106)*1+(54&gt;Projects!$W$2:$W$45-$B$106)*(54&lt;=Projects!$W$2:$W$45+$B$17)*$B$107)*((Projects!$B$2:$B$45&gt;=$B$12)*$B$6+(Projects!$B$2:$B$45&lt;$B$12)*(Projects!$B$2:$B$45&gt;=$B$13)*$B$7+(Projects!$B$2:$B$45&lt;$B$13)*$B$8))</f>
        <v>0.25</v>
      </c>
      <c r="BG39" s="382" t="n">
        <f aca="false">SUMPRODUCT((Projects!$G$2:$G$45="Yes")*(55&gt;=Projects!$C$2:$C$45-$B$15)*((55&lt;=Projects!$W$2:$W$45-$B$106)*1+(55&gt;Projects!$W$2:$W$45-$B$106)*(55&lt;=Projects!$W$2:$W$45+$B$17)*$B$107)*((Projects!$B$2:$B$45&gt;=$B$12)*$B$6+(Projects!$B$2:$B$45&lt;$B$12)*(Projects!$B$2:$B$45&gt;=$B$13)*$B$7+(Projects!$B$2:$B$45&lt;$B$13)*$B$8))</f>
        <v>0.25</v>
      </c>
      <c r="BH39" s="382" t="n">
        <f aca="false">SUMPRODUCT((Projects!$G$2:$G$45="Yes")*(56&gt;=Projects!$C$2:$C$45-$B$15)*((56&lt;=Projects!$W$2:$W$45-$B$106)*1+(56&gt;Projects!$W$2:$W$45-$B$106)*(56&lt;=Projects!$W$2:$W$45+$B$17)*$B$107)*((Projects!$B$2:$B$45&gt;=$B$12)*$B$6+(Projects!$B$2:$B$45&lt;$B$12)*(Projects!$B$2:$B$45&gt;=$B$13)*$B$7+(Projects!$B$2:$B$45&lt;$B$13)*$B$8))</f>
        <v>0.25</v>
      </c>
      <c r="BI39" s="382" t="n">
        <f aca="false">SUMPRODUCT((Projects!$G$2:$G$45="Yes")*(57&gt;=Projects!$C$2:$C$45-$B$15)*((57&lt;=Projects!$W$2:$W$45-$B$106)*1+(57&gt;Projects!$W$2:$W$45-$B$106)*(57&lt;=Projects!$W$2:$W$45+$B$17)*$B$107)*((Projects!$B$2:$B$45&gt;=$B$12)*$B$6+(Projects!$B$2:$B$45&lt;$B$12)*(Projects!$B$2:$B$45&gt;=$B$13)*$B$7+(Projects!$B$2:$B$45&lt;$B$13)*$B$8))</f>
        <v>0.25</v>
      </c>
      <c r="BJ39" s="382" t="n">
        <f aca="false">SUMPRODUCT((Projects!$G$2:$G$45="Yes")*(58&gt;=Projects!$C$2:$C$45-$B$15)*((58&lt;=Projects!$W$2:$W$45-$B$106)*1+(58&gt;Projects!$W$2:$W$45-$B$106)*(58&lt;=Projects!$W$2:$W$45+$B$17)*$B$107)*((Projects!$B$2:$B$45&gt;=$B$12)*$B$6+(Projects!$B$2:$B$45&lt;$B$12)*(Projects!$B$2:$B$45&gt;=$B$13)*$B$7+(Projects!$B$2:$B$45&lt;$B$13)*$B$8))</f>
        <v>0</v>
      </c>
      <c r="BK39" s="382" t="n">
        <f aca="false">SUMPRODUCT((Projects!$G$2:$G$45="Yes")*(59&gt;=Projects!$C$2:$C$45-$B$15)*((59&lt;=Projects!$W$2:$W$45-$B$106)*1+(59&gt;Projects!$W$2:$W$45-$B$106)*(59&lt;=Projects!$W$2:$W$45+$B$17)*$B$107)*((Projects!$B$2:$B$45&gt;=$B$12)*$B$6+(Projects!$B$2:$B$45&lt;$B$12)*(Projects!$B$2:$B$45&gt;=$B$13)*$B$7+(Projects!$B$2:$B$45&lt;$B$13)*$B$8))</f>
        <v>0</v>
      </c>
      <c r="BL39" s="382" t="n">
        <f aca="false">SUMPRODUCT((Projects!$G$2:$G$45="Yes")*(60&gt;=Projects!$C$2:$C$45-$B$15)*((60&lt;=Projects!$W$2:$W$45-$B$106)*1+(60&gt;Projects!$W$2:$W$45-$B$106)*(60&lt;=Projects!$W$2:$W$45+$B$17)*$B$107)*((Projects!$B$2:$B$45&gt;=$B$12)*$B$6+(Projects!$B$2:$B$45&lt;$B$12)*(Projects!$B$2:$B$45&gt;=$B$13)*$B$7+(Projects!$B$2:$B$45&lt;$B$13)*$B$8))</f>
        <v>0</v>
      </c>
      <c r="BM39" s="382" t="n">
        <f aca="false">SUMPRODUCT((Projects!$G$2:$G$45="Yes")*(61&gt;=Projects!$C$2:$C$45-$B$15)*((61&lt;=Projects!$W$2:$W$45-$B$106)*1+(61&gt;Projects!$W$2:$W$45-$B$106)*(61&lt;=Projects!$W$2:$W$45+$B$17)*$B$107)*((Projects!$B$2:$B$45&gt;=$B$12)*$B$6+(Projects!$B$2:$B$45&lt;$B$12)*(Projects!$B$2:$B$45&gt;=$B$13)*$B$7+(Projects!$B$2:$B$45&lt;$B$13)*$B$8))</f>
        <v>0</v>
      </c>
      <c r="BN39" s="382" t="n">
        <f aca="false">SUMPRODUCT((Projects!$G$2:$G$45="Yes")*(62&gt;=Projects!$C$2:$C$45-$B$15)*((62&lt;=Projects!$W$2:$W$45-$B$106)*1+(62&gt;Projects!$W$2:$W$45-$B$106)*(62&lt;=Projects!$W$2:$W$45+$B$17)*$B$107)*((Projects!$B$2:$B$45&gt;=$B$12)*$B$6+(Projects!$B$2:$B$45&lt;$B$12)*(Projects!$B$2:$B$45&gt;=$B$13)*$B$7+(Projects!$B$2:$B$45&lt;$B$13)*$B$8))</f>
        <v>0</v>
      </c>
      <c r="BO39" s="382" t="n">
        <f aca="false">SUMPRODUCT((Projects!$G$2:$G$45="Yes")*(63&gt;=Projects!$C$2:$C$45-$B$15)*((63&lt;=Projects!$W$2:$W$45-$B$106)*1+(63&gt;Projects!$W$2:$W$45-$B$106)*(63&lt;=Projects!$W$2:$W$45+$B$17)*$B$107)*((Projects!$B$2:$B$45&gt;=$B$12)*$B$6+(Projects!$B$2:$B$45&lt;$B$12)*(Projects!$B$2:$B$45&gt;=$B$13)*$B$7+(Projects!$B$2:$B$45&lt;$B$13)*$B$8))</f>
        <v>0</v>
      </c>
      <c r="BP39" s="382" t="n">
        <f aca="false">SUMPRODUCT((Projects!$G$2:$G$45="Yes")*(64&gt;=Projects!$C$2:$C$45-$B$15)*((64&lt;=Projects!$W$2:$W$45-$B$106)*1+(64&gt;Projects!$W$2:$W$45-$B$106)*(64&lt;=Projects!$W$2:$W$45+$B$17)*$B$107)*((Projects!$B$2:$B$45&gt;=$B$12)*$B$6+(Projects!$B$2:$B$45&lt;$B$12)*(Projects!$B$2:$B$45&gt;=$B$13)*$B$7+(Projects!$B$2:$B$45&lt;$B$13)*$B$8))</f>
        <v>0</v>
      </c>
      <c r="BQ39" s="382" t="n">
        <f aca="false">SUMPRODUCT((Projects!$G$2:$G$45="Yes")*(65&gt;=Projects!$C$2:$C$45-$B$15)*((65&lt;=Projects!$W$2:$W$45-$B$106)*1+(65&gt;Projects!$W$2:$W$45-$B$106)*(65&lt;=Projects!$W$2:$W$45+$B$17)*$B$107)*((Projects!$B$2:$B$45&gt;=$B$12)*$B$6+(Projects!$B$2:$B$45&lt;$B$12)*(Projects!$B$2:$B$45&gt;=$B$13)*$B$7+(Projects!$B$2:$B$45&lt;$B$13)*$B$8))</f>
        <v>0</v>
      </c>
      <c r="BR39" s="382" t="n">
        <f aca="false">SUMPRODUCT((Projects!$G$2:$G$45="Yes")*(66&gt;=Projects!$C$2:$C$45-$B$15)*((66&lt;=Projects!$W$2:$W$45-$B$106)*1+(66&gt;Projects!$W$2:$W$45-$B$106)*(66&lt;=Projects!$W$2:$W$45+$B$17)*$B$107)*((Projects!$B$2:$B$45&gt;=$B$12)*$B$6+(Projects!$B$2:$B$45&lt;$B$12)*(Projects!$B$2:$B$45&gt;=$B$13)*$B$7+(Projects!$B$2:$B$45&lt;$B$13)*$B$8))</f>
        <v>0</v>
      </c>
      <c r="BS39" s="382" t="n">
        <f aca="false">SUMPRODUCT((Projects!$G$2:$G$45="Yes")*(67&gt;=Projects!$C$2:$C$45-$B$15)*((67&lt;=Projects!$W$2:$W$45-$B$106)*1+(67&gt;Projects!$W$2:$W$45-$B$106)*(67&lt;=Projects!$W$2:$W$45+$B$17)*$B$107)*((Projects!$B$2:$B$45&gt;=$B$12)*$B$6+(Projects!$B$2:$B$45&lt;$B$12)*(Projects!$B$2:$B$45&gt;=$B$13)*$B$7+(Projects!$B$2:$B$45&lt;$B$13)*$B$8))</f>
        <v>0</v>
      </c>
      <c r="BT39" s="382" t="n">
        <f aca="false">SUMPRODUCT((Projects!$G$2:$G$45="Yes")*(68&gt;=Projects!$C$2:$C$45-$B$15)*((68&lt;=Projects!$W$2:$W$45-$B$106)*1+(68&gt;Projects!$W$2:$W$45-$B$106)*(68&lt;=Projects!$W$2:$W$45+$B$17)*$B$107)*((Projects!$B$2:$B$45&gt;=$B$12)*$B$6+(Projects!$B$2:$B$45&lt;$B$12)*(Projects!$B$2:$B$45&gt;=$B$13)*$B$7+(Projects!$B$2:$B$45&lt;$B$13)*$B$8))</f>
        <v>0</v>
      </c>
      <c r="BU39" s="382" t="n">
        <f aca="false">SUMPRODUCT((Projects!$G$2:$G$45="Yes")*(69&gt;=Projects!$C$2:$C$45-$B$15)*((69&lt;=Projects!$W$2:$W$45-$B$106)*1+(69&gt;Projects!$W$2:$W$45-$B$106)*(69&lt;=Projects!$W$2:$W$45+$B$17)*$B$107)*((Projects!$B$2:$B$45&gt;=$B$12)*$B$6+(Projects!$B$2:$B$45&lt;$B$12)*(Projects!$B$2:$B$45&gt;=$B$13)*$B$7+(Projects!$B$2:$B$45&lt;$B$13)*$B$8))</f>
        <v>0</v>
      </c>
      <c r="BV39" s="382" t="n">
        <f aca="false">SUMPRODUCT((Projects!$G$2:$G$45="Yes")*(70&gt;=Projects!$C$2:$C$45-$B$15)*((70&lt;=Projects!$W$2:$W$45-$B$106)*1+(70&gt;Projects!$W$2:$W$45-$B$106)*(70&lt;=Projects!$W$2:$W$45+$B$17)*$B$107)*((Projects!$B$2:$B$45&gt;=$B$12)*$B$6+(Projects!$B$2:$B$45&lt;$B$12)*(Projects!$B$2:$B$45&gt;=$B$13)*$B$7+(Projects!$B$2:$B$45&lt;$B$13)*$B$8))</f>
        <v>0</v>
      </c>
      <c r="BW39" s="382" t="n">
        <f aca="false">SUMPRODUCT((Projects!$G$2:$G$45="Yes")*(71&gt;=Projects!$C$2:$C$45-$B$15)*((71&lt;=Projects!$W$2:$W$45-$B$106)*1+(71&gt;Projects!$W$2:$W$45-$B$106)*(71&lt;=Projects!$W$2:$W$45+$B$17)*$B$107)*((Projects!$B$2:$B$45&gt;=$B$12)*$B$6+(Projects!$B$2:$B$45&lt;$B$12)*(Projects!$B$2:$B$45&gt;=$B$13)*$B$7+(Projects!$B$2:$B$45&lt;$B$13)*$B$8))</f>
        <v>0</v>
      </c>
      <c r="BX39" s="382" t="n">
        <f aca="false">SUMPRODUCT((Projects!$G$2:$G$45="Yes")*(72&gt;=Projects!$C$2:$C$45-$B$15)*((72&lt;=Projects!$W$2:$W$45-$B$106)*1+(72&gt;Projects!$W$2:$W$45-$B$106)*(72&lt;=Projects!$W$2:$W$45+$B$17)*$B$107)*((Projects!$B$2:$B$45&gt;=$B$12)*$B$6+(Projects!$B$2:$B$45&lt;$B$12)*(Projects!$B$2:$B$45&gt;=$B$13)*$B$7+(Projects!$B$2:$B$45&lt;$B$13)*$B$8))</f>
        <v>0</v>
      </c>
      <c r="BY39" s="382" t="n">
        <f aca="false">SUMPRODUCT((Projects!$G$2:$G$45="Yes")*(73&gt;=Projects!$C$2:$C$45-$B$15)*((73&lt;=Projects!$W$2:$W$45-$B$106)*1+(73&gt;Projects!$W$2:$W$45-$B$106)*(73&lt;=Projects!$W$2:$W$45+$B$17)*$B$107)*((Projects!$B$2:$B$45&gt;=$B$12)*$B$6+(Projects!$B$2:$B$45&lt;$B$12)*(Projects!$B$2:$B$45&gt;=$B$13)*$B$7+(Projects!$B$2:$B$45&lt;$B$13)*$B$8))</f>
        <v>0</v>
      </c>
      <c r="BZ39" s="382" t="n">
        <f aca="false">SUMPRODUCT((Projects!$G$2:$G$45="Yes")*(74&gt;=Projects!$C$2:$C$45-$B$15)*((74&lt;=Projects!$W$2:$W$45-$B$106)*1+(74&gt;Projects!$W$2:$W$45-$B$106)*(74&lt;=Projects!$W$2:$W$45+$B$17)*$B$107)*((Projects!$B$2:$B$45&gt;=$B$12)*$B$6+(Projects!$B$2:$B$45&lt;$B$12)*(Projects!$B$2:$B$45&gt;=$B$13)*$B$7+(Projects!$B$2:$B$45&lt;$B$13)*$B$8))</f>
        <v>0</v>
      </c>
      <c r="CA39" s="382" t="n">
        <f aca="false">SUMPRODUCT((Projects!$G$2:$G$45="Yes")*(75&gt;=Projects!$C$2:$C$45-$B$15)*((75&lt;=Projects!$W$2:$W$45-$B$106)*1+(75&gt;Projects!$W$2:$W$45-$B$106)*(75&lt;=Projects!$W$2:$W$45+$B$17)*$B$107)*((Projects!$B$2:$B$45&gt;=$B$12)*$B$6+(Projects!$B$2:$B$45&lt;$B$12)*(Projects!$B$2:$B$45&gt;=$B$13)*$B$7+(Projects!$B$2:$B$45&lt;$B$13)*$B$8))</f>
        <v>0</v>
      </c>
      <c r="CB39" s="382" t="n">
        <f aca="false">SUMPRODUCT((Projects!$G$2:$G$45="Yes")*(76&gt;=Projects!$C$2:$C$45-$B$15)*((76&lt;=Projects!$W$2:$W$45-$B$106)*1+(76&gt;Projects!$W$2:$W$45-$B$106)*(76&lt;=Projects!$W$2:$W$45+$B$17)*$B$107)*((Projects!$B$2:$B$45&gt;=$B$12)*$B$6+(Projects!$B$2:$B$45&lt;$B$12)*(Projects!$B$2:$B$45&gt;=$B$13)*$B$7+(Projects!$B$2:$B$45&lt;$B$13)*$B$8))</f>
        <v>0</v>
      </c>
      <c r="CC39" s="382" t="n">
        <f aca="false">SUMPRODUCT((Projects!$G$2:$G$45="Yes")*(77&gt;=Projects!$C$2:$C$45-$B$15)*((77&lt;=Projects!$W$2:$W$45-$B$106)*1+(77&gt;Projects!$W$2:$W$45-$B$106)*(77&lt;=Projects!$W$2:$W$45+$B$17)*$B$107)*((Projects!$B$2:$B$45&gt;=$B$12)*$B$6+(Projects!$B$2:$B$45&lt;$B$12)*(Projects!$B$2:$B$45&gt;=$B$13)*$B$7+(Projects!$B$2:$B$45&lt;$B$13)*$B$8))</f>
        <v>0</v>
      </c>
      <c r="CD39" s="382" t="n">
        <f aca="false">SUMPRODUCT((Projects!$G$2:$G$45="Yes")*(78&gt;=Projects!$C$2:$C$45-$B$15)*((78&lt;=Projects!$W$2:$W$45-$B$106)*1+(78&gt;Projects!$W$2:$W$45-$B$106)*(78&lt;=Projects!$W$2:$W$45+$B$17)*$B$107)*((Projects!$B$2:$B$45&gt;=$B$12)*$B$6+(Projects!$B$2:$B$45&lt;$B$12)*(Projects!$B$2:$B$45&gt;=$B$13)*$B$7+(Projects!$B$2:$B$45&lt;$B$13)*$B$8))</f>
        <v>0</v>
      </c>
      <c r="CE39" s="382" t="n">
        <f aca="false">SUMPRODUCT((Projects!$G$2:$G$45="Yes")*(79&gt;=Projects!$C$2:$C$45-$B$15)*((79&lt;=Projects!$W$2:$W$45-$B$106)*1+(79&gt;Projects!$W$2:$W$45-$B$106)*(79&lt;=Projects!$W$2:$W$45+$B$17)*$B$107)*((Projects!$B$2:$B$45&gt;=$B$12)*$B$6+(Projects!$B$2:$B$45&lt;$B$12)*(Projects!$B$2:$B$45&gt;=$B$13)*$B$7+(Projects!$B$2:$B$45&lt;$B$13)*$B$8))</f>
        <v>0</v>
      </c>
      <c r="CF39" s="382" t="n">
        <f aca="false">SUMPRODUCT((Projects!$G$2:$G$45="Yes")*(80&gt;=Projects!$C$2:$C$45-$B$15)*((80&lt;=Projects!$W$2:$W$45-$B$106)*1+(80&gt;Projects!$W$2:$W$45-$B$106)*(80&lt;=Projects!$W$2:$W$45+$B$17)*$B$107)*((Projects!$B$2:$B$45&gt;=$B$12)*$B$6+(Projects!$B$2:$B$45&lt;$B$12)*(Projects!$B$2:$B$45&gt;=$B$13)*$B$7+(Projects!$B$2:$B$45&lt;$B$13)*$B$8))</f>
        <v>0</v>
      </c>
      <c r="CG39" s="382" t="n">
        <f aca="false">SUMPRODUCT((Projects!$G$2:$G$45="Yes")*(81&gt;=Projects!$C$2:$C$45-$B$15)*((81&lt;=Projects!$W$2:$W$45-$B$106)*1+(81&gt;Projects!$W$2:$W$45-$B$106)*(81&lt;=Projects!$W$2:$W$45+$B$17)*$B$107)*((Projects!$B$2:$B$45&gt;=$B$12)*$B$6+(Projects!$B$2:$B$45&lt;$B$12)*(Projects!$B$2:$B$45&gt;=$B$13)*$B$7+(Projects!$B$2:$B$45&lt;$B$13)*$B$8))</f>
        <v>0</v>
      </c>
      <c r="CH39" s="382" t="n">
        <f aca="false">SUMPRODUCT((Projects!$G$2:$G$45="Yes")*(82&gt;=Projects!$C$2:$C$45-$B$15)*((82&lt;=Projects!$W$2:$W$45-$B$106)*1+(82&gt;Projects!$W$2:$W$45-$B$106)*(82&lt;=Projects!$W$2:$W$45+$B$17)*$B$107)*((Projects!$B$2:$B$45&gt;=$B$12)*$B$6+(Projects!$B$2:$B$45&lt;$B$12)*(Projects!$B$2:$B$45&gt;=$B$13)*$B$7+(Projects!$B$2:$B$45&lt;$B$13)*$B$8))</f>
        <v>0</v>
      </c>
      <c r="CI39" s="382" t="n">
        <f aca="false">SUMPRODUCT((Projects!$G$2:$G$45="Yes")*(83&gt;=Projects!$C$2:$C$45-$B$15)*((83&lt;=Projects!$W$2:$W$45-$B$106)*1+(83&gt;Projects!$W$2:$W$45-$B$106)*(83&lt;=Projects!$W$2:$W$45+$B$17)*$B$107)*((Projects!$B$2:$B$45&gt;=$B$12)*$B$6+(Projects!$B$2:$B$45&lt;$B$12)*(Projects!$B$2:$B$45&gt;=$B$13)*$B$7+(Projects!$B$2:$B$45&lt;$B$13)*$B$8))</f>
        <v>0</v>
      </c>
      <c r="CJ39" s="382" t="n">
        <f aca="false">SUMPRODUCT((Projects!$G$2:$G$45="Yes")*(84&gt;=Projects!$C$2:$C$45-$B$15)*((84&lt;=Projects!$W$2:$W$45-$B$106)*1+(84&gt;Projects!$W$2:$W$45-$B$106)*(84&lt;=Projects!$W$2:$W$45+$B$17)*$B$107)*((Projects!$B$2:$B$45&gt;=$B$12)*$B$6+(Projects!$B$2:$B$45&lt;$B$12)*(Projects!$B$2:$B$45&gt;=$B$13)*$B$7+(Projects!$B$2:$B$45&lt;$B$13)*$B$8))</f>
        <v>0</v>
      </c>
      <c r="CK39" s="382" t="n">
        <f aca="false">SUMPRODUCT((Projects!$G$2:$G$45="Yes")*(85&gt;=Projects!$C$2:$C$45-$B$15)*((85&lt;=Projects!$W$2:$W$45-$B$106)*1+(85&gt;Projects!$W$2:$W$45-$B$106)*(85&lt;=Projects!$W$2:$W$45+$B$17)*$B$107)*((Projects!$B$2:$B$45&gt;=$B$12)*$B$6+(Projects!$B$2:$B$45&lt;$B$12)*(Projects!$B$2:$B$45&gt;=$B$13)*$B$7+(Projects!$B$2:$B$45&lt;$B$13)*$B$8))</f>
        <v>0</v>
      </c>
      <c r="CL39" s="382" t="n">
        <f aca="false">SUMPRODUCT((Projects!$G$2:$G$45="Yes")*(86&gt;=Projects!$C$2:$C$45-$B$15)*((86&lt;=Projects!$W$2:$W$45-$B$106)*1+(86&gt;Projects!$W$2:$W$45-$B$106)*(86&lt;=Projects!$W$2:$W$45+$B$17)*$B$107)*((Projects!$B$2:$B$45&gt;=$B$12)*$B$6+(Projects!$B$2:$B$45&lt;$B$12)*(Projects!$B$2:$B$45&gt;=$B$13)*$B$7+(Projects!$B$2:$B$45&lt;$B$13)*$B$8))</f>
        <v>0</v>
      </c>
      <c r="CM39" s="382" t="n">
        <f aca="false">SUMPRODUCT((Projects!$G$2:$G$45="Yes")*(87&gt;=Projects!$C$2:$C$45-$B$15)*((87&lt;=Projects!$W$2:$W$45-$B$106)*1+(87&gt;Projects!$W$2:$W$45-$B$106)*(87&lt;=Projects!$W$2:$W$45+$B$17)*$B$107)*((Projects!$B$2:$B$45&gt;=$B$12)*$B$6+(Projects!$B$2:$B$45&lt;$B$12)*(Projects!$B$2:$B$45&gt;=$B$13)*$B$7+(Projects!$B$2:$B$45&lt;$B$13)*$B$8))</f>
        <v>0</v>
      </c>
      <c r="CN39" s="382" t="n">
        <f aca="false">SUMPRODUCT((Projects!$G$2:$G$45="Yes")*(88&gt;=Projects!$C$2:$C$45-$B$15)*((88&lt;=Projects!$W$2:$W$45-$B$106)*1+(88&gt;Projects!$W$2:$W$45-$B$106)*(88&lt;=Projects!$W$2:$W$45+$B$17)*$B$107)*((Projects!$B$2:$B$45&gt;=$B$12)*$B$6+(Projects!$B$2:$B$45&lt;$B$12)*(Projects!$B$2:$B$45&gt;=$B$13)*$B$7+(Projects!$B$2:$B$45&lt;$B$13)*$B$8))</f>
        <v>0</v>
      </c>
      <c r="CO39" s="382" t="n">
        <f aca="false">SUMPRODUCT((Projects!$G$2:$G$45="Yes")*(89&gt;=Projects!$C$2:$C$45-$B$15)*((89&lt;=Projects!$W$2:$W$45-$B$106)*1+(89&gt;Projects!$W$2:$W$45-$B$106)*(89&lt;=Projects!$W$2:$W$45+$B$17)*$B$107)*((Projects!$B$2:$B$45&gt;=$B$12)*$B$6+(Projects!$B$2:$B$45&lt;$B$12)*(Projects!$B$2:$B$45&gt;=$B$13)*$B$7+(Projects!$B$2:$B$45&lt;$B$13)*$B$8))</f>
        <v>0</v>
      </c>
      <c r="CP39" s="382" t="n">
        <f aca="false">SUMPRODUCT((Projects!$G$2:$G$45="Yes")*(90&gt;=Projects!$C$2:$C$45-$B$15)*((90&lt;=Projects!$W$2:$W$45-$B$106)*1+(90&gt;Projects!$W$2:$W$45-$B$106)*(90&lt;=Projects!$W$2:$W$45+$B$17)*$B$107)*((Projects!$B$2:$B$45&gt;=$B$12)*$B$6+(Projects!$B$2:$B$45&lt;$B$12)*(Projects!$B$2:$B$45&gt;=$B$13)*$B$7+(Projects!$B$2:$B$45&lt;$B$13)*$B$8))</f>
        <v>0</v>
      </c>
      <c r="CQ39" s="382" t="n">
        <f aca="false">SUMPRODUCT((Projects!$G$2:$G$45="Yes")*(91&gt;=Projects!$C$2:$C$45-$B$15)*((91&lt;=Projects!$W$2:$W$45-$B$106)*1+(91&gt;Projects!$W$2:$W$45-$B$106)*(91&lt;=Projects!$W$2:$W$45+$B$17)*$B$107)*((Projects!$B$2:$B$45&gt;=$B$12)*$B$6+(Projects!$B$2:$B$45&lt;$B$12)*(Projects!$B$2:$B$45&gt;=$B$13)*$B$7+(Projects!$B$2:$B$45&lt;$B$13)*$B$8))</f>
        <v>0</v>
      </c>
      <c r="CR39" s="382" t="n">
        <f aca="false">SUMPRODUCT((Projects!$G$2:$G$45="Yes")*(92&gt;=Projects!$C$2:$C$45-$B$15)*((92&lt;=Projects!$W$2:$W$45-$B$106)*1+(92&gt;Projects!$W$2:$W$45-$B$106)*(92&lt;=Projects!$W$2:$W$45+$B$17)*$B$107)*((Projects!$B$2:$B$45&gt;=$B$12)*$B$6+(Projects!$B$2:$B$45&lt;$B$12)*(Projects!$B$2:$B$45&gt;=$B$13)*$B$7+(Projects!$B$2:$B$45&lt;$B$13)*$B$8))</f>
        <v>0</v>
      </c>
      <c r="CS39" s="382" t="n">
        <f aca="false">SUMPRODUCT((Projects!$G$2:$G$45="Yes")*(93&gt;=Projects!$C$2:$C$45-$B$15)*((93&lt;=Projects!$W$2:$W$45-$B$106)*1+(93&gt;Projects!$W$2:$W$45-$B$106)*(93&lt;=Projects!$W$2:$W$45+$B$17)*$B$107)*((Projects!$B$2:$B$45&gt;=$B$12)*$B$6+(Projects!$B$2:$B$45&lt;$B$12)*(Projects!$B$2:$B$45&gt;=$B$13)*$B$7+(Projects!$B$2:$B$45&lt;$B$13)*$B$8))</f>
        <v>0</v>
      </c>
      <c r="CT39" s="382" t="n">
        <f aca="false">SUMPRODUCT((Projects!$G$2:$G$45="Yes")*(94&gt;=Projects!$C$2:$C$45-$B$15)*((94&lt;=Projects!$W$2:$W$45-$B$106)*1+(94&gt;Projects!$W$2:$W$45-$B$106)*(94&lt;=Projects!$W$2:$W$45+$B$17)*$B$107)*((Projects!$B$2:$B$45&gt;=$B$12)*$B$6+(Projects!$B$2:$B$45&lt;$B$12)*(Projects!$B$2:$B$45&gt;=$B$13)*$B$7+(Projects!$B$2:$B$45&lt;$B$13)*$B$8))</f>
        <v>0</v>
      </c>
      <c r="CU39" s="382" t="n">
        <f aca="false">SUMPRODUCT((Projects!$G$2:$G$45="Yes")*(95&gt;=Projects!$C$2:$C$45-$B$15)*((95&lt;=Projects!$W$2:$W$45-$B$106)*1+(95&gt;Projects!$W$2:$W$45-$B$106)*(95&lt;=Projects!$W$2:$W$45+$B$17)*$B$107)*((Projects!$B$2:$B$45&gt;=$B$12)*$B$6+(Projects!$B$2:$B$45&lt;$B$12)*(Projects!$B$2:$B$45&gt;=$B$13)*$B$7+(Projects!$B$2:$B$45&lt;$B$13)*$B$8))</f>
        <v>0</v>
      </c>
      <c r="CV39" s="382" t="n">
        <f aca="false">SUMPRODUCT((Projects!$G$2:$G$45="Yes")*(96&gt;=Projects!$C$2:$C$45-$B$15)*((96&lt;=Projects!$W$2:$W$45-$B$106)*1+(96&gt;Projects!$W$2:$W$45-$B$106)*(96&lt;=Projects!$W$2:$W$45+$B$17)*$B$107)*((Projects!$B$2:$B$45&gt;=$B$12)*$B$6+(Projects!$B$2:$B$45&lt;$B$12)*(Projects!$B$2:$B$45&gt;=$B$13)*$B$7+(Projects!$B$2:$B$45&lt;$B$13)*$B$8))</f>
        <v>0</v>
      </c>
      <c r="CW39" s="382" t="n">
        <f aca="false">SUMPRODUCT((Projects!$G$2:$G$45="Yes")*(97&gt;=Projects!$C$2:$C$45-$B$15)*((97&lt;=Projects!$W$2:$W$45-$B$106)*1+(97&gt;Projects!$W$2:$W$45-$B$106)*(97&lt;=Projects!$W$2:$W$45+$B$17)*$B$107)*((Projects!$B$2:$B$45&gt;=$B$12)*$B$6+(Projects!$B$2:$B$45&lt;$B$12)*(Projects!$B$2:$B$45&gt;=$B$13)*$B$7+(Projects!$B$2:$B$45&lt;$B$13)*$B$8))</f>
        <v>0</v>
      </c>
      <c r="CX39" s="382" t="n">
        <f aca="false">SUMPRODUCT((Projects!$G$2:$G$45="Yes")*(98&gt;=Projects!$C$2:$C$45-$B$15)*((98&lt;=Projects!$W$2:$W$45-$B$106)*1+(98&gt;Projects!$W$2:$W$45-$B$106)*(98&lt;=Projects!$W$2:$W$45+$B$17)*$B$107)*((Projects!$B$2:$B$45&gt;=$B$12)*$B$6+(Projects!$B$2:$B$45&lt;$B$12)*(Projects!$B$2:$B$45&gt;=$B$13)*$B$7+(Projects!$B$2:$B$45&lt;$B$13)*$B$8))</f>
        <v>0</v>
      </c>
      <c r="CY39" s="382" t="n">
        <f aca="false">SUMPRODUCT((Projects!$G$2:$G$45="Yes")*(99&gt;=Projects!$C$2:$C$45-$B$15)*((99&lt;=Projects!$W$2:$W$45-$B$106)*1+(99&gt;Projects!$W$2:$W$45-$B$106)*(99&lt;=Projects!$W$2:$W$45+$B$17)*$B$107)*((Projects!$B$2:$B$45&gt;=$B$12)*$B$6+(Projects!$B$2:$B$45&lt;$B$12)*(Projects!$B$2:$B$45&gt;=$B$13)*$B$7+(Projects!$B$2:$B$45&lt;$B$13)*$B$8))</f>
        <v>0</v>
      </c>
      <c r="CZ39" s="382" t="n">
        <f aca="false">SUMPRODUCT((Projects!$G$2:$G$45="Yes")*(100&gt;=Projects!$C$2:$C$45-$B$15)*((100&lt;=Projects!$W$2:$W$45-$B$106)*1+(100&gt;Projects!$W$2:$W$45-$B$106)*(100&lt;=Projects!$W$2:$W$45+$B$17)*$B$107)*((Projects!$B$2:$B$45&gt;=$B$12)*$B$6+(Projects!$B$2:$B$45&lt;$B$12)*(Projects!$B$2:$B$45&gt;=$B$13)*$B$7+(Projects!$B$2:$B$45&lt;$B$13)*$B$8))</f>
        <v>0</v>
      </c>
      <c r="DA39" s="382" t="n">
        <f aca="false">SUMPRODUCT((Projects!$G$2:$G$45="Yes")*(101&gt;=Projects!$C$2:$C$45-$B$15)*((101&lt;=Projects!$W$2:$W$45-$B$106)*1+(101&gt;Projects!$W$2:$W$45-$B$106)*(101&lt;=Projects!$W$2:$W$45+$B$17)*$B$107)*((Projects!$B$2:$B$45&gt;=$B$12)*$B$6+(Projects!$B$2:$B$45&lt;$B$12)*(Projects!$B$2:$B$45&gt;=$B$13)*$B$7+(Projects!$B$2:$B$45&lt;$B$13)*$B$8))</f>
        <v>0</v>
      </c>
      <c r="DB39" s="382" t="n">
        <f aca="false">SUMPRODUCT((Projects!$G$2:$G$45="Yes")*(102&gt;=Projects!$C$2:$C$45-$B$15)*((102&lt;=Projects!$W$2:$W$45-$B$106)*1+(102&gt;Projects!$W$2:$W$45-$B$106)*(102&lt;=Projects!$W$2:$W$45+$B$17)*$B$107)*((Projects!$B$2:$B$45&gt;=$B$12)*$B$6+(Projects!$B$2:$B$45&lt;$B$12)*(Projects!$B$2:$B$45&gt;=$B$13)*$B$7+(Projects!$B$2:$B$45&lt;$B$13)*$B$8))</f>
        <v>0</v>
      </c>
      <c r="DC39" s="382" t="n">
        <f aca="false">SUMPRODUCT((Projects!$G$2:$G$45="Yes")*(103&gt;=Projects!$C$2:$C$45-$B$15)*((103&lt;=Projects!$W$2:$W$45-$B$106)*1+(103&gt;Projects!$W$2:$W$45-$B$106)*(103&lt;=Projects!$W$2:$W$45+$B$17)*$B$107)*((Projects!$B$2:$B$45&gt;=$B$12)*$B$6+(Projects!$B$2:$B$45&lt;$B$12)*(Projects!$B$2:$B$45&gt;=$B$13)*$B$7+(Projects!$B$2:$B$45&lt;$B$13)*$B$8))</f>
        <v>0</v>
      </c>
      <c r="DD39" s="382" t="n">
        <f aca="false">SUMPRODUCT((Projects!$G$2:$G$45="Yes")*(104&gt;=Projects!$C$2:$C$45-$B$15)*((104&lt;=Projects!$W$2:$W$45-$B$106)*1+(104&gt;Projects!$W$2:$W$45-$B$106)*(104&lt;=Projects!$W$2:$W$45+$B$17)*$B$107)*((Projects!$B$2:$B$45&gt;=$B$12)*$B$6+(Projects!$B$2:$B$45&lt;$B$12)*(Projects!$B$2:$B$45&gt;=$B$13)*$B$7+(Projects!$B$2:$B$45&lt;$B$13)*$B$8))</f>
        <v>0</v>
      </c>
      <c r="DE39" s="382"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1370</v>
      </c>
      <c r="E40" s="382" t="n">
        <f aca="false">SUMPRODUCT((Projects!$G$2:$G$45="Yes")*(1&gt;=Projects!$C$2:$C$45-$B$16)*((1&lt;=Projects!$W$2:$W$45-$B$106)*1+(1&gt;Projects!$W$2:$W$45-$B$106)*(1&lt;=Projects!$W$2:$W$45+$B$17)*$B$107)*((Projects!$B$2:$B$45&gt;=$B$12)*$B$9+(Projects!$B$2:$B$45&lt;$B$12)*(Projects!$B$2:$B$45&gt;=$B$13)*$B$10+(Projects!$B$2:$B$45&lt;$B$13)*$B$11))</f>
        <v>1.6</v>
      </c>
      <c r="F40" s="382" t="n">
        <f aca="false">SUMPRODUCT((Projects!$G$2:$G$45="Yes")*(2&gt;=Projects!$C$2:$C$45-$B$16)*((2&lt;=Projects!$W$2:$W$45-$B$106)*1+(2&gt;Projects!$W$2:$W$45-$B$106)*(2&lt;=Projects!$W$2:$W$45+$B$17)*$B$107)*((Projects!$B$2:$B$45&gt;=$B$12)*$B$9+(Projects!$B$2:$B$45&lt;$B$12)*(Projects!$B$2:$B$45&gt;=$B$13)*$B$10+(Projects!$B$2:$B$45&lt;$B$13)*$B$11))</f>
        <v>1.6</v>
      </c>
      <c r="G40" s="382" t="n">
        <f aca="false">SUMPRODUCT((Projects!$G$2:$G$45="Yes")*(3&gt;=Projects!$C$2:$C$45-$B$16)*((3&lt;=Projects!$W$2:$W$45-$B$106)*1+(3&gt;Projects!$W$2:$W$45-$B$106)*(3&lt;=Projects!$W$2:$W$45+$B$17)*$B$107)*((Projects!$B$2:$B$45&gt;=$B$12)*$B$9+(Projects!$B$2:$B$45&lt;$B$12)*(Projects!$B$2:$B$45&gt;=$B$13)*$B$10+(Projects!$B$2:$B$45&lt;$B$13)*$B$11))</f>
        <v>1.6</v>
      </c>
      <c r="H40" s="382" t="n">
        <f aca="false">SUMPRODUCT((Projects!$G$2:$G$45="Yes")*(4&gt;=Projects!$C$2:$C$45-$B$16)*((4&lt;=Projects!$W$2:$W$45-$B$106)*1+(4&gt;Projects!$W$2:$W$45-$B$106)*(4&lt;=Projects!$W$2:$W$45+$B$17)*$B$107)*((Projects!$B$2:$B$45&gt;=$B$12)*$B$9+(Projects!$B$2:$B$45&lt;$B$12)*(Projects!$B$2:$B$45&gt;=$B$13)*$B$10+(Projects!$B$2:$B$45&lt;$B$13)*$B$11))</f>
        <v>1.6</v>
      </c>
      <c r="I40" s="382" t="n">
        <f aca="false">SUMPRODUCT((Projects!$G$2:$G$45="Yes")*(5&gt;=Projects!$C$2:$C$45-$B$16)*((5&lt;=Projects!$W$2:$W$45-$B$106)*1+(5&gt;Projects!$W$2:$W$45-$B$106)*(5&lt;=Projects!$W$2:$W$45+$B$17)*$B$107)*((Projects!$B$2:$B$45&gt;=$B$12)*$B$9+(Projects!$B$2:$B$45&lt;$B$12)*(Projects!$B$2:$B$45&gt;=$B$13)*$B$10+(Projects!$B$2:$B$45&lt;$B$13)*$B$11))</f>
        <v>2.3</v>
      </c>
      <c r="J40" s="382" t="n">
        <f aca="false">SUMPRODUCT((Projects!$G$2:$G$45="Yes")*(6&gt;=Projects!$C$2:$C$45-$B$16)*((6&lt;=Projects!$W$2:$W$45-$B$106)*1+(6&gt;Projects!$W$2:$W$45-$B$106)*(6&lt;=Projects!$W$2:$W$45+$B$17)*$B$107)*((Projects!$B$2:$B$45&gt;=$B$12)*$B$9+(Projects!$B$2:$B$45&lt;$B$12)*(Projects!$B$2:$B$45&gt;=$B$13)*$B$10+(Projects!$B$2:$B$45&lt;$B$13)*$B$11))</f>
        <v>2.25</v>
      </c>
      <c r="K40" s="382" t="n">
        <f aca="false">SUMPRODUCT((Projects!$G$2:$G$45="Yes")*(7&gt;=Projects!$C$2:$C$45-$B$16)*((7&lt;=Projects!$W$2:$W$45-$B$106)*1+(7&gt;Projects!$W$2:$W$45-$B$106)*(7&lt;=Projects!$W$2:$W$45+$B$17)*$B$107)*((Projects!$B$2:$B$45&gt;=$B$12)*$B$9+(Projects!$B$2:$B$45&lt;$B$12)*(Projects!$B$2:$B$45&gt;=$B$13)*$B$10+(Projects!$B$2:$B$45&lt;$B$13)*$B$11))</f>
        <v>2.25</v>
      </c>
      <c r="L40" s="382" t="n">
        <f aca="false">SUMPRODUCT((Projects!$G$2:$G$45="Yes")*(8&gt;=Projects!$C$2:$C$45-$B$16)*((8&lt;=Projects!$W$2:$W$45-$B$106)*1+(8&gt;Projects!$W$2:$W$45-$B$106)*(8&lt;=Projects!$W$2:$W$45+$B$17)*$B$107)*((Projects!$B$2:$B$45&gt;=$B$12)*$B$9+(Projects!$B$2:$B$45&lt;$B$12)*(Projects!$B$2:$B$45&gt;=$B$13)*$B$10+(Projects!$B$2:$B$45&lt;$B$13)*$B$11))</f>
        <v>2.25</v>
      </c>
      <c r="M40" s="382" t="n">
        <f aca="false">SUMPRODUCT((Projects!$G$2:$G$45="Yes")*(9&gt;=Projects!$C$2:$C$45-$B$16)*((9&lt;=Projects!$W$2:$W$45-$B$106)*1+(9&gt;Projects!$W$2:$W$45-$B$106)*(9&lt;=Projects!$W$2:$W$45+$B$17)*$B$107)*((Projects!$B$2:$B$45&gt;=$B$12)*$B$9+(Projects!$B$2:$B$45&lt;$B$12)*(Projects!$B$2:$B$45&gt;=$B$13)*$B$10+(Projects!$B$2:$B$45&lt;$B$13)*$B$11))</f>
        <v>2.45</v>
      </c>
      <c r="N40" s="382" t="n">
        <f aca="false">SUMPRODUCT((Projects!$G$2:$G$45="Yes")*(10&gt;=Projects!$C$2:$C$45-$B$16)*((10&lt;=Projects!$W$2:$W$45-$B$106)*1+(10&gt;Projects!$W$2:$W$45-$B$106)*(10&lt;=Projects!$W$2:$W$45+$B$17)*$B$107)*((Projects!$B$2:$B$45&gt;=$B$12)*$B$9+(Projects!$B$2:$B$45&lt;$B$12)*(Projects!$B$2:$B$45&gt;=$B$13)*$B$10+(Projects!$B$2:$B$45&lt;$B$13)*$B$11))</f>
        <v>2.9</v>
      </c>
      <c r="O40" s="382" t="n">
        <f aca="false">SUMPRODUCT((Projects!$G$2:$G$45="Yes")*(11&gt;=Projects!$C$2:$C$45-$B$16)*((11&lt;=Projects!$W$2:$W$45-$B$106)*1+(11&gt;Projects!$W$2:$W$45-$B$106)*(11&lt;=Projects!$W$2:$W$45+$B$17)*$B$107)*((Projects!$B$2:$B$45&gt;=$B$12)*$B$9+(Projects!$B$2:$B$45&lt;$B$12)*(Projects!$B$2:$B$45&gt;=$B$13)*$B$10+(Projects!$B$2:$B$45&lt;$B$13)*$B$11))</f>
        <v>3.4</v>
      </c>
      <c r="P40" s="382" t="n">
        <f aca="false">SUMPRODUCT((Projects!$G$2:$G$45="Yes")*(12&gt;=Projects!$C$2:$C$45-$B$16)*((12&lt;=Projects!$W$2:$W$45-$B$106)*1+(12&gt;Projects!$W$2:$W$45-$B$106)*(12&lt;=Projects!$W$2:$W$45+$B$17)*$B$107)*((Projects!$B$2:$B$45&gt;=$B$12)*$B$9+(Projects!$B$2:$B$45&lt;$B$12)*(Projects!$B$2:$B$45&gt;=$B$13)*$B$10+(Projects!$B$2:$B$45&lt;$B$13)*$B$11))</f>
        <v>3.4</v>
      </c>
      <c r="Q40" s="382" t="n">
        <f aca="false">SUMPRODUCT((Projects!$G$2:$G$45="Yes")*(13&gt;=Projects!$C$2:$C$45-$B$16)*((13&lt;=Projects!$W$2:$W$45-$B$106)*1+(13&gt;Projects!$W$2:$W$45-$B$106)*(13&lt;=Projects!$W$2:$W$45+$B$17)*$B$107)*((Projects!$B$2:$B$45&gt;=$B$12)*$B$9+(Projects!$B$2:$B$45&lt;$B$12)*(Projects!$B$2:$B$45&gt;=$B$13)*$B$10+(Projects!$B$2:$B$45&lt;$B$13)*$B$11))</f>
        <v>3.65</v>
      </c>
      <c r="R40" s="382" t="n">
        <f aca="false">SUMPRODUCT((Projects!$G$2:$G$45="Yes")*(14&gt;=Projects!$C$2:$C$45-$B$16)*((14&lt;=Projects!$W$2:$W$45-$B$106)*1+(14&gt;Projects!$W$2:$W$45-$B$106)*(14&lt;=Projects!$W$2:$W$45+$B$17)*$B$107)*((Projects!$B$2:$B$45&gt;=$B$12)*$B$9+(Projects!$B$2:$B$45&lt;$B$12)*(Projects!$B$2:$B$45&gt;=$B$13)*$B$10+(Projects!$B$2:$B$45&lt;$B$13)*$B$11))</f>
        <v>3.85</v>
      </c>
      <c r="S40" s="382" t="n">
        <f aca="false">SUMPRODUCT((Projects!$G$2:$G$45="Yes")*(15&gt;=Projects!$C$2:$C$45-$B$16)*((15&lt;=Projects!$W$2:$W$45-$B$106)*1+(15&gt;Projects!$W$2:$W$45-$B$106)*(15&lt;=Projects!$W$2:$W$45+$B$17)*$B$107)*((Projects!$B$2:$B$45&gt;=$B$12)*$B$9+(Projects!$B$2:$B$45&lt;$B$12)*(Projects!$B$2:$B$45&gt;=$B$13)*$B$10+(Projects!$B$2:$B$45&lt;$B$13)*$B$11))</f>
        <v>3.95</v>
      </c>
      <c r="T40" s="382" t="n">
        <f aca="false">SUMPRODUCT((Projects!$G$2:$G$45="Yes")*(16&gt;=Projects!$C$2:$C$45-$B$16)*((16&lt;=Projects!$W$2:$W$45-$B$106)*1+(16&gt;Projects!$W$2:$W$45-$B$106)*(16&lt;=Projects!$W$2:$W$45+$B$17)*$B$107)*((Projects!$B$2:$B$45&gt;=$B$12)*$B$9+(Projects!$B$2:$B$45&lt;$B$12)*(Projects!$B$2:$B$45&gt;=$B$13)*$B$10+(Projects!$B$2:$B$45&lt;$B$13)*$B$11))</f>
        <v>4.05</v>
      </c>
      <c r="U40" s="382" t="n">
        <f aca="false">SUMPRODUCT((Projects!$G$2:$G$45="Yes")*(17&gt;=Projects!$C$2:$C$45-$B$16)*((17&lt;=Projects!$W$2:$W$45-$B$106)*1+(17&gt;Projects!$W$2:$W$45-$B$106)*(17&lt;=Projects!$W$2:$W$45+$B$17)*$B$107)*((Projects!$B$2:$B$45&gt;=$B$12)*$B$9+(Projects!$B$2:$B$45&lt;$B$12)*(Projects!$B$2:$B$45&gt;=$B$13)*$B$10+(Projects!$B$2:$B$45&lt;$B$13)*$B$11))</f>
        <v>3.7</v>
      </c>
      <c r="V40" s="382" t="n">
        <f aca="false">SUMPRODUCT((Projects!$G$2:$G$45="Yes")*(18&gt;=Projects!$C$2:$C$45-$B$16)*((18&lt;=Projects!$W$2:$W$45-$B$106)*1+(18&gt;Projects!$W$2:$W$45-$B$106)*(18&lt;=Projects!$W$2:$W$45+$B$17)*$B$107)*((Projects!$B$2:$B$45&gt;=$B$12)*$B$9+(Projects!$B$2:$B$45&lt;$B$12)*(Projects!$B$2:$B$45&gt;=$B$13)*$B$10+(Projects!$B$2:$B$45&lt;$B$13)*$B$11))</f>
        <v>3.7</v>
      </c>
      <c r="W40" s="382" t="n">
        <f aca="false">SUMPRODUCT((Projects!$G$2:$G$45="Yes")*(19&gt;=Projects!$C$2:$C$45-$B$16)*((19&lt;=Projects!$W$2:$W$45-$B$106)*1+(19&gt;Projects!$W$2:$W$45-$B$106)*(19&lt;=Projects!$W$2:$W$45+$B$17)*$B$107)*((Projects!$B$2:$B$45&gt;=$B$12)*$B$9+(Projects!$B$2:$B$45&lt;$B$12)*(Projects!$B$2:$B$45&gt;=$B$13)*$B$10+(Projects!$B$2:$B$45&lt;$B$13)*$B$11))</f>
        <v>3.6</v>
      </c>
      <c r="X40" s="382" t="n">
        <f aca="false">SUMPRODUCT((Projects!$G$2:$G$45="Yes")*(20&gt;=Projects!$C$2:$C$45-$B$16)*((20&lt;=Projects!$W$2:$W$45-$B$106)*1+(20&gt;Projects!$W$2:$W$45-$B$106)*(20&lt;=Projects!$W$2:$W$45+$B$17)*$B$107)*((Projects!$B$2:$B$45&gt;=$B$12)*$B$9+(Projects!$B$2:$B$45&lt;$B$12)*(Projects!$B$2:$B$45&gt;=$B$13)*$B$10+(Projects!$B$2:$B$45&lt;$B$13)*$B$11))</f>
        <v>4</v>
      </c>
      <c r="Y40" s="382" t="n">
        <f aca="false">SUMPRODUCT((Projects!$G$2:$G$45="Yes")*(21&gt;=Projects!$C$2:$C$45-$B$16)*((21&lt;=Projects!$W$2:$W$45-$B$106)*1+(21&gt;Projects!$W$2:$W$45-$B$106)*(21&lt;=Projects!$W$2:$W$45+$B$17)*$B$107)*((Projects!$B$2:$B$45&gt;=$B$12)*$B$9+(Projects!$B$2:$B$45&lt;$B$12)*(Projects!$B$2:$B$45&gt;=$B$13)*$B$10+(Projects!$B$2:$B$45&lt;$B$13)*$B$11))</f>
        <v>3.8</v>
      </c>
      <c r="Z40" s="382" t="n">
        <f aca="false">SUMPRODUCT((Projects!$G$2:$G$45="Yes")*(22&gt;=Projects!$C$2:$C$45-$B$16)*((22&lt;=Projects!$W$2:$W$45-$B$106)*1+(22&gt;Projects!$W$2:$W$45-$B$106)*(22&lt;=Projects!$W$2:$W$45+$B$17)*$B$107)*((Projects!$B$2:$B$45&gt;=$B$12)*$B$9+(Projects!$B$2:$B$45&lt;$B$12)*(Projects!$B$2:$B$45&gt;=$B$13)*$B$10+(Projects!$B$2:$B$45&lt;$B$13)*$B$11))</f>
        <v>3.7</v>
      </c>
      <c r="AA40" s="382" t="n">
        <f aca="false">SUMPRODUCT((Projects!$G$2:$G$45="Yes")*(23&gt;=Projects!$C$2:$C$45-$B$16)*((23&lt;=Projects!$W$2:$W$45-$B$106)*1+(23&gt;Projects!$W$2:$W$45-$B$106)*(23&lt;=Projects!$W$2:$W$45+$B$17)*$B$107)*((Projects!$B$2:$B$45&gt;=$B$12)*$B$9+(Projects!$B$2:$B$45&lt;$B$12)*(Projects!$B$2:$B$45&gt;=$B$13)*$B$10+(Projects!$B$2:$B$45&lt;$B$13)*$B$11))</f>
        <v>3.7</v>
      </c>
      <c r="AB40" s="382" t="n">
        <f aca="false">SUMPRODUCT((Projects!$G$2:$G$45="Yes")*(24&gt;=Projects!$C$2:$C$45-$B$16)*((24&lt;=Projects!$W$2:$W$45-$B$106)*1+(24&gt;Projects!$W$2:$W$45-$B$106)*(24&lt;=Projects!$W$2:$W$45+$B$17)*$B$107)*((Projects!$B$2:$B$45&gt;=$B$12)*$B$9+(Projects!$B$2:$B$45&lt;$B$12)*(Projects!$B$2:$B$45&gt;=$B$13)*$B$10+(Projects!$B$2:$B$45&lt;$B$13)*$B$11))</f>
        <v>3.7</v>
      </c>
      <c r="AC40" s="382" t="n">
        <f aca="false">SUMPRODUCT((Projects!$G$2:$G$45="Yes")*(25&gt;=Projects!$C$2:$C$45-$B$16)*((25&lt;=Projects!$W$2:$W$45-$B$106)*1+(25&gt;Projects!$W$2:$W$45-$B$106)*(25&lt;=Projects!$W$2:$W$45+$B$17)*$B$107)*((Projects!$B$2:$B$45&gt;=$B$12)*$B$9+(Projects!$B$2:$B$45&lt;$B$12)*(Projects!$B$2:$B$45&gt;=$B$13)*$B$10+(Projects!$B$2:$B$45&lt;$B$13)*$B$11))</f>
        <v>3.6</v>
      </c>
      <c r="AD40" s="382" t="n">
        <f aca="false">SUMPRODUCT((Projects!$G$2:$G$45="Yes")*(26&gt;=Projects!$C$2:$C$45-$B$16)*((26&lt;=Projects!$W$2:$W$45-$B$106)*1+(26&gt;Projects!$W$2:$W$45-$B$106)*(26&lt;=Projects!$W$2:$W$45+$B$17)*$B$107)*((Projects!$B$2:$B$45&gt;=$B$12)*$B$9+(Projects!$B$2:$B$45&lt;$B$12)*(Projects!$B$2:$B$45&gt;=$B$13)*$B$10+(Projects!$B$2:$B$45&lt;$B$13)*$B$11))</f>
        <v>3.15</v>
      </c>
      <c r="AE40" s="382" t="n">
        <f aca="false">SUMPRODUCT((Projects!$G$2:$G$45="Yes")*(27&gt;=Projects!$C$2:$C$45-$B$16)*((27&lt;=Projects!$W$2:$W$45-$B$106)*1+(27&gt;Projects!$W$2:$W$45-$B$106)*(27&lt;=Projects!$W$2:$W$45+$B$17)*$B$107)*((Projects!$B$2:$B$45&gt;=$B$12)*$B$9+(Projects!$B$2:$B$45&lt;$B$12)*(Projects!$B$2:$B$45&gt;=$B$13)*$B$10+(Projects!$B$2:$B$45&lt;$B$13)*$B$11))</f>
        <v>3.4</v>
      </c>
      <c r="AF40" s="382" t="n">
        <f aca="false">SUMPRODUCT((Projects!$G$2:$G$45="Yes")*(28&gt;=Projects!$C$2:$C$45-$B$16)*((28&lt;=Projects!$W$2:$W$45-$B$106)*1+(28&gt;Projects!$W$2:$W$45-$B$106)*(28&lt;=Projects!$W$2:$W$45+$B$17)*$B$107)*((Projects!$B$2:$B$45&gt;=$B$12)*$B$9+(Projects!$B$2:$B$45&lt;$B$12)*(Projects!$B$2:$B$45&gt;=$B$13)*$B$10+(Projects!$B$2:$B$45&lt;$B$13)*$B$11))</f>
        <v>3.4</v>
      </c>
      <c r="AG40" s="382" t="n">
        <f aca="false">SUMPRODUCT((Projects!$G$2:$G$45="Yes")*(29&gt;=Projects!$C$2:$C$45-$B$16)*((29&lt;=Projects!$W$2:$W$45-$B$106)*1+(29&gt;Projects!$W$2:$W$45-$B$106)*(29&lt;=Projects!$W$2:$W$45+$B$17)*$B$107)*((Projects!$B$2:$B$45&gt;=$B$12)*$B$9+(Projects!$B$2:$B$45&lt;$B$12)*(Projects!$B$2:$B$45&gt;=$B$13)*$B$10+(Projects!$B$2:$B$45&lt;$B$13)*$B$11))</f>
        <v>3.4</v>
      </c>
      <c r="AH40" s="382" t="n">
        <f aca="false">SUMPRODUCT((Projects!$G$2:$G$45="Yes")*(30&gt;=Projects!$C$2:$C$45-$B$16)*((30&lt;=Projects!$W$2:$W$45-$B$106)*1+(30&gt;Projects!$W$2:$W$45-$B$106)*(30&lt;=Projects!$W$2:$W$45+$B$17)*$B$107)*((Projects!$B$2:$B$45&gt;=$B$12)*$B$9+(Projects!$B$2:$B$45&lt;$B$12)*(Projects!$B$2:$B$45&gt;=$B$13)*$B$10+(Projects!$B$2:$B$45&lt;$B$13)*$B$11))</f>
        <v>2.85</v>
      </c>
      <c r="AI40" s="382" t="n">
        <f aca="false">SUMPRODUCT((Projects!$G$2:$G$45="Yes")*(31&gt;=Projects!$C$2:$C$45-$B$16)*((31&lt;=Projects!$W$2:$W$45-$B$106)*1+(31&gt;Projects!$W$2:$W$45-$B$106)*(31&lt;=Projects!$W$2:$W$45+$B$17)*$B$107)*((Projects!$B$2:$B$45&gt;=$B$12)*$B$9+(Projects!$B$2:$B$45&lt;$B$12)*(Projects!$B$2:$B$45&gt;=$B$13)*$B$10+(Projects!$B$2:$B$45&lt;$B$13)*$B$11))</f>
        <v>2.5</v>
      </c>
      <c r="AJ40" s="382" t="n">
        <f aca="false">SUMPRODUCT((Projects!$G$2:$G$45="Yes")*(32&gt;=Projects!$C$2:$C$45-$B$16)*((32&lt;=Projects!$W$2:$W$45-$B$106)*1+(32&gt;Projects!$W$2:$W$45-$B$106)*(32&lt;=Projects!$W$2:$W$45+$B$17)*$B$107)*((Projects!$B$2:$B$45&gt;=$B$12)*$B$9+(Projects!$B$2:$B$45&lt;$B$12)*(Projects!$B$2:$B$45&gt;=$B$13)*$B$10+(Projects!$B$2:$B$45&lt;$B$13)*$B$11))</f>
        <v>2.4</v>
      </c>
      <c r="AK40" s="382" t="n">
        <f aca="false">SUMPRODUCT((Projects!$G$2:$G$45="Yes")*(33&gt;=Projects!$C$2:$C$45-$B$16)*((33&lt;=Projects!$W$2:$W$45-$B$106)*1+(33&gt;Projects!$W$2:$W$45-$B$106)*(33&lt;=Projects!$W$2:$W$45+$B$17)*$B$107)*((Projects!$B$2:$B$45&gt;=$B$12)*$B$9+(Projects!$B$2:$B$45&lt;$B$12)*(Projects!$B$2:$B$45&gt;=$B$13)*$B$10+(Projects!$B$2:$B$45&lt;$B$13)*$B$11))</f>
        <v>2.4</v>
      </c>
      <c r="AL40" s="382" t="n">
        <f aca="false">SUMPRODUCT((Projects!$G$2:$G$45="Yes")*(34&gt;=Projects!$C$2:$C$45-$B$16)*((34&lt;=Projects!$W$2:$W$45-$B$106)*1+(34&gt;Projects!$W$2:$W$45-$B$106)*(34&lt;=Projects!$W$2:$W$45+$B$17)*$B$107)*((Projects!$B$2:$B$45&gt;=$B$12)*$B$9+(Projects!$B$2:$B$45&lt;$B$12)*(Projects!$B$2:$B$45&gt;=$B$13)*$B$10+(Projects!$B$2:$B$45&lt;$B$13)*$B$11))</f>
        <v>1.95</v>
      </c>
      <c r="AM40" s="382" t="n">
        <f aca="false">SUMPRODUCT((Projects!$G$2:$G$45="Yes")*(35&gt;=Projects!$C$2:$C$45-$B$16)*((35&lt;=Projects!$W$2:$W$45-$B$106)*1+(35&gt;Projects!$W$2:$W$45-$B$106)*(35&lt;=Projects!$W$2:$W$45+$B$17)*$B$107)*((Projects!$B$2:$B$45&gt;=$B$12)*$B$9+(Projects!$B$2:$B$45&lt;$B$12)*(Projects!$B$2:$B$45&gt;=$B$13)*$B$10+(Projects!$B$2:$B$45&lt;$B$13)*$B$11))</f>
        <v>1.85</v>
      </c>
      <c r="AN40" s="382" t="n">
        <f aca="false">SUMPRODUCT((Projects!$G$2:$G$45="Yes")*(36&gt;=Projects!$C$2:$C$45-$B$16)*((36&lt;=Projects!$W$2:$W$45-$B$106)*1+(36&gt;Projects!$W$2:$W$45-$B$106)*(36&lt;=Projects!$W$2:$W$45+$B$17)*$B$107)*((Projects!$B$2:$B$45&gt;=$B$12)*$B$9+(Projects!$B$2:$B$45&lt;$B$12)*(Projects!$B$2:$B$45&gt;=$B$13)*$B$10+(Projects!$B$2:$B$45&lt;$B$13)*$B$11))</f>
        <v>1.75</v>
      </c>
      <c r="AO40" s="382" t="n">
        <f aca="false">SUMPRODUCT((Projects!$G$2:$G$45="Yes")*(37&gt;=Projects!$C$2:$C$45-$B$16)*((37&lt;=Projects!$W$2:$W$45-$B$106)*1+(37&gt;Projects!$W$2:$W$45-$B$106)*(37&lt;=Projects!$W$2:$W$45+$B$17)*$B$107)*((Projects!$B$2:$B$45&gt;=$B$12)*$B$9+(Projects!$B$2:$B$45&lt;$B$12)*(Projects!$B$2:$B$45&gt;=$B$13)*$B$10+(Projects!$B$2:$B$45&lt;$B$13)*$B$11))</f>
        <v>1.75</v>
      </c>
      <c r="AP40" s="382" t="n">
        <f aca="false">SUMPRODUCT((Projects!$G$2:$G$45="Yes")*(38&gt;=Projects!$C$2:$C$45-$B$16)*((38&lt;=Projects!$W$2:$W$45-$B$106)*1+(38&gt;Projects!$W$2:$W$45-$B$106)*(38&lt;=Projects!$W$2:$W$45+$B$17)*$B$107)*((Projects!$B$2:$B$45&gt;=$B$12)*$B$9+(Projects!$B$2:$B$45&lt;$B$12)*(Projects!$B$2:$B$45&gt;=$B$13)*$B$10+(Projects!$B$2:$B$45&lt;$B$13)*$B$11))</f>
        <v>1.5</v>
      </c>
      <c r="AQ40" s="382" t="n">
        <f aca="false">SUMPRODUCT((Projects!$G$2:$G$45="Yes")*(39&gt;=Projects!$C$2:$C$45-$B$16)*((39&lt;=Projects!$W$2:$W$45-$B$106)*1+(39&gt;Projects!$W$2:$W$45-$B$106)*(39&lt;=Projects!$W$2:$W$45+$B$17)*$B$107)*((Projects!$B$2:$B$45&gt;=$B$12)*$B$9+(Projects!$B$2:$B$45&lt;$B$12)*(Projects!$B$2:$B$45&gt;=$B$13)*$B$10+(Projects!$B$2:$B$45&lt;$B$13)*$B$11))</f>
        <v>1.5</v>
      </c>
      <c r="AR40" s="382" t="n">
        <f aca="false">SUMPRODUCT((Projects!$G$2:$G$45="Yes")*(40&gt;=Projects!$C$2:$C$45-$B$16)*((40&lt;=Projects!$W$2:$W$45-$B$106)*1+(40&gt;Projects!$W$2:$W$45-$B$106)*(40&lt;=Projects!$W$2:$W$45+$B$17)*$B$107)*((Projects!$B$2:$B$45&gt;=$B$12)*$B$9+(Projects!$B$2:$B$45&lt;$B$12)*(Projects!$B$2:$B$45&gt;=$B$13)*$B$10+(Projects!$B$2:$B$45&lt;$B$13)*$B$11))</f>
        <v>1.25</v>
      </c>
      <c r="AS40" s="382" t="n">
        <f aca="false">SUMPRODUCT((Projects!$G$2:$G$45="Yes")*(41&gt;=Projects!$C$2:$C$45-$B$16)*((41&lt;=Projects!$W$2:$W$45-$B$106)*1+(41&gt;Projects!$W$2:$W$45-$B$106)*(41&lt;=Projects!$W$2:$W$45+$B$17)*$B$107)*((Projects!$B$2:$B$45&gt;=$B$12)*$B$9+(Projects!$B$2:$B$45&lt;$B$12)*(Projects!$B$2:$B$45&gt;=$B$13)*$B$10+(Projects!$B$2:$B$45&lt;$B$13)*$B$11))</f>
        <v>1</v>
      </c>
      <c r="AT40" s="382" t="n">
        <f aca="false">SUMPRODUCT((Projects!$G$2:$G$45="Yes")*(42&gt;=Projects!$C$2:$C$45-$B$16)*((42&lt;=Projects!$W$2:$W$45-$B$106)*1+(42&gt;Projects!$W$2:$W$45-$B$106)*(42&lt;=Projects!$W$2:$W$45+$B$17)*$B$107)*((Projects!$B$2:$B$45&gt;=$B$12)*$B$9+(Projects!$B$2:$B$45&lt;$B$12)*(Projects!$B$2:$B$45&gt;=$B$13)*$B$10+(Projects!$B$2:$B$45&lt;$B$13)*$B$11))</f>
        <v>1</v>
      </c>
      <c r="AU40" s="382" t="n">
        <f aca="false">SUMPRODUCT((Projects!$G$2:$G$45="Yes")*(43&gt;=Projects!$C$2:$C$45-$B$16)*((43&lt;=Projects!$W$2:$W$45-$B$106)*1+(43&gt;Projects!$W$2:$W$45-$B$106)*(43&lt;=Projects!$W$2:$W$45+$B$17)*$B$107)*((Projects!$B$2:$B$45&gt;=$B$12)*$B$9+(Projects!$B$2:$B$45&lt;$B$12)*(Projects!$B$2:$B$45&gt;=$B$13)*$B$10+(Projects!$B$2:$B$45&lt;$B$13)*$B$11))</f>
        <v>1</v>
      </c>
      <c r="AV40" s="382" t="n">
        <f aca="false">SUMPRODUCT((Projects!$G$2:$G$45="Yes")*(44&gt;=Projects!$C$2:$C$45-$B$16)*((44&lt;=Projects!$W$2:$W$45-$B$106)*1+(44&gt;Projects!$W$2:$W$45-$B$106)*(44&lt;=Projects!$W$2:$W$45+$B$17)*$B$107)*((Projects!$B$2:$B$45&gt;=$B$12)*$B$9+(Projects!$B$2:$B$45&lt;$B$12)*(Projects!$B$2:$B$45&gt;=$B$13)*$B$10+(Projects!$B$2:$B$45&lt;$B$13)*$B$11))</f>
        <v>0.75</v>
      </c>
      <c r="AW40" s="382" t="n">
        <f aca="false">SUMPRODUCT((Projects!$G$2:$G$45="Yes")*(45&gt;=Projects!$C$2:$C$45-$B$16)*((45&lt;=Projects!$W$2:$W$45-$B$106)*1+(45&gt;Projects!$W$2:$W$45-$B$106)*(45&lt;=Projects!$W$2:$W$45+$B$17)*$B$107)*((Projects!$B$2:$B$45&gt;=$B$12)*$B$9+(Projects!$B$2:$B$45&lt;$B$12)*(Projects!$B$2:$B$45&gt;=$B$13)*$B$10+(Projects!$B$2:$B$45&lt;$B$13)*$B$11))</f>
        <v>0.5</v>
      </c>
      <c r="AX40" s="382" t="n">
        <f aca="false">SUMPRODUCT((Projects!$G$2:$G$45="Yes")*(46&gt;=Projects!$C$2:$C$45-$B$16)*((46&lt;=Projects!$W$2:$W$45-$B$106)*1+(46&gt;Projects!$W$2:$W$45-$B$106)*(46&lt;=Projects!$W$2:$W$45+$B$17)*$B$107)*((Projects!$B$2:$B$45&gt;=$B$12)*$B$9+(Projects!$B$2:$B$45&lt;$B$12)*(Projects!$B$2:$B$45&gt;=$B$13)*$B$10+(Projects!$B$2:$B$45&lt;$B$13)*$B$11))</f>
        <v>0.5</v>
      </c>
      <c r="AY40" s="382" t="n">
        <f aca="false">SUMPRODUCT((Projects!$G$2:$G$45="Yes")*(47&gt;=Projects!$C$2:$C$45-$B$16)*((47&lt;=Projects!$W$2:$W$45-$B$106)*1+(47&gt;Projects!$W$2:$W$45-$B$106)*(47&lt;=Projects!$W$2:$W$45+$B$17)*$B$107)*((Projects!$B$2:$B$45&gt;=$B$12)*$B$9+(Projects!$B$2:$B$45&lt;$B$12)*(Projects!$B$2:$B$45&gt;=$B$13)*$B$10+(Projects!$B$2:$B$45&lt;$B$13)*$B$11))</f>
        <v>0.5</v>
      </c>
      <c r="AZ40" s="382" t="n">
        <f aca="false">SUMPRODUCT((Projects!$G$2:$G$45="Yes")*(48&gt;=Projects!$C$2:$C$45-$B$16)*((48&lt;=Projects!$W$2:$W$45-$B$106)*1+(48&gt;Projects!$W$2:$W$45-$B$106)*(48&lt;=Projects!$W$2:$W$45+$B$17)*$B$107)*((Projects!$B$2:$B$45&gt;=$B$12)*$B$9+(Projects!$B$2:$B$45&lt;$B$12)*(Projects!$B$2:$B$45&gt;=$B$13)*$B$10+(Projects!$B$2:$B$45&lt;$B$13)*$B$11))</f>
        <v>0.5</v>
      </c>
      <c r="BA40" s="382" t="n">
        <f aca="false">SUMPRODUCT((Projects!$G$2:$G$45="Yes")*(49&gt;=Projects!$C$2:$C$45-$B$16)*((49&lt;=Projects!$W$2:$W$45-$B$106)*1+(49&gt;Projects!$W$2:$W$45-$B$106)*(49&lt;=Projects!$W$2:$W$45+$B$17)*$B$107)*((Projects!$B$2:$B$45&gt;=$B$12)*$B$9+(Projects!$B$2:$B$45&lt;$B$12)*(Projects!$B$2:$B$45&gt;=$B$13)*$B$10+(Projects!$B$2:$B$45&lt;$B$13)*$B$11))</f>
        <v>0.5</v>
      </c>
      <c r="BB40" s="382" t="n">
        <f aca="false">SUMPRODUCT((Projects!$G$2:$G$45="Yes")*(50&gt;=Projects!$C$2:$C$45-$B$16)*((50&lt;=Projects!$W$2:$W$45-$B$106)*1+(50&gt;Projects!$W$2:$W$45-$B$106)*(50&lt;=Projects!$W$2:$W$45+$B$17)*$B$107)*((Projects!$B$2:$B$45&gt;=$B$12)*$B$9+(Projects!$B$2:$B$45&lt;$B$12)*(Projects!$B$2:$B$45&gt;=$B$13)*$B$10+(Projects!$B$2:$B$45&lt;$B$13)*$B$11))</f>
        <v>0.5</v>
      </c>
      <c r="BC40" s="382" t="n">
        <f aca="false">SUMPRODUCT((Projects!$G$2:$G$45="Yes")*(51&gt;=Projects!$C$2:$C$45-$B$16)*((51&lt;=Projects!$W$2:$W$45-$B$106)*1+(51&gt;Projects!$W$2:$W$45-$B$106)*(51&lt;=Projects!$W$2:$W$45+$B$17)*$B$107)*((Projects!$B$2:$B$45&gt;=$B$12)*$B$9+(Projects!$B$2:$B$45&lt;$B$12)*(Projects!$B$2:$B$45&gt;=$B$13)*$B$10+(Projects!$B$2:$B$45&lt;$B$13)*$B$11))</f>
        <v>0.5</v>
      </c>
      <c r="BD40" s="382" t="n">
        <f aca="false">SUMPRODUCT((Projects!$G$2:$G$45="Yes")*(52&gt;=Projects!$C$2:$C$45-$B$16)*((52&lt;=Projects!$W$2:$W$45-$B$106)*1+(52&gt;Projects!$W$2:$W$45-$B$106)*(52&lt;=Projects!$W$2:$W$45+$B$17)*$B$107)*((Projects!$B$2:$B$45&gt;=$B$12)*$B$9+(Projects!$B$2:$B$45&lt;$B$12)*(Projects!$B$2:$B$45&gt;=$B$13)*$B$10+(Projects!$B$2:$B$45&lt;$B$13)*$B$11))</f>
        <v>0.5</v>
      </c>
      <c r="BE40" s="382" t="n">
        <f aca="false">SUMPRODUCT((Projects!$G$2:$G$45="Yes")*(53&gt;=Projects!$C$2:$C$45-$B$16)*((53&lt;=Projects!$W$2:$W$45-$B$106)*1+(53&gt;Projects!$W$2:$W$45-$B$106)*(53&lt;=Projects!$W$2:$W$45+$B$17)*$B$107)*((Projects!$B$2:$B$45&gt;=$B$12)*$B$9+(Projects!$B$2:$B$45&lt;$B$12)*(Projects!$B$2:$B$45&gt;=$B$13)*$B$10+(Projects!$B$2:$B$45&lt;$B$13)*$B$11))</f>
        <v>0.5</v>
      </c>
      <c r="BF40" s="382" t="n">
        <f aca="false">SUMPRODUCT((Projects!$G$2:$G$45="Yes")*(54&gt;=Projects!$C$2:$C$45-$B$16)*((54&lt;=Projects!$W$2:$W$45-$B$106)*1+(54&gt;Projects!$W$2:$W$45-$B$106)*(54&lt;=Projects!$W$2:$W$45+$B$17)*$B$107)*((Projects!$B$2:$B$45&gt;=$B$12)*$B$9+(Projects!$B$2:$B$45&lt;$B$12)*(Projects!$B$2:$B$45&gt;=$B$13)*$B$10+(Projects!$B$2:$B$45&lt;$B$13)*$B$11))</f>
        <v>0.25</v>
      </c>
      <c r="BG40" s="382" t="n">
        <f aca="false">SUMPRODUCT((Projects!$G$2:$G$45="Yes")*(55&gt;=Projects!$C$2:$C$45-$B$16)*((55&lt;=Projects!$W$2:$W$45-$B$106)*1+(55&gt;Projects!$W$2:$W$45-$B$106)*(55&lt;=Projects!$W$2:$W$45+$B$17)*$B$107)*((Projects!$B$2:$B$45&gt;=$B$12)*$B$9+(Projects!$B$2:$B$45&lt;$B$12)*(Projects!$B$2:$B$45&gt;=$B$13)*$B$10+(Projects!$B$2:$B$45&lt;$B$13)*$B$11))</f>
        <v>0.25</v>
      </c>
      <c r="BH40" s="382" t="n">
        <f aca="false">SUMPRODUCT((Projects!$G$2:$G$45="Yes")*(56&gt;=Projects!$C$2:$C$45-$B$16)*((56&lt;=Projects!$W$2:$W$45-$B$106)*1+(56&gt;Projects!$W$2:$W$45-$B$106)*(56&lt;=Projects!$W$2:$W$45+$B$17)*$B$107)*((Projects!$B$2:$B$45&gt;=$B$12)*$B$9+(Projects!$B$2:$B$45&lt;$B$12)*(Projects!$B$2:$B$45&gt;=$B$13)*$B$10+(Projects!$B$2:$B$45&lt;$B$13)*$B$11))</f>
        <v>0.25</v>
      </c>
      <c r="BI40" s="382" t="n">
        <f aca="false">SUMPRODUCT((Projects!$G$2:$G$45="Yes")*(57&gt;=Projects!$C$2:$C$45-$B$16)*((57&lt;=Projects!$W$2:$W$45-$B$106)*1+(57&gt;Projects!$W$2:$W$45-$B$106)*(57&lt;=Projects!$W$2:$W$45+$B$17)*$B$107)*((Projects!$B$2:$B$45&gt;=$B$12)*$B$9+(Projects!$B$2:$B$45&lt;$B$12)*(Projects!$B$2:$B$45&gt;=$B$13)*$B$10+(Projects!$B$2:$B$45&lt;$B$13)*$B$11))</f>
        <v>0.25</v>
      </c>
      <c r="BJ40" s="382" t="n">
        <f aca="false">SUMPRODUCT((Projects!$G$2:$G$45="Yes")*(58&gt;=Projects!$C$2:$C$45-$B$16)*((58&lt;=Projects!$W$2:$W$45-$B$106)*1+(58&gt;Projects!$W$2:$W$45-$B$106)*(58&lt;=Projects!$W$2:$W$45+$B$17)*$B$107)*((Projects!$B$2:$B$45&gt;=$B$12)*$B$9+(Projects!$B$2:$B$45&lt;$B$12)*(Projects!$B$2:$B$45&gt;=$B$13)*$B$10+(Projects!$B$2:$B$45&lt;$B$13)*$B$11))</f>
        <v>0</v>
      </c>
      <c r="BK40" s="382" t="n">
        <f aca="false">SUMPRODUCT((Projects!$G$2:$G$45="Yes")*(59&gt;=Projects!$C$2:$C$45-$B$16)*((59&lt;=Projects!$W$2:$W$45-$B$106)*1+(59&gt;Projects!$W$2:$W$45-$B$106)*(59&lt;=Projects!$W$2:$W$45+$B$17)*$B$107)*((Projects!$B$2:$B$45&gt;=$B$12)*$B$9+(Projects!$B$2:$B$45&lt;$B$12)*(Projects!$B$2:$B$45&gt;=$B$13)*$B$10+(Projects!$B$2:$B$45&lt;$B$13)*$B$11))</f>
        <v>0</v>
      </c>
      <c r="BL40" s="382" t="n">
        <f aca="false">SUMPRODUCT((Projects!$G$2:$G$45="Yes")*(60&gt;=Projects!$C$2:$C$45-$B$16)*((60&lt;=Projects!$W$2:$W$45-$B$106)*1+(60&gt;Projects!$W$2:$W$45-$B$106)*(60&lt;=Projects!$W$2:$W$45+$B$17)*$B$107)*((Projects!$B$2:$B$45&gt;=$B$12)*$B$9+(Projects!$B$2:$B$45&lt;$B$12)*(Projects!$B$2:$B$45&gt;=$B$13)*$B$10+(Projects!$B$2:$B$45&lt;$B$13)*$B$11))</f>
        <v>0</v>
      </c>
      <c r="BM40" s="382" t="n">
        <f aca="false">SUMPRODUCT((Projects!$G$2:$G$45="Yes")*(61&gt;=Projects!$C$2:$C$45-$B$16)*((61&lt;=Projects!$W$2:$W$45-$B$106)*1+(61&gt;Projects!$W$2:$W$45-$B$106)*(61&lt;=Projects!$W$2:$W$45+$B$17)*$B$107)*((Projects!$B$2:$B$45&gt;=$B$12)*$B$9+(Projects!$B$2:$B$45&lt;$B$12)*(Projects!$B$2:$B$45&gt;=$B$13)*$B$10+(Projects!$B$2:$B$45&lt;$B$13)*$B$11))</f>
        <v>0</v>
      </c>
      <c r="BN40" s="382" t="n">
        <f aca="false">SUMPRODUCT((Projects!$G$2:$G$45="Yes")*(62&gt;=Projects!$C$2:$C$45-$B$16)*((62&lt;=Projects!$W$2:$W$45-$B$106)*1+(62&gt;Projects!$W$2:$W$45-$B$106)*(62&lt;=Projects!$W$2:$W$45+$B$17)*$B$107)*((Projects!$B$2:$B$45&gt;=$B$12)*$B$9+(Projects!$B$2:$B$45&lt;$B$12)*(Projects!$B$2:$B$45&gt;=$B$13)*$B$10+(Projects!$B$2:$B$45&lt;$B$13)*$B$11))</f>
        <v>0</v>
      </c>
      <c r="BO40" s="382" t="n">
        <f aca="false">SUMPRODUCT((Projects!$G$2:$G$45="Yes")*(63&gt;=Projects!$C$2:$C$45-$B$16)*((63&lt;=Projects!$W$2:$W$45-$B$106)*1+(63&gt;Projects!$W$2:$W$45-$B$106)*(63&lt;=Projects!$W$2:$W$45+$B$17)*$B$107)*((Projects!$B$2:$B$45&gt;=$B$12)*$B$9+(Projects!$B$2:$B$45&lt;$B$12)*(Projects!$B$2:$B$45&gt;=$B$13)*$B$10+(Projects!$B$2:$B$45&lt;$B$13)*$B$11))</f>
        <v>0</v>
      </c>
      <c r="BP40" s="382" t="n">
        <f aca="false">SUMPRODUCT((Projects!$G$2:$G$45="Yes")*(64&gt;=Projects!$C$2:$C$45-$B$16)*((64&lt;=Projects!$W$2:$W$45-$B$106)*1+(64&gt;Projects!$W$2:$W$45-$B$106)*(64&lt;=Projects!$W$2:$W$45+$B$17)*$B$107)*((Projects!$B$2:$B$45&gt;=$B$12)*$B$9+(Projects!$B$2:$B$45&lt;$B$12)*(Projects!$B$2:$B$45&gt;=$B$13)*$B$10+(Projects!$B$2:$B$45&lt;$B$13)*$B$11))</f>
        <v>0</v>
      </c>
      <c r="BQ40" s="382" t="n">
        <f aca="false">SUMPRODUCT((Projects!$G$2:$G$45="Yes")*(65&gt;=Projects!$C$2:$C$45-$B$16)*((65&lt;=Projects!$W$2:$W$45-$B$106)*1+(65&gt;Projects!$W$2:$W$45-$B$106)*(65&lt;=Projects!$W$2:$W$45+$B$17)*$B$107)*((Projects!$B$2:$B$45&gt;=$B$12)*$B$9+(Projects!$B$2:$B$45&lt;$B$12)*(Projects!$B$2:$B$45&gt;=$B$13)*$B$10+(Projects!$B$2:$B$45&lt;$B$13)*$B$11))</f>
        <v>0</v>
      </c>
      <c r="BR40" s="382" t="n">
        <f aca="false">SUMPRODUCT((Projects!$G$2:$G$45="Yes")*(66&gt;=Projects!$C$2:$C$45-$B$16)*((66&lt;=Projects!$W$2:$W$45-$B$106)*1+(66&gt;Projects!$W$2:$W$45-$B$106)*(66&lt;=Projects!$W$2:$W$45+$B$17)*$B$107)*((Projects!$B$2:$B$45&gt;=$B$12)*$B$9+(Projects!$B$2:$B$45&lt;$B$12)*(Projects!$B$2:$B$45&gt;=$B$13)*$B$10+(Projects!$B$2:$B$45&lt;$B$13)*$B$11))</f>
        <v>0</v>
      </c>
      <c r="BS40" s="382" t="n">
        <f aca="false">SUMPRODUCT((Projects!$G$2:$G$45="Yes")*(67&gt;=Projects!$C$2:$C$45-$B$16)*((67&lt;=Projects!$W$2:$W$45-$B$106)*1+(67&gt;Projects!$W$2:$W$45-$B$106)*(67&lt;=Projects!$W$2:$W$45+$B$17)*$B$107)*((Projects!$B$2:$B$45&gt;=$B$12)*$B$9+(Projects!$B$2:$B$45&lt;$B$12)*(Projects!$B$2:$B$45&gt;=$B$13)*$B$10+(Projects!$B$2:$B$45&lt;$B$13)*$B$11))</f>
        <v>0</v>
      </c>
      <c r="BT40" s="382" t="n">
        <f aca="false">SUMPRODUCT((Projects!$G$2:$G$45="Yes")*(68&gt;=Projects!$C$2:$C$45-$B$16)*((68&lt;=Projects!$W$2:$W$45-$B$106)*1+(68&gt;Projects!$W$2:$W$45-$B$106)*(68&lt;=Projects!$W$2:$W$45+$B$17)*$B$107)*((Projects!$B$2:$B$45&gt;=$B$12)*$B$9+(Projects!$B$2:$B$45&lt;$B$12)*(Projects!$B$2:$B$45&gt;=$B$13)*$B$10+(Projects!$B$2:$B$45&lt;$B$13)*$B$11))</f>
        <v>0</v>
      </c>
      <c r="BU40" s="382" t="n">
        <f aca="false">SUMPRODUCT((Projects!$G$2:$G$45="Yes")*(69&gt;=Projects!$C$2:$C$45-$B$16)*((69&lt;=Projects!$W$2:$W$45-$B$106)*1+(69&gt;Projects!$W$2:$W$45-$B$106)*(69&lt;=Projects!$W$2:$W$45+$B$17)*$B$107)*((Projects!$B$2:$B$45&gt;=$B$12)*$B$9+(Projects!$B$2:$B$45&lt;$B$12)*(Projects!$B$2:$B$45&gt;=$B$13)*$B$10+(Projects!$B$2:$B$45&lt;$B$13)*$B$11))</f>
        <v>0</v>
      </c>
      <c r="BV40" s="382" t="n">
        <f aca="false">SUMPRODUCT((Projects!$G$2:$G$45="Yes")*(70&gt;=Projects!$C$2:$C$45-$B$16)*((70&lt;=Projects!$W$2:$W$45-$B$106)*1+(70&gt;Projects!$W$2:$W$45-$B$106)*(70&lt;=Projects!$W$2:$W$45+$B$17)*$B$107)*((Projects!$B$2:$B$45&gt;=$B$12)*$B$9+(Projects!$B$2:$B$45&lt;$B$12)*(Projects!$B$2:$B$45&gt;=$B$13)*$B$10+(Projects!$B$2:$B$45&lt;$B$13)*$B$11))</f>
        <v>0</v>
      </c>
      <c r="BW40" s="382" t="n">
        <f aca="false">SUMPRODUCT((Projects!$G$2:$G$45="Yes")*(71&gt;=Projects!$C$2:$C$45-$B$16)*((71&lt;=Projects!$W$2:$W$45-$B$106)*1+(71&gt;Projects!$W$2:$W$45-$B$106)*(71&lt;=Projects!$W$2:$W$45+$B$17)*$B$107)*((Projects!$B$2:$B$45&gt;=$B$12)*$B$9+(Projects!$B$2:$B$45&lt;$B$12)*(Projects!$B$2:$B$45&gt;=$B$13)*$B$10+(Projects!$B$2:$B$45&lt;$B$13)*$B$11))</f>
        <v>0</v>
      </c>
      <c r="BX40" s="382" t="n">
        <f aca="false">SUMPRODUCT((Projects!$G$2:$G$45="Yes")*(72&gt;=Projects!$C$2:$C$45-$B$16)*((72&lt;=Projects!$W$2:$W$45-$B$106)*1+(72&gt;Projects!$W$2:$W$45-$B$106)*(72&lt;=Projects!$W$2:$W$45+$B$17)*$B$107)*((Projects!$B$2:$B$45&gt;=$B$12)*$B$9+(Projects!$B$2:$B$45&lt;$B$12)*(Projects!$B$2:$B$45&gt;=$B$13)*$B$10+(Projects!$B$2:$B$45&lt;$B$13)*$B$11))</f>
        <v>0</v>
      </c>
      <c r="BY40" s="382" t="n">
        <f aca="false">SUMPRODUCT((Projects!$G$2:$G$45="Yes")*(73&gt;=Projects!$C$2:$C$45-$B$16)*((73&lt;=Projects!$W$2:$W$45-$B$106)*1+(73&gt;Projects!$W$2:$W$45-$B$106)*(73&lt;=Projects!$W$2:$W$45+$B$17)*$B$107)*((Projects!$B$2:$B$45&gt;=$B$12)*$B$9+(Projects!$B$2:$B$45&lt;$B$12)*(Projects!$B$2:$B$45&gt;=$B$13)*$B$10+(Projects!$B$2:$B$45&lt;$B$13)*$B$11))</f>
        <v>0</v>
      </c>
      <c r="BZ40" s="382" t="n">
        <f aca="false">SUMPRODUCT((Projects!$G$2:$G$45="Yes")*(74&gt;=Projects!$C$2:$C$45-$B$16)*((74&lt;=Projects!$W$2:$W$45-$B$106)*1+(74&gt;Projects!$W$2:$W$45-$B$106)*(74&lt;=Projects!$W$2:$W$45+$B$17)*$B$107)*((Projects!$B$2:$B$45&gt;=$B$12)*$B$9+(Projects!$B$2:$B$45&lt;$B$12)*(Projects!$B$2:$B$45&gt;=$B$13)*$B$10+(Projects!$B$2:$B$45&lt;$B$13)*$B$11))</f>
        <v>0</v>
      </c>
      <c r="CA40" s="382" t="n">
        <f aca="false">SUMPRODUCT((Projects!$G$2:$G$45="Yes")*(75&gt;=Projects!$C$2:$C$45-$B$16)*((75&lt;=Projects!$W$2:$W$45-$B$106)*1+(75&gt;Projects!$W$2:$W$45-$B$106)*(75&lt;=Projects!$W$2:$W$45+$B$17)*$B$107)*((Projects!$B$2:$B$45&gt;=$B$12)*$B$9+(Projects!$B$2:$B$45&lt;$B$12)*(Projects!$B$2:$B$45&gt;=$B$13)*$B$10+(Projects!$B$2:$B$45&lt;$B$13)*$B$11))</f>
        <v>0</v>
      </c>
      <c r="CB40" s="382" t="n">
        <f aca="false">SUMPRODUCT((Projects!$G$2:$G$45="Yes")*(76&gt;=Projects!$C$2:$C$45-$B$16)*((76&lt;=Projects!$W$2:$W$45-$B$106)*1+(76&gt;Projects!$W$2:$W$45-$B$106)*(76&lt;=Projects!$W$2:$W$45+$B$17)*$B$107)*((Projects!$B$2:$B$45&gt;=$B$12)*$B$9+(Projects!$B$2:$B$45&lt;$B$12)*(Projects!$B$2:$B$45&gt;=$B$13)*$B$10+(Projects!$B$2:$B$45&lt;$B$13)*$B$11))</f>
        <v>0</v>
      </c>
      <c r="CC40" s="382" t="n">
        <f aca="false">SUMPRODUCT((Projects!$G$2:$G$45="Yes")*(77&gt;=Projects!$C$2:$C$45-$B$16)*((77&lt;=Projects!$W$2:$W$45-$B$106)*1+(77&gt;Projects!$W$2:$W$45-$B$106)*(77&lt;=Projects!$W$2:$W$45+$B$17)*$B$107)*((Projects!$B$2:$B$45&gt;=$B$12)*$B$9+(Projects!$B$2:$B$45&lt;$B$12)*(Projects!$B$2:$B$45&gt;=$B$13)*$B$10+(Projects!$B$2:$B$45&lt;$B$13)*$B$11))</f>
        <v>0</v>
      </c>
      <c r="CD40" s="382" t="n">
        <f aca="false">SUMPRODUCT((Projects!$G$2:$G$45="Yes")*(78&gt;=Projects!$C$2:$C$45-$B$16)*((78&lt;=Projects!$W$2:$W$45-$B$106)*1+(78&gt;Projects!$W$2:$W$45-$B$106)*(78&lt;=Projects!$W$2:$W$45+$B$17)*$B$107)*((Projects!$B$2:$B$45&gt;=$B$12)*$B$9+(Projects!$B$2:$B$45&lt;$B$12)*(Projects!$B$2:$B$45&gt;=$B$13)*$B$10+(Projects!$B$2:$B$45&lt;$B$13)*$B$11))</f>
        <v>0</v>
      </c>
      <c r="CE40" s="382" t="n">
        <f aca="false">SUMPRODUCT((Projects!$G$2:$G$45="Yes")*(79&gt;=Projects!$C$2:$C$45-$B$16)*((79&lt;=Projects!$W$2:$W$45-$B$106)*1+(79&gt;Projects!$W$2:$W$45-$B$106)*(79&lt;=Projects!$W$2:$W$45+$B$17)*$B$107)*((Projects!$B$2:$B$45&gt;=$B$12)*$B$9+(Projects!$B$2:$B$45&lt;$B$12)*(Projects!$B$2:$B$45&gt;=$B$13)*$B$10+(Projects!$B$2:$B$45&lt;$B$13)*$B$11))</f>
        <v>0</v>
      </c>
      <c r="CF40" s="382" t="n">
        <f aca="false">SUMPRODUCT((Projects!$G$2:$G$45="Yes")*(80&gt;=Projects!$C$2:$C$45-$B$16)*((80&lt;=Projects!$W$2:$W$45-$B$106)*1+(80&gt;Projects!$W$2:$W$45-$B$106)*(80&lt;=Projects!$W$2:$W$45+$B$17)*$B$107)*((Projects!$B$2:$B$45&gt;=$B$12)*$B$9+(Projects!$B$2:$B$45&lt;$B$12)*(Projects!$B$2:$B$45&gt;=$B$13)*$B$10+(Projects!$B$2:$B$45&lt;$B$13)*$B$11))</f>
        <v>0</v>
      </c>
      <c r="CG40" s="382" t="n">
        <f aca="false">SUMPRODUCT((Projects!$G$2:$G$45="Yes")*(81&gt;=Projects!$C$2:$C$45-$B$16)*((81&lt;=Projects!$W$2:$W$45-$B$106)*1+(81&gt;Projects!$W$2:$W$45-$B$106)*(81&lt;=Projects!$W$2:$W$45+$B$17)*$B$107)*((Projects!$B$2:$B$45&gt;=$B$12)*$B$9+(Projects!$B$2:$B$45&lt;$B$12)*(Projects!$B$2:$B$45&gt;=$B$13)*$B$10+(Projects!$B$2:$B$45&lt;$B$13)*$B$11))</f>
        <v>0</v>
      </c>
      <c r="CH40" s="382" t="n">
        <f aca="false">SUMPRODUCT((Projects!$G$2:$G$45="Yes")*(82&gt;=Projects!$C$2:$C$45-$B$16)*((82&lt;=Projects!$W$2:$W$45-$B$106)*1+(82&gt;Projects!$W$2:$W$45-$B$106)*(82&lt;=Projects!$W$2:$W$45+$B$17)*$B$107)*((Projects!$B$2:$B$45&gt;=$B$12)*$B$9+(Projects!$B$2:$B$45&lt;$B$12)*(Projects!$B$2:$B$45&gt;=$B$13)*$B$10+(Projects!$B$2:$B$45&lt;$B$13)*$B$11))</f>
        <v>0</v>
      </c>
      <c r="CI40" s="382" t="n">
        <f aca="false">SUMPRODUCT((Projects!$G$2:$G$45="Yes")*(83&gt;=Projects!$C$2:$C$45-$B$16)*((83&lt;=Projects!$W$2:$W$45-$B$106)*1+(83&gt;Projects!$W$2:$W$45-$B$106)*(83&lt;=Projects!$W$2:$W$45+$B$17)*$B$107)*((Projects!$B$2:$B$45&gt;=$B$12)*$B$9+(Projects!$B$2:$B$45&lt;$B$12)*(Projects!$B$2:$B$45&gt;=$B$13)*$B$10+(Projects!$B$2:$B$45&lt;$B$13)*$B$11))</f>
        <v>0</v>
      </c>
      <c r="CJ40" s="382" t="n">
        <f aca="false">SUMPRODUCT((Projects!$G$2:$G$45="Yes")*(84&gt;=Projects!$C$2:$C$45-$B$16)*((84&lt;=Projects!$W$2:$W$45-$B$106)*1+(84&gt;Projects!$W$2:$W$45-$B$106)*(84&lt;=Projects!$W$2:$W$45+$B$17)*$B$107)*((Projects!$B$2:$B$45&gt;=$B$12)*$B$9+(Projects!$B$2:$B$45&lt;$B$12)*(Projects!$B$2:$B$45&gt;=$B$13)*$B$10+(Projects!$B$2:$B$45&lt;$B$13)*$B$11))</f>
        <v>0</v>
      </c>
      <c r="CK40" s="382" t="n">
        <f aca="false">SUMPRODUCT((Projects!$G$2:$G$45="Yes")*(85&gt;=Projects!$C$2:$C$45-$B$16)*((85&lt;=Projects!$W$2:$W$45-$B$106)*1+(85&gt;Projects!$W$2:$W$45-$B$106)*(85&lt;=Projects!$W$2:$W$45+$B$17)*$B$107)*((Projects!$B$2:$B$45&gt;=$B$12)*$B$9+(Projects!$B$2:$B$45&lt;$B$12)*(Projects!$B$2:$B$45&gt;=$B$13)*$B$10+(Projects!$B$2:$B$45&lt;$B$13)*$B$11))</f>
        <v>0</v>
      </c>
      <c r="CL40" s="382" t="n">
        <f aca="false">SUMPRODUCT((Projects!$G$2:$G$45="Yes")*(86&gt;=Projects!$C$2:$C$45-$B$16)*((86&lt;=Projects!$W$2:$W$45-$B$106)*1+(86&gt;Projects!$W$2:$W$45-$B$106)*(86&lt;=Projects!$W$2:$W$45+$B$17)*$B$107)*((Projects!$B$2:$B$45&gt;=$B$12)*$B$9+(Projects!$B$2:$B$45&lt;$B$12)*(Projects!$B$2:$B$45&gt;=$B$13)*$B$10+(Projects!$B$2:$B$45&lt;$B$13)*$B$11))</f>
        <v>0</v>
      </c>
      <c r="CM40" s="382" t="n">
        <f aca="false">SUMPRODUCT((Projects!$G$2:$G$45="Yes")*(87&gt;=Projects!$C$2:$C$45-$B$16)*((87&lt;=Projects!$W$2:$W$45-$B$106)*1+(87&gt;Projects!$W$2:$W$45-$B$106)*(87&lt;=Projects!$W$2:$W$45+$B$17)*$B$107)*((Projects!$B$2:$B$45&gt;=$B$12)*$B$9+(Projects!$B$2:$B$45&lt;$B$12)*(Projects!$B$2:$B$45&gt;=$B$13)*$B$10+(Projects!$B$2:$B$45&lt;$B$13)*$B$11))</f>
        <v>0</v>
      </c>
      <c r="CN40" s="382" t="n">
        <f aca="false">SUMPRODUCT((Projects!$G$2:$G$45="Yes")*(88&gt;=Projects!$C$2:$C$45-$B$16)*((88&lt;=Projects!$W$2:$W$45-$B$106)*1+(88&gt;Projects!$W$2:$W$45-$B$106)*(88&lt;=Projects!$W$2:$W$45+$B$17)*$B$107)*((Projects!$B$2:$B$45&gt;=$B$12)*$B$9+(Projects!$B$2:$B$45&lt;$B$12)*(Projects!$B$2:$B$45&gt;=$B$13)*$B$10+(Projects!$B$2:$B$45&lt;$B$13)*$B$11))</f>
        <v>0</v>
      </c>
      <c r="CO40" s="382" t="n">
        <f aca="false">SUMPRODUCT((Projects!$G$2:$G$45="Yes")*(89&gt;=Projects!$C$2:$C$45-$B$16)*((89&lt;=Projects!$W$2:$W$45-$B$106)*1+(89&gt;Projects!$W$2:$W$45-$B$106)*(89&lt;=Projects!$W$2:$W$45+$B$17)*$B$107)*((Projects!$B$2:$B$45&gt;=$B$12)*$B$9+(Projects!$B$2:$B$45&lt;$B$12)*(Projects!$B$2:$B$45&gt;=$B$13)*$B$10+(Projects!$B$2:$B$45&lt;$B$13)*$B$11))</f>
        <v>0</v>
      </c>
      <c r="CP40" s="382" t="n">
        <f aca="false">SUMPRODUCT((Projects!$G$2:$G$45="Yes")*(90&gt;=Projects!$C$2:$C$45-$B$16)*((90&lt;=Projects!$W$2:$W$45-$B$106)*1+(90&gt;Projects!$W$2:$W$45-$B$106)*(90&lt;=Projects!$W$2:$W$45+$B$17)*$B$107)*((Projects!$B$2:$B$45&gt;=$B$12)*$B$9+(Projects!$B$2:$B$45&lt;$B$12)*(Projects!$B$2:$B$45&gt;=$B$13)*$B$10+(Projects!$B$2:$B$45&lt;$B$13)*$B$11))</f>
        <v>0</v>
      </c>
      <c r="CQ40" s="382" t="n">
        <f aca="false">SUMPRODUCT((Projects!$G$2:$G$45="Yes")*(91&gt;=Projects!$C$2:$C$45-$B$16)*((91&lt;=Projects!$W$2:$W$45-$B$106)*1+(91&gt;Projects!$W$2:$W$45-$B$106)*(91&lt;=Projects!$W$2:$W$45+$B$17)*$B$107)*((Projects!$B$2:$B$45&gt;=$B$12)*$B$9+(Projects!$B$2:$B$45&lt;$B$12)*(Projects!$B$2:$B$45&gt;=$B$13)*$B$10+(Projects!$B$2:$B$45&lt;$B$13)*$B$11))</f>
        <v>0</v>
      </c>
      <c r="CR40" s="382" t="n">
        <f aca="false">SUMPRODUCT((Projects!$G$2:$G$45="Yes")*(92&gt;=Projects!$C$2:$C$45-$B$16)*((92&lt;=Projects!$W$2:$W$45-$B$106)*1+(92&gt;Projects!$W$2:$W$45-$B$106)*(92&lt;=Projects!$W$2:$W$45+$B$17)*$B$107)*((Projects!$B$2:$B$45&gt;=$B$12)*$B$9+(Projects!$B$2:$B$45&lt;$B$12)*(Projects!$B$2:$B$45&gt;=$B$13)*$B$10+(Projects!$B$2:$B$45&lt;$B$13)*$B$11))</f>
        <v>0</v>
      </c>
      <c r="CS40" s="382" t="n">
        <f aca="false">SUMPRODUCT((Projects!$G$2:$G$45="Yes")*(93&gt;=Projects!$C$2:$C$45-$B$16)*((93&lt;=Projects!$W$2:$W$45-$B$106)*1+(93&gt;Projects!$W$2:$W$45-$B$106)*(93&lt;=Projects!$W$2:$W$45+$B$17)*$B$107)*((Projects!$B$2:$B$45&gt;=$B$12)*$B$9+(Projects!$B$2:$B$45&lt;$B$12)*(Projects!$B$2:$B$45&gt;=$B$13)*$B$10+(Projects!$B$2:$B$45&lt;$B$13)*$B$11))</f>
        <v>0</v>
      </c>
      <c r="CT40" s="382" t="n">
        <f aca="false">SUMPRODUCT((Projects!$G$2:$G$45="Yes")*(94&gt;=Projects!$C$2:$C$45-$B$16)*((94&lt;=Projects!$W$2:$W$45-$B$106)*1+(94&gt;Projects!$W$2:$W$45-$B$106)*(94&lt;=Projects!$W$2:$W$45+$B$17)*$B$107)*((Projects!$B$2:$B$45&gt;=$B$12)*$B$9+(Projects!$B$2:$B$45&lt;$B$12)*(Projects!$B$2:$B$45&gt;=$B$13)*$B$10+(Projects!$B$2:$B$45&lt;$B$13)*$B$11))</f>
        <v>0</v>
      </c>
      <c r="CU40" s="382" t="n">
        <f aca="false">SUMPRODUCT((Projects!$G$2:$G$45="Yes")*(95&gt;=Projects!$C$2:$C$45-$B$16)*((95&lt;=Projects!$W$2:$W$45-$B$106)*1+(95&gt;Projects!$W$2:$W$45-$B$106)*(95&lt;=Projects!$W$2:$W$45+$B$17)*$B$107)*((Projects!$B$2:$B$45&gt;=$B$12)*$B$9+(Projects!$B$2:$B$45&lt;$B$12)*(Projects!$B$2:$B$45&gt;=$B$13)*$B$10+(Projects!$B$2:$B$45&lt;$B$13)*$B$11))</f>
        <v>0</v>
      </c>
      <c r="CV40" s="382" t="n">
        <f aca="false">SUMPRODUCT((Projects!$G$2:$G$45="Yes")*(96&gt;=Projects!$C$2:$C$45-$B$16)*((96&lt;=Projects!$W$2:$W$45-$B$106)*1+(96&gt;Projects!$W$2:$W$45-$B$106)*(96&lt;=Projects!$W$2:$W$45+$B$17)*$B$107)*((Projects!$B$2:$B$45&gt;=$B$12)*$B$9+(Projects!$B$2:$B$45&lt;$B$12)*(Projects!$B$2:$B$45&gt;=$B$13)*$B$10+(Projects!$B$2:$B$45&lt;$B$13)*$B$11))</f>
        <v>0</v>
      </c>
      <c r="CW40" s="382" t="n">
        <f aca="false">SUMPRODUCT((Projects!$G$2:$G$45="Yes")*(97&gt;=Projects!$C$2:$C$45-$B$16)*((97&lt;=Projects!$W$2:$W$45-$B$106)*1+(97&gt;Projects!$W$2:$W$45-$B$106)*(97&lt;=Projects!$W$2:$W$45+$B$17)*$B$107)*((Projects!$B$2:$B$45&gt;=$B$12)*$B$9+(Projects!$B$2:$B$45&lt;$B$12)*(Projects!$B$2:$B$45&gt;=$B$13)*$B$10+(Projects!$B$2:$B$45&lt;$B$13)*$B$11))</f>
        <v>0</v>
      </c>
      <c r="CX40" s="382" t="n">
        <f aca="false">SUMPRODUCT((Projects!$G$2:$G$45="Yes")*(98&gt;=Projects!$C$2:$C$45-$B$16)*((98&lt;=Projects!$W$2:$W$45-$B$106)*1+(98&gt;Projects!$W$2:$W$45-$B$106)*(98&lt;=Projects!$W$2:$W$45+$B$17)*$B$107)*((Projects!$B$2:$B$45&gt;=$B$12)*$B$9+(Projects!$B$2:$B$45&lt;$B$12)*(Projects!$B$2:$B$45&gt;=$B$13)*$B$10+(Projects!$B$2:$B$45&lt;$B$13)*$B$11))</f>
        <v>0</v>
      </c>
      <c r="CY40" s="382" t="n">
        <f aca="false">SUMPRODUCT((Projects!$G$2:$G$45="Yes")*(99&gt;=Projects!$C$2:$C$45-$B$16)*((99&lt;=Projects!$W$2:$W$45-$B$106)*1+(99&gt;Projects!$W$2:$W$45-$B$106)*(99&lt;=Projects!$W$2:$W$45+$B$17)*$B$107)*((Projects!$B$2:$B$45&gt;=$B$12)*$B$9+(Projects!$B$2:$B$45&lt;$B$12)*(Projects!$B$2:$B$45&gt;=$B$13)*$B$10+(Projects!$B$2:$B$45&lt;$B$13)*$B$11))</f>
        <v>0</v>
      </c>
      <c r="CZ40" s="382" t="n">
        <f aca="false">SUMPRODUCT((Projects!$G$2:$G$45="Yes")*(100&gt;=Projects!$C$2:$C$45-$B$16)*((100&lt;=Projects!$W$2:$W$45-$B$106)*1+(100&gt;Projects!$W$2:$W$45-$B$106)*(100&lt;=Projects!$W$2:$W$45+$B$17)*$B$107)*((Projects!$B$2:$B$45&gt;=$B$12)*$B$9+(Projects!$B$2:$B$45&lt;$B$12)*(Projects!$B$2:$B$45&gt;=$B$13)*$B$10+(Projects!$B$2:$B$45&lt;$B$13)*$B$11))</f>
        <v>0</v>
      </c>
      <c r="DA40" s="382" t="n">
        <f aca="false">SUMPRODUCT((Projects!$G$2:$G$45="Yes")*(101&gt;=Projects!$C$2:$C$45-$B$16)*((101&lt;=Projects!$W$2:$W$45-$B$106)*1+(101&gt;Projects!$W$2:$W$45-$B$106)*(101&lt;=Projects!$W$2:$W$45+$B$17)*$B$107)*((Projects!$B$2:$B$45&gt;=$B$12)*$B$9+(Projects!$B$2:$B$45&lt;$B$12)*(Projects!$B$2:$B$45&gt;=$B$13)*$B$10+(Projects!$B$2:$B$45&lt;$B$13)*$B$11))</f>
        <v>0</v>
      </c>
      <c r="DB40" s="382" t="n">
        <f aca="false">SUMPRODUCT((Projects!$G$2:$G$45="Yes")*(102&gt;=Projects!$C$2:$C$45-$B$16)*((102&lt;=Projects!$W$2:$W$45-$B$106)*1+(102&gt;Projects!$W$2:$W$45-$B$106)*(102&lt;=Projects!$W$2:$W$45+$B$17)*$B$107)*((Projects!$B$2:$B$45&gt;=$B$12)*$B$9+(Projects!$B$2:$B$45&lt;$B$12)*(Projects!$B$2:$B$45&gt;=$B$13)*$B$10+(Projects!$B$2:$B$45&lt;$B$13)*$B$11))</f>
        <v>0</v>
      </c>
      <c r="DC40" s="382" t="n">
        <f aca="false">SUMPRODUCT((Projects!$G$2:$G$45="Yes")*(103&gt;=Projects!$C$2:$C$45-$B$16)*((103&lt;=Projects!$W$2:$W$45-$B$106)*1+(103&gt;Projects!$W$2:$W$45-$B$106)*(103&lt;=Projects!$W$2:$W$45+$B$17)*$B$107)*((Projects!$B$2:$B$45&gt;=$B$12)*$B$9+(Projects!$B$2:$B$45&lt;$B$12)*(Projects!$B$2:$B$45&gt;=$B$13)*$B$10+(Projects!$B$2:$B$45&lt;$B$13)*$B$11))</f>
        <v>0</v>
      </c>
      <c r="DD40" s="382" t="n">
        <f aca="false">SUMPRODUCT((Projects!$G$2:$G$45="Yes")*(104&gt;=Projects!$C$2:$C$45-$B$16)*((104&lt;=Projects!$W$2:$W$45-$B$106)*1+(104&gt;Projects!$W$2:$W$45-$B$106)*(104&lt;=Projects!$W$2:$W$45+$B$17)*$B$107)*((Projects!$B$2:$B$45&gt;=$B$12)*$B$9+(Projects!$B$2:$B$45&lt;$B$12)*(Projects!$B$2:$B$45&gt;=$B$13)*$B$10+(Projects!$B$2:$B$45&lt;$B$13)*$B$11))</f>
        <v>0</v>
      </c>
      <c r="DE40" s="382"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1371</v>
      </c>
      <c r="B42" s="210"/>
      <c r="C42" s="210"/>
      <c r="D42" s="210"/>
      <c r="E42" s="210"/>
      <c r="F42" s="210"/>
    </row>
    <row r="43" customFormat="false" ht="13.5" hidden="false" customHeight="true" outlineLevel="0" collapsed="false">
      <c r="A43" s="110" t="s">
        <v>1372</v>
      </c>
      <c r="E43" s="382" t="n">
        <f aca="false">SUMPRODUCT((Personnel!$P$9:$P$100="SUPER")*(Personnel!$G$9:$G$100="Yes")*(1&gt;=Personnel!$E$9:$E$100)*((Personnel!$K$9:$K$100="")+(1&lt;=Personnel!$K$9:$K$100)&gt;0))</f>
        <v>4</v>
      </c>
      <c r="F43" s="382" t="n">
        <f aca="false">SUMPRODUCT((Personnel!$P$9:$P$100="SUPER")*(Personnel!$G$9:$G$100="Yes")*(2&gt;=Personnel!$E$9:$E$100)*((Personnel!$K$9:$K$100="")+(2&lt;=Personnel!$K$9:$K$100)&gt;0))</f>
        <v>5</v>
      </c>
      <c r="G43" s="382" t="n">
        <f aca="false">SUMPRODUCT((Personnel!$P$9:$P$100="SUPER")*(Personnel!$G$9:$G$100="Yes")*(3&gt;=Personnel!$E$9:$E$100)*((Personnel!$K$9:$K$100="")+(3&lt;=Personnel!$K$9:$K$100)&gt;0))</f>
        <v>5</v>
      </c>
      <c r="H43" s="382" t="n">
        <f aca="false">SUMPRODUCT((Personnel!$P$9:$P$100="SUPER")*(Personnel!$G$9:$G$100="Yes")*(4&gt;=Personnel!$E$9:$E$100)*((Personnel!$K$9:$K$100="")+(4&lt;=Personnel!$K$9:$K$100)&gt;0))</f>
        <v>6</v>
      </c>
      <c r="I43" s="382" t="n">
        <f aca="false">SUMPRODUCT((Personnel!$P$9:$P$100="SUPER")*(Personnel!$G$9:$G$100="Yes")*(5&gt;=Personnel!$E$9:$E$100)*((Personnel!$K$9:$K$100="")+(5&lt;=Personnel!$K$9:$K$100)&gt;0))</f>
        <v>6</v>
      </c>
      <c r="J43" s="382" t="n">
        <f aca="false">SUMPRODUCT((Personnel!$P$9:$P$100="SUPER")*(Personnel!$G$9:$G$100="Yes")*(6&gt;=Personnel!$E$9:$E$100)*((Personnel!$K$9:$K$100="")+(6&lt;=Personnel!$K$9:$K$100)&gt;0))</f>
        <v>7</v>
      </c>
      <c r="K43" s="382" t="n">
        <f aca="false">SUMPRODUCT((Personnel!$P$9:$P$100="SUPER")*(Personnel!$G$9:$G$100="Yes")*(7&gt;=Personnel!$E$9:$E$100)*((Personnel!$K$9:$K$100="")+(7&lt;=Personnel!$K$9:$K$100)&gt;0))</f>
        <v>7</v>
      </c>
      <c r="L43" s="382" t="n">
        <f aca="false">SUMPRODUCT((Personnel!$P$9:$P$100="SUPER")*(Personnel!$G$9:$G$100="Yes")*(8&gt;=Personnel!$E$9:$E$100)*((Personnel!$K$9:$K$100="")+(8&lt;=Personnel!$K$9:$K$100)&gt;0))</f>
        <v>7</v>
      </c>
      <c r="M43" s="382" t="n">
        <f aca="false">SUMPRODUCT((Personnel!$P$9:$P$100="SUPER")*(Personnel!$G$9:$G$100="Yes")*(9&gt;=Personnel!$E$9:$E$100)*((Personnel!$K$9:$K$100="")+(9&lt;=Personnel!$K$9:$K$100)&gt;0))</f>
        <v>7</v>
      </c>
      <c r="N43" s="382" t="n">
        <f aca="false">SUMPRODUCT((Personnel!$P$9:$P$100="SUPER")*(Personnel!$G$9:$G$100="Yes")*(10&gt;=Personnel!$E$9:$E$100)*((Personnel!$K$9:$K$100="")+(10&lt;=Personnel!$K$9:$K$100)&gt;0))</f>
        <v>7</v>
      </c>
      <c r="O43" s="382" t="n">
        <f aca="false">SUMPRODUCT((Personnel!$P$9:$P$100="SUPER")*(Personnel!$G$9:$G$100="Yes")*(11&gt;=Personnel!$E$9:$E$100)*((Personnel!$K$9:$K$100="")+(11&lt;=Personnel!$K$9:$K$100)&gt;0))</f>
        <v>7</v>
      </c>
      <c r="P43" s="382" t="n">
        <f aca="false">SUMPRODUCT((Personnel!$P$9:$P$100="SUPER")*(Personnel!$G$9:$G$100="Yes")*(12&gt;=Personnel!$E$9:$E$100)*((Personnel!$K$9:$K$100="")+(12&lt;=Personnel!$K$9:$K$100)&gt;0))</f>
        <v>7</v>
      </c>
      <c r="Q43" s="382" t="n">
        <f aca="false">SUMPRODUCT((Personnel!$P$9:$P$100="SUPER")*(Personnel!$G$9:$G$100="Yes")*(13&gt;=Personnel!$E$9:$E$100)*((Personnel!$K$9:$K$100="")+(13&lt;=Personnel!$K$9:$K$100)&gt;0))</f>
        <v>7</v>
      </c>
      <c r="R43" s="382" t="n">
        <f aca="false">SUMPRODUCT((Personnel!$P$9:$P$100="SUPER")*(Personnel!$G$9:$G$100="Yes")*(14&gt;=Personnel!$E$9:$E$100)*((Personnel!$K$9:$K$100="")+(14&lt;=Personnel!$K$9:$K$100)&gt;0))</f>
        <v>7</v>
      </c>
      <c r="S43" s="382" t="n">
        <f aca="false">SUMPRODUCT((Personnel!$P$9:$P$100="SUPER")*(Personnel!$G$9:$G$100="Yes")*(15&gt;=Personnel!$E$9:$E$100)*((Personnel!$K$9:$K$100="")+(15&lt;=Personnel!$K$9:$K$100)&gt;0))</f>
        <v>7</v>
      </c>
      <c r="T43" s="382" t="n">
        <f aca="false">SUMPRODUCT((Personnel!$P$9:$P$100="SUPER")*(Personnel!$G$9:$G$100="Yes")*(16&gt;=Personnel!$E$9:$E$100)*((Personnel!$K$9:$K$100="")+(16&lt;=Personnel!$K$9:$K$100)&gt;0))</f>
        <v>7</v>
      </c>
      <c r="U43" s="382" t="n">
        <f aca="false">SUMPRODUCT((Personnel!$P$9:$P$100="SUPER")*(Personnel!$G$9:$G$100="Yes")*(17&gt;=Personnel!$E$9:$E$100)*((Personnel!$K$9:$K$100="")+(17&lt;=Personnel!$K$9:$K$100)&gt;0))</f>
        <v>7</v>
      </c>
      <c r="V43" s="382" t="n">
        <f aca="false">SUMPRODUCT((Personnel!$P$9:$P$100="SUPER")*(Personnel!$G$9:$G$100="Yes")*(18&gt;=Personnel!$E$9:$E$100)*((Personnel!$K$9:$K$100="")+(18&lt;=Personnel!$K$9:$K$100)&gt;0))</f>
        <v>7</v>
      </c>
      <c r="W43" s="382" t="n">
        <f aca="false">SUMPRODUCT((Personnel!$P$9:$P$100="SUPER")*(Personnel!$G$9:$G$100="Yes")*(19&gt;=Personnel!$E$9:$E$100)*((Personnel!$K$9:$K$100="")+(19&lt;=Personnel!$K$9:$K$100)&gt;0))</f>
        <v>7</v>
      </c>
      <c r="X43" s="382" t="n">
        <f aca="false">SUMPRODUCT((Personnel!$P$9:$P$100="SUPER")*(Personnel!$G$9:$G$100="Yes")*(20&gt;=Personnel!$E$9:$E$100)*((Personnel!$K$9:$K$100="")+(20&lt;=Personnel!$K$9:$K$100)&gt;0))</f>
        <v>7</v>
      </c>
      <c r="Y43" s="382" t="n">
        <f aca="false">SUMPRODUCT((Personnel!$P$9:$P$100="SUPER")*(Personnel!$G$9:$G$100="Yes")*(21&gt;=Personnel!$E$9:$E$100)*((Personnel!$K$9:$K$100="")+(21&lt;=Personnel!$K$9:$K$100)&gt;0))</f>
        <v>7</v>
      </c>
      <c r="Z43" s="382" t="n">
        <f aca="false">SUMPRODUCT((Personnel!$P$9:$P$100="SUPER")*(Personnel!$G$9:$G$100="Yes")*(22&gt;=Personnel!$E$9:$E$100)*((Personnel!$K$9:$K$100="")+(22&lt;=Personnel!$K$9:$K$100)&gt;0))</f>
        <v>7</v>
      </c>
      <c r="AA43" s="382" t="n">
        <f aca="false">SUMPRODUCT((Personnel!$P$9:$P$100="SUPER")*(Personnel!$G$9:$G$100="Yes")*(23&gt;=Personnel!$E$9:$E$100)*((Personnel!$K$9:$K$100="")+(23&lt;=Personnel!$K$9:$K$100)&gt;0))</f>
        <v>7</v>
      </c>
      <c r="AB43" s="382" t="n">
        <f aca="false">SUMPRODUCT((Personnel!$P$9:$P$100="SUPER")*(Personnel!$G$9:$G$100="Yes")*(24&gt;=Personnel!$E$9:$E$100)*((Personnel!$K$9:$K$100="")+(24&lt;=Personnel!$K$9:$K$100)&gt;0))</f>
        <v>7</v>
      </c>
      <c r="AC43" s="382" t="n">
        <f aca="false">SUMPRODUCT((Personnel!$P$9:$P$100="SUPER")*(Personnel!$G$9:$G$100="Yes")*(25&gt;=Personnel!$E$9:$E$100)*((Personnel!$K$9:$K$100="")+(25&lt;=Personnel!$K$9:$K$100)&gt;0))</f>
        <v>7</v>
      </c>
      <c r="AD43" s="382" t="n">
        <f aca="false">SUMPRODUCT((Personnel!$P$9:$P$100="SUPER")*(Personnel!$G$9:$G$100="Yes")*(26&gt;=Personnel!$E$9:$E$100)*((Personnel!$K$9:$K$100="")+(26&lt;=Personnel!$K$9:$K$100)&gt;0))</f>
        <v>7</v>
      </c>
      <c r="AE43" s="382" t="n">
        <f aca="false">SUMPRODUCT((Personnel!$P$9:$P$100="SUPER")*(Personnel!$G$9:$G$100="Yes")*(27&gt;=Personnel!$E$9:$E$100)*((Personnel!$K$9:$K$100="")+(27&lt;=Personnel!$K$9:$K$100)&gt;0))</f>
        <v>7</v>
      </c>
      <c r="AF43" s="382" t="n">
        <f aca="false">SUMPRODUCT((Personnel!$P$9:$P$100="SUPER")*(Personnel!$G$9:$G$100="Yes")*(28&gt;=Personnel!$E$9:$E$100)*((Personnel!$K$9:$K$100="")+(28&lt;=Personnel!$K$9:$K$100)&gt;0))</f>
        <v>7</v>
      </c>
      <c r="AG43" s="382" t="n">
        <f aca="false">SUMPRODUCT((Personnel!$P$9:$P$100="SUPER")*(Personnel!$G$9:$G$100="Yes")*(29&gt;=Personnel!$E$9:$E$100)*((Personnel!$K$9:$K$100="")+(29&lt;=Personnel!$K$9:$K$100)&gt;0))</f>
        <v>7</v>
      </c>
      <c r="AH43" s="382" t="n">
        <f aca="false">SUMPRODUCT((Personnel!$P$9:$P$100="SUPER")*(Personnel!$G$9:$G$100="Yes")*(30&gt;=Personnel!$E$9:$E$100)*((Personnel!$K$9:$K$100="")+(30&lt;=Personnel!$K$9:$K$100)&gt;0))</f>
        <v>7</v>
      </c>
      <c r="AI43" s="382" t="n">
        <f aca="false">SUMPRODUCT((Personnel!$P$9:$P$100="SUPER")*(Personnel!$G$9:$G$100="Yes")*(31&gt;=Personnel!$E$9:$E$100)*((Personnel!$K$9:$K$100="")+(31&lt;=Personnel!$K$9:$K$100)&gt;0))</f>
        <v>7</v>
      </c>
      <c r="AJ43" s="382" t="n">
        <f aca="false">SUMPRODUCT((Personnel!$P$9:$P$100="SUPER")*(Personnel!$G$9:$G$100="Yes")*(32&gt;=Personnel!$E$9:$E$100)*((Personnel!$K$9:$K$100="")+(32&lt;=Personnel!$K$9:$K$100)&gt;0))</f>
        <v>7</v>
      </c>
      <c r="AK43" s="382" t="n">
        <f aca="false">SUMPRODUCT((Personnel!$P$9:$P$100="SUPER")*(Personnel!$G$9:$G$100="Yes")*(33&gt;=Personnel!$E$9:$E$100)*((Personnel!$K$9:$K$100="")+(33&lt;=Personnel!$K$9:$K$100)&gt;0))</f>
        <v>7</v>
      </c>
      <c r="AL43" s="382" t="n">
        <f aca="false">SUMPRODUCT((Personnel!$P$9:$P$100="SUPER")*(Personnel!$G$9:$G$100="Yes")*(34&gt;=Personnel!$E$9:$E$100)*((Personnel!$K$9:$K$100="")+(34&lt;=Personnel!$K$9:$K$100)&gt;0))</f>
        <v>7</v>
      </c>
      <c r="AM43" s="382" t="n">
        <f aca="false">SUMPRODUCT((Personnel!$P$9:$P$100="SUPER")*(Personnel!$G$9:$G$100="Yes")*(35&gt;=Personnel!$E$9:$E$100)*((Personnel!$K$9:$K$100="")+(35&lt;=Personnel!$K$9:$K$100)&gt;0))</f>
        <v>7</v>
      </c>
      <c r="AN43" s="382" t="n">
        <f aca="false">SUMPRODUCT((Personnel!$P$9:$P$100="SUPER")*(Personnel!$G$9:$G$100="Yes")*(36&gt;=Personnel!$E$9:$E$100)*((Personnel!$K$9:$K$100="")+(36&lt;=Personnel!$K$9:$K$100)&gt;0))</f>
        <v>7</v>
      </c>
      <c r="AO43" s="382" t="n">
        <f aca="false">SUMPRODUCT((Personnel!$P$9:$P$100="SUPER")*(Personnel!$G$9:$G$100="Yes")*(37&gt;=Personnel!$E$9:$E$100)*((Personnel!$K$9:$K$100="")+(37&lt;=Personnel!$K$9:$K$100)&gt;0))</f>
        <v>7</v>
      </c>
      <c r="AP43" s="382" t="n">
        <f aca="false">SUMPRODUCT((Personnel!$P$9:$P$100="SUPER")*(Personnel!$G$9:$G$100="Yes")*(38&gt;=Personnel!$E$9:$E$100)*((Personnel!$K$9:$K$100="")+(38&lt;=Personnel!$K$9:$K$100)&gt;0))</f>
        <v>7</v>
      </c>
      <c r="AQ43" s="382" t="n">
        <f aca="false">SUMPRODUCT((Personnel!$P$9:$P$100="SUPER")*(Personnel!$G$9:$G$100="Yes")*(39&gt;=Personnel!$E$9:$E$100)*((Personnel!$K$9:$K$100="")+(39&lt;=Personnel!$K$9:$K$100)&gt;0))</f>
        <v>7</v>
      </c>
      <c r="AR43" s="382" t="n">
        <f aca="false">SUMPRODUCT((Personnel!$P$9:$P$100="SUPER")*(Personnel!$G$9:$G$100="Yes")*(40&gt;=Personnel!$E$9:$E$100)*((Personnel!$K$9:$K$100="")+(40&lt;=Personnel!$K$9:$K$100)&gt;0))</f>
        <v>7</v>
      </c>
      <c r="AS43" s="382" t="n">
        <f aca="false">SUMPRODUCT((Personnel!$P$9:$P$100="SUPER")*(Personnel!$G$9:$G$100="Yes")*(41&gt;=Personnel!$E$9:$E$100)*((Personnel!$K$9:$K$100="")+(41&lt;=Personnel!$K$9:$K$100)&gt;0))</f>
        <v>7</v>
      </c>
      <c r="AT43" s="382" t="n">
        <f aca="false">SUMPRODUCT((Personnel!$P$9:$P$100="SUPER")*(Personnel!$G$9:$G$100="Yes")*(42&gt;=Personnel!$E$9:$E$100)*((Personnel!$K$9:$K$100="")+(42&lt;=Personnel!$K$9:$K$100)&gt;0))</f>
        <v>7</v>
      </c>
      <c r="AU43" s="382" t="n">
        <f aca="false">SUMPRODUCT((Personnel!$P$9:$P$100="SUPER")*(Personnel!$G$9:$G$100="Yes")*(43&gt;=Personnel!$E$9:$E$100)*((Personnel!$K$9:$K$100="")+(43&lt;=Personnel!$K$9:$K$100)&gt;0))</f>
        <v>7</v>
      </c>
      <c r="AV43" s="382" t="n">
        <f aca="false">SUMPRODUCT((Personnel!$P$9:$P$100="SUPER")*(Personnel!$G$9:$G$100="Yes")*(44&gt;=Personnel!$E$9:$E$100)*((Personnel!$K$9:$K$100="")+(44&lt;=Personnel!$K$9:$K$100)&gt;0))</f>
        <v>7</v>
      </c>
      <c r="AW43" s="382" t="n">
        <f aca="false">SUMPRODUCT((Personnel!$P$9:$P$100="SUPER")*(Personnel!$G$9:$G$100="Yes")*(45&gt;=Personnel!$E$9:$E$100)*((Personnel!$K$9:$K$100="")+(45&lt;=Personnel!$K$9:$K$100)&gt;0))</f>
        <v>7</v>
      </c>
      <c r="AX43" s="382" t="n">
        <f aca="false">SUMPRODUCT((Personnel!$P$9:$P$100="SUPER")*(Personnel!$G$9:$G$100="Yes")*(46&gt;=Personnel!$E$9:$E$100)*((Personnel!$K$9:$K$100="")+(46&lt;=Personnel!$K$9:$K$100)&gt;0))</f>
        <v>7</v>
      </c>
      <c r="AY43" s="382" t="n">
        <f aca="false">SUMPRODUCT((Personnel!$P$9:$P$100="SUPER")*(Personnel!$G$9:$G$100="Yes")*(47&gt;=Personnel!$E$9:$E$100)*((Personnel!$K$9:$K$100="")+(47&lt;=Personnel!$K$9:$K$100)&gt;0))</f>
        <v>7</v>
      </c>
      <c r="AZ43" s="382" t="n">
        <f aca="false">SUMPRODUCT((Personnel!$P$9:$P$100="SUPER")*(Personnel!$G$9:$G$100="Yes")*(48&gt;=Personnel!$E$9:$E$100)*((Personnel!$K$9:$K$100="")+(48&lt;=Personnel!$K$9:$K$100)&gt;0))</f>
        <v>7</v>
      </c>
      <c r="BA43" s="382" t="n">
        <f aca="false">SUMPRODUCT((Personnel!$P$9:$P$100="SUPER")*(Personnel!$G$9:$G$100="Yes")*(49&gt;=Personnel!$E$9:$E$100)*((Personnel!$K$9:$K$100="")+(49&lt;=Personnel!$K$9:$K$100)&gt;0))</f>
        <v>7</v>
      </c>
      <c r="BB43" s="382" t="n">
        <f aca="false">SUMPRODUCT((Personnel!$P$9:$P$100="SUPER")*(Personnel!$G$9:$G$100="Yes")*(50&gt;=Personnel!$E$9:$E$100)*((Personnel!$K$9:$K$100="")+(50&lt;=Personnel!$K$9:$K$100)&gt;0))</f>
        <v>7</v>
      </c>
      <c r="BC43" s="382" t="n">
        <f aca="false">SUMPRODUCT((Personnel!$P$9:$P$100="SUPER")*(Personnel!$G$9:$G$100="Yes")*(51&gt;=Personnel!$E$9:$E$100)*((Personnel!$K$9:$K$100="")+(51&lt;=Personnel!$K$9:$K$100)&gt;0))</f>
        <v>7</v>
      </c>
      <c r="BD43" s="382" t="n">
        <f aca="false">SUMPRODUCT((Personnel!$P$9:$P$100="SUPER")*(Personnel!$G$9:$G$100="Yes")*(52&gt;=Personnel!$E$9:$E$100)*((Personnel!$K$9:$K$100="")+(52&lt;=Personnel!$K$9:$K$100)&gt;0))</f>
        <v>7</v>
      </c>
      <c r="BE43" s="382" t="n">
        <f aca="false">SUMPRODUCT((Personnel!$P$9:$P$100="SUPER")*(Personnel!$G$9:$G$100="Yes")*(53&gt;=Personnel!$E$9:$E$100)*((Personnel!$K$9:$K$100="")+(53&lt;=Personnel!$K$9:$K$100)&gt;0))</f>
        <v>7</v>
      </c>
      <c r="BF43" s="382" t="n">
        <f aca="false">SUMPRODUCT((Personnel!$P$9:$P$100="SUPER")*(Personnel!$G$9:$G$100="Yes")*(54&gt;=Personnel!$E$9:$E$100)*((Personnel!$K$9:$K$100="")+(54&lt;=Personnel!$K$9:$K$100)&gt;0))</f>
        <v>7</v>
      </c>
      <c r="BG43" s="382" t="n">
        <f aca="false">SUMPRODUCT((Personnel!$P$9:$P$100="SUPER")*(Personnel!$G$9:$G$100="Yes")*(55&gt;=Personnel!$E$9:$E$100)*((Personnel!$K$9:$K$100="")+(55&lt;=Personnel!$K$9:$K$100)&gt;0))</f>
        <v>7</v>
      </c>
      <c r="BH43" s="382" t="n">
        <f aca="false">SUMPRODUCT((Personnel!$P$9:$P$100="SUPER")*(Personnel!$G$9:$G$100="Yes")*(56&gt;=Personnel!$E$9:$E$100)*((Personnel!$K$9:$K$100="")+(56&lt;=Personnel!$K$9:$K$100)&gt;0))</f>
        <v>7</v>
      </c>
      <c r="BI43" s="382" t="n">
        <f aca="false">SUMPRODUCT((Personnel!$P$9:$P$100="SUPER")*(Personnel!$G$9:$G$100="Yes")*(57&gt;=Personnel!$E$9:$E$100)*((Personnel!$K$9:$K$100="")+(57&lt;=Personnel!$K$9:$K$100)&gt;0))</f>
        <v>7</v>
      </c>
      <c r="BJ43" s="382" t="n">
        <f aca="false">SUMPRODUCT((Personnel!$P$9:$P$100="SUPER")*(Personnel!$G$9:$G$100="Yes")*(58&gt;=Personnel!$E$9:$E$100)*((Personnel!$K$9:$K$100="")+(58&lt;=Personnel!$K$9:$K$100)&gt;0))</f>
        <v>7</v>
      </c>
      <c r="BK43" s="382" t="n">
        <f aca="false">SUMPRODUCT((Personnel!$P$9:$P$100="SUPER")*(Personnel!$G$9:$G$100="Yes")*(59&gt;=Personnel!$E$9:$E$100)*((Personnel!$K$9:$K$100="")+(59&lt;=Personnel!$K$9:$K$100)&gt;0))</f>
        <v>7</v>
      </c>
      <c r="BL43" s="382" t="n">
        <f aca="false">SUMPRODUCT((Personnel!$P$9:$P$100="SUPER")*(Personnel!$G$9:$G$100="Yes")*(60&gt;=Personnel!$E$9:$E$100)*((Personnel!$K$9:$K$100="")+(60&lt;=Personnel!$K$9:$K$100)&gt;0))</f>
        <v>7</v>
      </c>
      <c r="BM43" s="382" t="n">
        <f aca="false">SUMPRODUCT((Personnel!$P$9:$P$100="SUPER")*(Personnel!$G$9:$G$100="Yes")*(61&gt;=Personnel!$E$9:$E$100)*((Personnel!$K$9:$K$100="")+(61&lt;=Personnel!$K$9:$K$100)&gt;0))</f>
        <v>7</v>
      </c>
      <c r="BN43" s="382" t="n">
        <f aca="false">SUMPRODUCT((Personnel!$P$9:$P$100="SUPER")*(Personnel!$G$9:$G$100="Yes")*(62&gt;=Personnel!$E$9:$E$100)*((Personnel!$K$9:$K$100="")+(62&lt;=Personnel!$K$9:$K$100)&gt;0))</f>
        <v>7</v>
      </c>
      <c r="BO43" s="382" t="n">
        <f aca="false">SUMPRODUCT((Personnel!$P$9:$P$100="SUPER")*(Personnel!$G$9:$G$100="Yes")*(63&gt;=Personnel!$E$9:$E$100)*((Personnel!$K$9:$K$100="")+(63&lt;=Personnel!$K$9:$K$100)&gt;0))</f>
        <v>7</v>
      </c>
      <c r="BP43" s="382" t="n">
        <f aca="false">SUMPRODUCT((Personnel!$P$9:$P$100="SUPER")*(Personnel!$G$9:$G$100="Yes")*(64&gt;=Personnel!$E$9:$E$100)*((Personnel!$K$9:$K$100="")+(64&lt;=Personnel!$K$9:$K$100)&gt;0))</f>
        <v>7</v>
      </c>
      <c r="BQ43" s="382" t="n">
        <f aca="false">SUMPRODUCT((Personnel!$P$9:$P$100="SUPER")*(Personnel!$G$9:$G$100="Yes")*(65&gt;=Personnel!$E$9:$E$100)*((Personnel!$K$9:$K$100="")+(65&lt;=Personnel!$K$9:$K$100)&gt;0))</f>
        <v>7</v>
      </c>
      <c r="BR43" s="382" t="n">
        <f aca="false">SUMPRODUCT((Personnel!$P$9:$P$100="SUPER")*(Personnel!$G$9:$G$100="Yes")*(66&gt;=Personnel!$E$9:$E$100)*((Personnel!$K$9:$K$100="")+(66&lt;=Personnel!$K$9:$K$100)&gt;0))</f>
        <v>7</v>
      </c>
      <c r="BS43" s="382" t="n">
        <f aca="false">SUMPRODUCT((Personnel!$P$9:$P$100="SUPER")*(Personnel!$G$9:$G$100="Yes")*(67&gt;=Personnel!$E$9:$E$100)*((Personnel!$K$9:$K$100="")+(67&lt;=Personnel!$K$9:$K$100)&gt;0))</f>
        <v>7</v>
      </c>
      <c r="BT43" s="382" t="n">
        <f aca="false">SUMPRODUCT((Personnel!$P$9:$P$100="SUPER")*(Personnel!$G$9:$G$100="Yes")*(68&gt;=Personnel!$E$9:$E$100)*((Personnel!$K$9:$K$100="")+(68&lt;=Personnel!$K$9:$K$100)&gt;0))</f>
        <v>7</v>
      </c>
      <c r="BU43" s="382" t="n">
        <f aca="false">SUMPRODUCT((Personnel!$P$9:$P$100="SUPER")*(Personnel!$G$9:$G$100="Yes")*(69&gt;=Personnel!$E$9:$E$100)*((Personnel!$K$9:$K$100="")+(69&lt;=Personnel!$K$9:$K$100)&gt;0))</f>
        <v>7</v>
      </c>
      <c r="BV43" s="382" t="n">
        <f aca="false">SUMPRODUCT((Personnel!$P$9:$P$100="SUPER")*(Personnel!$G$9:$G$100="Yes")*(70&gt;=Personnel!$E$9:$E$100)*((Personnel!$K$9:$K$100="")+(70&lt;=Personnel!$K$9:$K$100)&gt;0))</f>
        <v>7</v>
      </c>
      <c r="BW43" s="382" t="n">
        <f aca="false">SUMPRODUCT((Personnel!$P$9:$P$100="SUPER")*(Personnel!$G$9:$G$100="Yes")*(71&gt;=Personnel!$E$9:$E$100)*((Personnel!$K$9:$K$100="")+(71&lt;=Personnel!$K$9:$K$100)&gt;0))</f>
        <v>7</v>
      </c>
      <c r="BX43" s="382" t="n">
        <f aca="false">SUMPRODUCT((Personnel!$P$9:$P$100="SUPER")*(Personnel!$G$9:$G$100="Yes")*(72&gt;=Personnel!$E$9:$E$100)*((Personnel!$K$9:$K$100="")+(72&lt;=Personnel!$K$9:$K$100)&gt;0))</f>
        <v>7</v>
      </c>
      <c r="BY43" s="382" t="n">
        <f aca="false">SUMPRODUCT((Personnel!$P$9:$P$100="SUPER")*(Personnel!$G$9:$G$100="Yes")*(73&gt;=Personnel!$E$9:$E$100)*((Personnel!$K$9:$K$100="")+(73&lt;=Personnel!$K$9:$K$100)&gt;0))</f>
        <v>7</v>
      </c>
      <c r="BZ43" s="382" t="n">
        <f aca="false">SUMPRODUCT((Personnel!$P$9:$P$100="SUPER")*(Personnel!$G$9:$G$100="Yes")*(74&gt;=Personnel!$E$9:$E$100)*((Personnel!$K$9:$K$100="")+(74&lt;=Personnel!$K$9:$K$100)&gt;0))</f>
        <v>7</v>
      </c>
      <c r="CA43" s="382" t="n">
        <f aca="false">SUMPRODUCT((Personnel!$P$9:$P$100="SUPER")*(Personnel!$G$9:$G$100="Yes")*(75&gt;=Personnel!$E$9:$E$100)*((Personnel!$K$9:$K$100="")+(75&lt;=Personnel!$K$9:$K$100)&gt;0))</f>
        <v>7</v>
      </c>
      <c r="CB43" s="382" t="n">
        <f aca="false">SUMPRODUCT((Personnel!$P$9:$P$100="SUPER")*(Personnel!$G$9:$G$100="Yes")*(76&gt;=Personnel!$E$9:$E$100)*((Personnel!$K$9:$K$100="")+(76&lt;=Personnel!$K$9:$K$100)&gt;0))</f>
        <v>7</v>
      </c>
      <c r="CC43" s="382" t="n">
        <f aca="false">SUMPRODUCT((Personnel!$P$9:$P$100="SUPER")*(Personnel!$G$9:$G$100="Yes")*(77&gt;=Personnel!$E$9:$E$100)*((Personnel!$K$9:$K$100="")+(77&lt;=Personnel!$K$9:$K$100)&gt;0))</f>
        <v>7</v>
      </c>
      <c r="CD43" s="382" t="n">
        <f aca="false">SUMPRODUCT((Personnel!$P$9:$P$100="SUPER")*(Personnel!$G$9:$G$100="Yes")*(78&gt;=Personnel!$E$9:$E$100)*((Personnel!$K$9:$K$100="")+(78&lt;=Personnel!$K$9:$K$100)&gt;0))</f>
        <v>7</v>
      </c>
      <c r="CE43" s="382" t="n">
        <f aca="false">SUMPRODUCT((Personnel!$P$9:$P$100="SUPER")*(Personnel!$G$9:$G$100="Yes")*(79&gt;=Personnel!$E$9:$E$100)*((Personnel!$K$9:$K$100="")+(79&lt;=Personnel!$K$9:$K$100)&gt;0))</f>
        <v>7</v>
      </c>
      <c r="CF43" s="382" t="n">
        <f aca="false">SUMPRODUCT((Personnel!$P$9:$P$100="SUPER")*(Personnel!$G$9:$G$100="Yes")*(80&gt;=Personnel!$E$9:$E$100)*((Personnel!$K$9:$K$100="")+(80&lt;=Personnel!$K$9:$K$100)&gt;0))</f>
        <v>7</v>
      </c>
      <c r="CG43" s="382" t="n">
        <f aca="false">SUMPRODUCT((Personnel!$P$9:$P$100="SUPER")*(Personnel!$G$9:$G$100="Yes")*(81&gt;=Personnel!$E$9:$E$100)*((Personnel!$K$9:$K$100="")+(81&lt;=Personnel!$K$9:$K$100)&gt;0))</f>
        <v>7</v>
      </c>
      <c r="CH43" s="382" t="n">
        <f aca="false">SUMPRODUCT((Personnel!$P$9:$P$100="SUPER")*(Personnel!$G$9:$G$100="Yes")*(82&gt;=Personnel!$E$9:$E$100)*((Personnel!$K$9:$K$100="")+(82&lt;=Personnel!$K$9:$K$100)&gt;0))</f>
        <v>7</v>
      </c>
      <c r="CI43" s="382" t="n">
        <f aca="false">SUMPRODUCT((Personnel!$P$9:$P$100="SUPER")*(Personnel!$G$9:$G$100="Yes")*(83&gt;=Personnel!$E$9:$E$100)*((Personnel!$K$9:$K$100="")+(83&lt;=Personnel!$K$9:$K$100)&gt;0))</f>
        <v>7</v>
      </c>
      <c r="CJ43" s="382" t="n">
        <f aca="false">SUMPRODUCT((Personnel!$P$9:$P$100="SUPER")*(Personnel!$G$9:$G$100="Yes")*(84&gt;=Personnel!$E$9:$E$100)*((Personnel!$K$9:$K$100="")+(84&lt;=Personnel!$K$9:$K$100)&gt;0))</f>
        <v>7</v>
      </c>
      <c r="CK43" s="382" t="n">
        <f aca="false">SUMPRODUCT((Personnel!$P$9:$P$100="SUPER")*(Personnel!$G$9:$G$100="Yes")*(85&gt;=Personnel!$E$9:$E$100)*((Personnel!$K$9:$K$100="")+(85&lt;=Personnel!$K$9:$K$100)&gt;0))</f>
        <v>7</v>
      </c>
      <c r="CL43" s="382" t="n">
        <f aca="false">SUMPRODUCT((Personnel!$P$9:$P$100="SUPER")*(Personnel!$G$9:$G$100="Yes")*(86&gt;=Personnel!$E$9:$E$100)*((Personnel!$K$9:$K$100="")+(86&lt;=Personnel!$K$9:$K$100)&gt;0))</f>
        <v>7</v>
      </c>
      <c r="CM43" s="382" t="n">
        <f aca="false">SUMPRODUCT((Personnel!$P$9:$P$100="SUPER")*(Personnel!$G$9:$G$100="Yes")*(87&gt;=Personnel!$E$9:$E$100)*((Personnel!$K$9:$K$100="")+(87&lt;=Personnel!$K$9:$K$100)&gt;0))</f>
        <v>7</v>
      </c>
      <c r="CN43" s="382" t="n">
        <f aca="false">SUMPRODUCT((Personnel!$P$9:$P$100="SUPER")*(Personnel!$G$9:$G$100="Yes")*(88&gt;=Personnel!$E$9:$E$100)*((Personnel!$K$9:$K$100="")+(88&lt;=Personnel!$K$9:$K$100)&gt;0))</f>
        <v>7</v>
      </c>
      <c r="CO43" s="382" t="n">
        <f aca="false">SUMPRODUCT((Personnel!$P$9:$P$100="SUPER")*(Personnel!$G$9:$G$100="Yes")*(89&gt;=Personnel!$E$9:$E$100)*((Personnel!$K$9:$K$100="")+(89&lt;=Personnel!$K$9:$K$100)&gt;0))</f>
        <v>7</v>
      </c>
      <c r="CP43" s="382" t="n">
        <f aca="false">SUMPRODUCT((Personnel!$P$9:$P$100="SUPER")*(Personnel!$G$9:$G$100="Yes")*(90&gt;=Personnel!$E$9:$E$100)*((Personnel!$K$9:$K$100="")+(90&lt;=Personnel!$K$9:$K$100)&gt;0))</f>
        <v>7</v>
      </c>
      <c r="CQ43" s="382" t="n">
        <f aca="false">SUMPRODUCT((Personnel!$P$9:$P$100="SUPER")*(Personnel!$G$9:$G$100="Yes")*(91&gt;=Personnel!$E$9:$E$100)*((Personnel!$K$9:$K$100="")+(91&lt;=Personnel!$K$9:$K$100)&gt;0))</f>
        <v>7</v>
      </c>
      <c r="CR43" s="382" t="n">
        <f aca="false">SUMPRODUCT((Personnel!$P$9:$P$100="SUPER")*(Personnel!$G$9:$G$100="Yes")*(92&gt;=Personnel!$E$9:$E$100)*((Personnel!$K$9:$K$100="")+(92&lt;=Personnel!$K$9:$K$100)&gt;0))</f>
        <v>7</v>
      </c>
      <c r="CS43" s="382" t="n">
        <f aca="false">SUMPRODUCT((Personnel!$P$9:$P$100="SUPER")*(Personnel!$G$9:$G$100="Yes")*(93&gt;=Personnel!$E$9:$E$100)*((Personnel!$K$9:$K$100="")+(93&lt;=Personnel!$K$9:$K$100)&gt;0))</f>
        <v>7</v>
      </c>
      <c r="CT43" s="382" t="n">
        <f aca="false">SUMPRODUCT((Personnel!$P$9:$P$100="SUPER")*(Personnel!$G$9:$G$100="Yes")*(94&gt;=Personnel!$E$9:$E$100)*((Personnel!$K$9:$K$100="")+(94&lt;=Personnel!$K$9:$K$100)&gt;0))</f>
        <v>7</v>
      </c>
      <c r="CU43" s="382" t="n">
        <f aca="false">SUMPRODUCT((Personnel!$P$9:$P$100="SUPER")*(Personnel!$G$9:$G$100="Yes")*(95&gt;=Personnel!$E$9:$E$100)*((Personnel!$K$9:$K$100="")+(95&lt;=Personnel!$K$9:$K$100)&gt;0))</f>
        <v>7</v>
      </c>
      <c r="CV43" s="382" t="n">
        <f aca="false">SUMPRODUCT((Personnel!$P$9:$P$100="SUPER")*(Personnel!$G$9:$G$100="Yes")*(96&gt;=Personnel!$E$9:$E$100)*((Personnel!$K$9:$K$100="")+(96&lt;=Personnel!$K$9:$K$100)&gt;0))</f>
        <v>7</v>
      </c>
      <c r="CW43" s="382" t="n">
        <f aca="false">SUMPRODUCT((Personnel!$P$9:$P$100="SUPER")*(Personnel!$G$9:$G$100="Yes")*(97&gt;=Personnel!$E$9:$E$100)*((Personnel!$K$9:$K$100="")+(97&lt;=Personnel!$K$9:$K$100)&gt;0))</f>
        <v>7</v>
      </c>
      <c r="CX43" s="382" t="n">
        <f aca="false">SUMPRODUCT((Personnel!$P$9:$P$100="SUPER")*(Personnel!$G$9:$G$100="Yes")*(98&gt;=Personnel!$E$9:$E$100)*((Personnel!$K$9:$K$100="")+(98&lt;=Personnel!$K$9:$K$100)&gt;0))</f>
        <v>7</v>
      </c>
      <c r="CY43" s="382" t="n">
        <f aca="false">SUMPRODUCT((Personnel!$P$9:$P$100="SUPER")*(Personnel!$G$9:$G$100="Yes")*(99&gt;=Personnel!$E$9:$E$100)*((Personnel!$K$9:$K$100="")+(99&lt;=Personnel!$K$9:$K$100)&gt;0))</f>
        <v>7</v>
      </c>
      <c r="CZ43" s="382" t="n">
        <f aca="false">SUMPRODUCT((Personnel!$P$9:$P$100="SUPER")*(Personnel!$G$9:$G$100="Yes")*(100&gt;=Personnel!$E$9:$E$100)*((Personnel!$K$9:$K$100="")+(100&lt;=Personnel!$K$9:$K$100)&gt;0))</f>
        <v>7</v>
      </c>
      <c r="DA43" s="382" t="n">
        <f aca="false">SUMPRODUCT((Personnel!$P$9:$P$100="SUPER")*(Personnel!$G$9:$G$100="Yes")*(101&gt;=Personnel!$E$9:$E$100)*((Personnel!$K$9:$K$100="")+(101&lt;=Personnel!$K$9:$K$100)&gt;0))</f>
        <v>7</v>
      </c>
      <c r="DB43" s="382" t="n">
        <f aca="false">SUMPRODUCT((Personnel!$P$9:$P$100="SUPER")*(Personnel!$G$9:$G$100="Yes")*(102&gt;=Personnel!$E$9:$E$100)*((Personnel!$K$9:$K$100="")+(102&lt;=Personnel!$K$9:$K$100)&gt;0))</f>
        <v>7</v>
      </c>
      <c r="DC43" s="382" t="n">
        <f aca="false">SUMPRODUCT((Personnel!$P$9:$P$100="SUPER")*(Personnel!$G$9:$G$100="Yes")*(103&gt;=Personnel!$E$9:$E$100)*((Personnel!$K$9:$K$100="")+(103&lt;=Personnel!$K$9:$K$100)&gt;0))</f>
        <v>7</v>
      </c>
      <c r="DD43" s="382" t="n">
        <f aca="false">SUMPRODUCT((Personnel!$P$9:$P$100="SUPER")*(Personnel!$G$9:$G$100="Yes")*(104&gt;=Personnel!$E$9:$E$100)*((Personnel!$K$9:$K$100="")+(104&lt;=Personnel!$K$9:$K$100)&gt;0))</f>
        <v>7</v>
      </c>
      <c r="DE43" s="382" t="n">
        <f aca="false">SUMPRODUCT((Personnel!$P$9:$P$100="SUPER")*(Personnel!$G$9:$G$100="Yes")*(105&gt;=Personnel!$E$9:$E$100)*((Personnel!$K$9:$K$100="")+(105&lt;=Personnel!$K$9:$K$100)&gt;0))</f>
        <v>7</v>
      </c>
    </row>
    <row r="44" customFormat="false" ht="13.5" hidden="false" customHeight="true" outlineLevel="0" collapsed="false">
      <c r="A44" s="110" t="s">
        <v>1373</v>
      </c>
      <c r="E44" s="382" t="n">
        <f aca="false">SUMPRODUCT((Personnel!$P$9:$P$100="APM")*(Personnel!$G$9:$G$100="Yes")*(1&gt;=Personnel!$E$9:$E$100)*((Personnel!$K$9:$K$100="")+(1&lt;=Personnel!$K$9:$K$100)&gt;0))</f>
        <v>1</v>
      </c>
      <c r="F44" s="382" t="n">
        <f aca="false">SUMPRODUCT((Personnel!$P$9:$P$100="APM")*(Personnel!$G$9:$G$100="Yes")*(2&gt;=Personnel!$E$9:$E$100)*((Personnel!$K$9:$K$100="")+(2&lt;=Personnel!$K$9:$K$100)&gt;0))</f>
        <v>2</v>
      </c>
      <c r="G44" s="382" t="n">
        <f aca="false">SUMPRODUCT((Personnel!$P$9:$P$100="APM")*(Personnel!$G$9:$G$100="Yes")*(3&gt;=Personnel!$E$9:$E$100)*((Personnel!$K$9:$K$100="")+(3&lt;=Personnel!$K$9:$K$100)&gt;0))</f>
        <v>2</v>
      </c>
      <c r="H44" s="382" t="n">
        <f aca="false">SUMPRODUCT((Personnel!$P$9:$P$100="APM")*(Personnel!$G$9:$G$100="Yes")*(4&gt;=Personnel!$E$9:$E$100)*((Personnel!$K$9:$K$100="")+(4&lt;=Personnel!$K$9:$K$100)&gt;0))</f>
        <v>2</v>
      </c>
      <c r="I44" s="382" t="n">
        <f aca="false">SUMPRODUCT((Personnel!$P$9:$P$100="APM")*(Personnel!$G$9:$G$100="Yes")*(5&gt;=Personnel!$E$9:$E$100)*((Personnel!$K$9:$K$100="")+(5&lt;=Personnel!$K$9:$K$100)&gt;0))</f>
        <v>1</v>
      </c>
      <c r="J44" s="382" t="n">
        <f aca="false">SUMPRODUCT((Personnel!$P$9:$P$100="APM")*(Personnel!$G$9:$G$100="Yes")*(6&gt;=Personnel!$E$9:$E$100)*((Personnel!$K$9:$K$100="")+(6&lt;=Personnel!$K$9:$K$100)&gt;0))</f>
        <v>2</v>
      </c>
      <c r="K44" s="382" t="n">
        <f aca="false">SUMPRODUCT((Personnel!$P$9:$P$100="APM")*(Personnel!$G$9:$G$100="Yes")*(7&gt;=Personnel!$E$9:$E$100)*((Personnel!$K$9:$K$100="")+(7&lt;=Personnel!$K$9:$K$100)&gt;0))</f>
        <v>2</v>
      </c>
      <c r="L44" s="382" t="n">
        <f aca="false">SUMPRODUCT((Personnel!$P$9:$P$100="APM")*(Personnel!$G$9:$G$100="Yes")*(8&gt;=Personnel!$E$9:$E$100)*((Personnel!$K$9:$K$100="")+(8&lt;=Personnel!$K$9:$K$100)&gt;0))</f>
        <v>2</v>
      </c>
      <c r="M44" s="382" t="n">
        <f aca="false">SUMPRODUCT((Personnel!$P$9:$P$100="APM")*(Personnel!$G$9:$G$100="Yes")*(9&gt;=Personnel!$E$9:$E$100)*((Personnel!$K$9:$K$100="")+(9&lt;=Personnel!$K$9:$K$100)&gt;0))</f>
        <v>2</v>
      </c>
      <c r="N44" s="382" t="n">
        <f aca="false">SUMPRODUCT((Personnel!$P$9:$P$100="APM")*(Personnel!$G$9:$G$100="Yes")*(10&gt;=Personnel!$E$9:$E$100)*((Personnel!$K$9:$K$100="")+(10&lt;=Personnel!$K$9:$K$100)&gt;0))</f>
        <v>2</v>
      </c>
      <c r="O44" s="382" t="n">
        <f aca="false">SUMPRODUCT((Personnel!$P$9:$P$100="APM")*(Personnel!$G$9:$G$100="Yes")*(11&gt;=Personnel!$E$9:$E$100)*((Personnel!$K$9:$K$100="")+(11&lt;=Personnel!$K$9:$K$100)&gt;0))</f>
        <v>2</v>
      </c>
      <c r="P44" s="382" t="n">
        <f aca="false">SUMPRODUCT((Personnel!$P$9:$P$100="APM")*(Personnel!$G$9:$G$100="Yes")*(12&gt;=Personnel!$E$9:$E$100)*((Personnel!$K$9:$K$100="")+(12&lt;=Personnel!$K$9:$K$100)&gt;0))</f>
        <v>2</v>
      </c>
      <c r="Q44" s="382" t="n">
        <f aca="false">SUMPRODUCT((Personnel!$P$9:$P$100="APM")*(Personnel!$G$9:$G$100="Yes")*(13&gt;=Personnel!$E$9:$E$100)*((Personnel!$K$9:$K$100="")+(13&lt;=Personnel!$K$9:$K$100)&gt;0))</f>
        <v>2</v>
      </c>
      <c r="R44" s="382" t="n">
        <f aca="false">SUMPRODUCT((Personnel!$P$9:$P$100="APM")*(Personnel!$G$9:$G$100="Yes")*(14&gt;=Personnel!$E$9:$E$100)*((Personnel!$K$9:$K$100="")+(14&lt;=Personnel!$K$9:$K$100)&gt;0))</f>
        <v>2</v>
      </c>
      <c r="S44" s="382" t="n">
        <f aca="false">SUMPRODUCT((Personnel!$P$9:$P$100="APM")*(Personnel!$G$9:$G$100="Yes")*(15&gt;=Personnel!$E$9:$E$100)*((Personnel!$K$9:$K$100="")+(15&lt;=Personnel!$K$9:$K$100)&gt;0))</f>
        <v>2</v>
      </c>
      <c r="T44" s="382" t="n">
        <f aca="false">SUMPRODUCT((Personnel!$P$9:$P$100="APM")*(Personnel!$G$9:$G$100="Yes")*(16&gt;=Personnel!$E$9:$E$100)*((Personnel!$K$9:$K$100="")+(16&lt;=Personnel!$K$9:$K$100)&gt;0))</f>
        <v>2</v>
      </c>
      <c r="U44" s="382" t="n">
        <f aca="false">SUMPRODUCT((Personnel!$P$9:$P$100="APM")*(Personnel!$G$9:$G$100="Yes")*(17&gt;=Personnel!$E$9:$E$100)*((Personnel!$K$9:$K$100="")+(17&lt;=Personnel!$K$9:$K$100)&gt;0))</f>
        <v>2</v>
      </c>
      <c r="V44" s="382" t="n">
        <f aca="false">SUMPRODUCT((Personnel!$P$9:$P$100="APM")*(Personnel!$G$9:$G$100="Yes")*(18&gt;=Personnel!$E$9:$E$100)*((Personnel!$K$9:$K$100="")+(18&lt;=Personnel!$K$9:$K$100)&gt;0))</f>
        <v>2</v>
      </c>
      <c r="W44" s="382" t="n">
        <f aca="false">SUMPRODUCT((Personnel!$P$9:$P$100="APM")*(Personnel!$G$9:$G$100="Yes")*(19&gt;=Personnel!$E$9:$E$100)*((Personnel!$K$9:$K$100="")+(19&lt;=Personnel!$K$9:$K$100)&gt;0))</f>
        <v>2</v>
      </c>
      <c r="X44" s="382" t="n">
        <f aca="false">SUMPRODUCT((Personnel!$P$9:$P$100="APM")*(Personnel!$G$9:$G$100="Yes")*(20&gt;=Personnel!$E$9:$E$100)*((Personnel!$K$9:$K$100="")+(20&lt;=Personnel!$K$9:$K$100)&gt;0))</f>
        <v>2</v>
      </c>
      <c r="Y44" s="382" t="n">
        <f aca="false">SUMPRODUCT((Personnel!$P$9:$P$100="APM")*(Personnel!$G$9:$G$100="Yes")*(21&gt;=Personnel!$E$9:$E$100)*((Personnel!$K$9:$K$100="")+(21&lt;=Personnel!$K$9:$K$100)&gt;0))</f>
        <v>2</v>
      </c>
      <c r="Z44" s="382" t="n">
        <f aca="false">SUMPRODUCT((Personnel!$P$9:$P$100="APM")*(Personnel!$G$9:$G$100="Yes")*(22&gt;=Personnel!$E$9:$E$100)*((Personnel!$K$9:$K$100="")+(22&lt;=Personnel!$K$9:$K$100)&gt;0))</f>
        <v>2</v>
      </c>
      <c r="AA44" s="382" t="n">
        <f aca="false">SUMPRODUCT((Personnel!$P$9:$P$100="APM")*(Personnel!$G$9:$G$100="Yes")*(23&gt;=Personnel!$E$9:$E$100)*((Personnel!$K$9:$K$100="")+(23&lt;=Personnel!$K$9:$K$100)&gt;0))</f>
        <v>2</v>
      </c>
      <c r="AB44" s="382" t="n">
        <f aca="false">SUMPRODUCT((Personnel!$P$9:$P$100="APM")*(Personnel!$G$9:$G$100="Yes")*(24&gt;=Personnel!$E$9:$E$100)*((Personnel!$K$9:$K$100="")+(24&lt;=Personnel!$K$9:$K$100)&gt;0))</f>
        <v>2</v>
      </c>
      <c r="AC44" s="382" t="n">
        <f aca="false">SUMPRODUCT((Personnel!$P$9:$P$100="APM")*(Personnel!$G$9:$G$100="Yes")*(25&gt;=Personnel!$E$9:$E$100)*((Personnel!$K$9:$K$100="")+(25&lt;=Personnel!$K$9:$K$100)&gt;0))</f>
        <v>2</v>
      </c>
      <c r="AD44" s="382" t="n">
        <f aca="false">SUMPRODUCT((Personnel!$P$9:$P$100="APM")*(Personnel!$G$9:$G$100="Yes")*(26&gt;=Personnel!$E$9:$E$100)*((Personnel!$K$9:$K$100="")+(26&lt;=Personnel!$K$9:$K$100)&gt;0))</f>
        <v>2</v>
      </c>
      <c r="AE44" s="382" t="n">
        <f aca="false">SUMPRODUCT((Personnel!$P$9:$P$100="APM")*(Personnel!$G$9:$G$100="Yes")*(27&gt;=Personnel!$E$9:$E$100)*((Personnel!$K$9:$K$100="")+(27&lt;=Personnel!$K$9:$K$100)&gt;0))</f>
        <v>2</v>
      </c>
      <c r="AF44" s="382" t="n">
        <f aca="false">SUMPRODUCT((Personnel!$P$9:$P$100="APM")*(Personnel!$G$9:$G$100="Yes")*(28&gt;=Personnel!$E$9:$E$100)*((Personnel!$K$9:$K$100="")+(28&lt;=Personnel!$K$9:$K$100)&gt;0))</f>
        <v>2</v>
      </c>
      <c r="AG44" s="382" t="n">
        <f aca="false">SUMPRODUCT((Personnel!$P$9:$P$100="APM")*(Personnel!$G$9:$G$100="Yes")*(29&gt;=Personnel!$E$9:$E$100)*((Personnel!$K$9:$K$100="")+(29&lt;=Personnel!$K$9:$K$100)&gt;0))</f>
        <v>2</v>
      </c>
      <c r="AH44" s="382" t="n">
        <f aca="false">SUMPRODUCT((Personnel!$P$9:$P$100="APM")*(Personnel!$G$9:$G$100="Yes")*(30&gt;=Personnel!$E$9:$E$100)*((Personnel!$K$9:$K$100="")+(30&lt;=Personnel!$K$9:$K$100)&gt;0))</f>
        <v>2</v>
      </c>
      <c r="AI44" s="382" t="n">
        <f aca="false">SUMPRODUCT((Personnel!$P$9:$P$100="APM")*(Personnel!$G$9:$G$100="Yes")*(31&gt;=Personnel!$E$9:$E$100)*((Personnel!$K$9:$K$100="")+(31&lt;=Personnel!$K$9:$K$100)&gt;0))</f>
        <v>2</v>
      </c>
      <c r="AJ44" s="382" t="n">
        <f aca="false">SUMPRODUCT((Personnel!$P$9:$P$100="APM")*(Personnel!$G$9:$G$100="Yes")*(32&gt;=Personnel!$E$9:$E$100)*((Personnel!$K$9:$K$100="")+(32&lt;=Personnel!$K$9:$K$100)&gt;0))</f>
        <v>2</v>
      </c>
      <c r="AK44" s="382" t="n">
        <f aca="false">SUMPRODUCT((Personnel!$P$9:$P$100="APM")*(Personnel!$G$9:$G$100="Yes")*(33&gt;=Personnel!$E$9:$E$100)*((Personnel!$K$9:$K$100="")+(33&lt;=Personnel!$K$9:$K$100)&gt;0))</f>
        <v>2</v>
      </c>
      <c r="AL44" s="382" t="n">
        <f aca="false">SUMPRODUCT((Personnel!$P$9:$P$100="APM")*(Personnel!$G$9:$G$100="Yes")*(34&gt;=Personnel!$E$9:$E$100)*((Personnel!$K$9:$K$100="")+(34&lt;=Personnel!$K$9:$K$100)&gt;0))</f>
        <v>2</v>
      </c>
      <c r="AM44" s="382" t="n">
        <f aca="false">SUMPRODUCT((Personnel!$P$9:$P$100="APM")*(Personnel!$G$9:$G$100="Yes")*(35&gt;=Personnel!$E$9:$E$100)*((Personnel!$K$9:$K$100="")+(35&lt;=Personnel!$K$9:$K$100)&gt;0))</f>
        <v>2</v>
      </c>
      <c r="AN44" s="382" t="n">
        <f aca="false">SUMPRODUCT((Personnel!$P$9:$P$100="APM")*(Personnel!$G$9:$G$100="Yes")*(36&gt;=Personnel!$E$9:$E$100)*((Personnel!$K$9:$K$100="")+(36&lt;=Personnel!$K$9:$K$100)&gt;0))</f>
        <v>2</v>
      </c>
      <c r="AO44" s="382" t="n">
        <f aca="false">SUMPRODUCT((Personnel!$P$9:$P$100="APM")*(Personnel!$G$9:$G$100="Yes")*(37&gt;=Personnel!$E$9:$E$100)*((Personnel!$K$9:$K$100="")+(37&lt;=Personnel!$K$9:$K$100)&gt;0))</f>
        <v>2</v>
      </c>
      <c r="AP44" s="382" t="n">
        <f aca="false">SUMPRODUCT((Personnel!$P$9:$P$100="APM")*(Personnel!$G$9:$G$100="Yes")*(38&gt;=Personnel!$E$9:$E$100)*((Personnel!$K$9:$K$100="")+(38&lt;=Personnel!$K$9:$K$100)&gt;0))</f>
        <v>2</v>
      </c>
      <c r="AQ44" s="382" t="n">
        <f aca="false">SUMPRODUCT((Personnel!$P$9:$P$100="APM")*(Personnel!$G$9:$G$100="Yes")*(39&gt;=Personnel!$E$9:$E$100)*((Personnel!$K$9:$K$100="")+(39&lt;=Personnel!$K$9:$K$100)&gt;0))</f>
        <v>2</v>
      </c>
      <c r="AR44" s="382" t="n">
        <f aca="false">SUMPRODUCT((Personnel!$P$9:$P$100="APM")*(Personnel!$G$9:$G$100="Yes")*(40&gt;=Personnel!$E$9:$E$100)*((Personnel!$K$9:$K$100="")+(40&lt;=Personnel!$K$9:$K$100)&gt;0))</f>
        <v>2</v>
      </c>
      <c r="AS44" s="382" t="n">
        <f aca="false">SUMPRODUCT((Personnel!$P$9:$P$100="APM")*(Personnel!$G$9:$G$100="Yes")*(41&gt;=Personnel!$E$9:$E$100)*((Personnel!$K$9:$K$100="")+(41&lt;=Personnel!$K$9:$K$100)&gt;0))</f>
        <v>2</v>
      </c>
      <c r="AT44" s="382" t="n">
        <f aca="false">SUMPRODUCT((Personnel!$P$9:$P$100="APM")*(Personnel!$G$9:$G$100="Yes")*(42&gt;=Personnel!$E$9:$E$100)*((Personnel!$K$9:$K$100="")+(42&lt;=Personnel!$K$9:$K$100)&gt;0))</f>
        <v>2</v>
      </c>
      <c r="AU44" s="382" t="n">
        <f aca="false">SUMPRODUCT((Personnel!$P$9:$P$100="APM")*(Personnel!$G$9:$G$100="Yes")*(43&gt;=Personnel!$E$9:$E$100)*((Personnel!$K$9:$K$100="")+(43&lt;=Personnel!$K$9:$K$100)&gt;0))</f>
        <v>2</v>
      </c>
      <c r="AV44" s="382" t="n">
        <f aca="false">SUMPRODUCT((Personnel!$P$9:$P$100="APM")*(Personnel!$G$9:$G$100="Yes")*(44&gt;=Personnel!$E$9:$E$100)*((Personnel!$K$9:$K$100="")+(44&lt;=Personnel!$K$9:$K$100)&gt;0))</f>
        <v>2</v>
      </c>
      <c r="AW44" s="382" t="n">
        <f aca="false">SUMPRODUCT((Personnel!$P$9:$P$100="APM")*(Personnel!$G$9:$G$100="Yes")*(45&gt;=Personnel!$E$9:$E$100)*((Personnel!$K$9:$K$100="")+(45&lt;=Personnel!$K$9:$K$100)&gt;0))</f>
        <v>2</v>
      </c>
      <c r="AX44" s="382" t="n">
        <f aca="false">SUMPRODUCT((Personnel!$P$9:$P$100="APM")*(Personnel!$G$9:$G$100="Yes")*(46&gt;=Personnel!$E$9:$E$100)*((Personnel!$K$9:$K$100="")+(46&lt;=Personnel!$K$9:$K$100)&gt;0))</f>
        <v>2</v>
      </c>
      <c r="AY44" s="382" t="n">
        <f aca="false">SUMPRODUCT((Personnel!$P$9:$P$100="APM")*(Personnel!$G$9:$G$100="Yes")*(47&gt;=Personnel!$E$9:$E$100)*((Personnel!$K$9:$K$100="")+(47&lt;=Personnel!$K$9:$K$100)&gt;0))</f>
        <v>2</v>
      </c>
      <c r="AZ44" s="382" t="n">
        <f aca="false">SUMPRODUCT((Personnel!$P$9:$P$100="APM")*(Personnel!$G$9:$G$100="Yes")*(48&gt;=Personnel!$E$9:$E$100)*((Personnel!$K$9:$K$100="")+(48&lt;=Personnel!$K$9:$K$100)&gt;0))</f>
        <v>2</v>
      </c>
      <c r="BA44" s="382" t="n">
        <f aca="false">SUMPRODUCT((Personnel!$P$9:$P$100="APM")*(Personnel!$G$9:$G$100="Yes")*(49&gt;=Personnel!$E$9:$E$100)*((Personnel!$K$9:$K$100="")+(49&lt;=Personnel!$K$9:$K$100)&gt;0))</f>
        <v>2</v>
      </c>
      <c r="BB44" s="382" t="n">
        <f aca="false">SUMPRODUCT((Personnel!$P$9:$P$100="APM")*(Personnel!$G$9:$G$100="Yes")*(50&gt;=Personnel!$E$9:$E$100)*((Personnel!$K$9:$K$100="")+(50&lt;=Personnel!$K$9:$K$100)&gt;0))</f>
        <v>2</v>
      </c>
      <c r="BC44" s="382" t="n">
        <f aca="false">SUMPRODUCT((Personnel!$P$9:$P$100="APM")*(Personnel!$G$9:$G$100="Yes")*(51&gt;=Personnel!$E$9:$E$100)*((Personnel!$K$9:$K$100="")+(51&lt;=Personnel!$K$9:$K$100)&gt;0))</f>
        <v>2</v>
      </c>
      <c r="BD44" s="382" t="n">
        <f aca="false">SUMPRODUCT((Personnel!$P$9:$P$100="APM")*(Personnel!$G$9:$G$100="Yes")*(52&gt;=Personnel!$E$9:$E$100)*((Personnel!$K$9:$K$100="")+(52&lt;=Personnel!$K$9:$K$100)&gt;0))</f>
        <v>2</v>
      </c>
      <c r="BE44" s="382" t="n">
        <f aca="false">SUMPRODUCT((Personnel!$P$9:$P$100="APM")*(Personnel!$G$9:$G$100="Yes")*(53&gt;=Personnel!$E$9:$E$100)*((Personnel!$K$9:$K$100="")+(53&lt;=Personnel!$K$9:$K$100)&gt;0))</f>
        <v>2</v>
      </c>
      <c r="BF44" s="382" t="n">
        <f aca="false">SUMPRODUCT((Personnel!$P$9:$P$100="APM")*(Personnel!$G$9:$G$100="Yes")*(54&gt;=Personnel!$E$9:$E$100)*((Personnel!$K$9:$K$100="")+(54&lt;=Personnel!$K$9:$K$100)&gt;0))</f>
        <v>2</v>
      </c>
      <c r="BG44" s="382" t="n">
        <f aca="false">SUMPRODUCT((Personnel!$P$9:$P$100="APM")*(Personnel!$G$9:$G$100="Yes")*(55&gt;=Personnel!$E$9:$E$100)*((Personnel!$K$9:$K$100="")+(55&lt;=Personnel!$K$9:$K$100)&gt;0))</f>
        <v>2</v>
      </c>
      <c r="BH44" s="382" t="n">
        <f aca="false">SUMPRODUCT((Personnel!$P$9:$P$100="APM")*(Personnel!$G$9:$G$100="Yes")*(56&gt;=Personnel!$E$9:$E$100)*((Personnel!$K$9:$K$100="")+(56&lt;=Personnel!$K$9:$K$100)&gt;0))</f>
        <v>2</v>
      </c>
      <c r="BI44" s="382" t="n">
        <f aca="false">SUMPRODUCT((Personnel!$P$9:$P$100="APM")*(Personnel!$G$9:$G$100="Yes")*(57&gt;=Personnel!$E$9:$E$100)*((Personnel!$K$9:$K$100="")+(57&lt;=Personnel!$K$9:$K$100)&gt;0))</f>
        <v>2</v>
      </c>
      <c r="BJ44" s="382" t="n">
        <f aca="false">SUMPRODUCT((Personnel!$P$9:$P$100="APM")*(Personnel!$G$9:$G$100="Yes")*(58&gt;=Personnel!$E$9:$E$100)*((Personnel!$K$9:$K$100="")+(58&lt;=Personnel!$K$9:$K$100)&gt;0))</f>
        <v>2</v>
      </c>
      <c r="BK44" s="382" t="n">
        <f aca="false">SUMPRODUCT((Personnel!$P$9:$P$100="APM")*(Personnel!$G$9:$G$100="Yes")*(59&gt;=Personnel!$E$9:$E$100)*((Personnel!$K$9:$K$100="")+(59&lt;=Personnel!$K$9:$K$100)&gt;0))</f>
        <v>2</v>
      </c>
      <c r="BL44" s="382" t="n">
        <f aca="false">SUMPRODUCT((Personnel!$P$9:$P$100="APM")*(Personnel!$G$9:$G$100="Yes")*(60&gt;=Personnel!$E$9:$E$100)*((Personnel!$K$9:$K$100="")+(60&lt;=Personnel!$K$9:$K$100)&gt;0))</f>
        <v>2</v>
      </c>
      <c r="BM44" s="382" t="n">
        <f aca="false">SUMPRODUCT((Personnel!$P$9:$P$100="APM")*(Personnel!$G$9:$G$100="Yes")*(61&gt;=Personnel!$E$9:$E$100)*((Personnel!$K$9:$K$100="")+(61&lt;=Personnel!$K$9:$K$100)&gt;0))</f>
        <v>2</v>
      </c>
      <c r="BN44" s="382" t="n">
        <f aca="false">SUMPRODUCT((Personnel!$P$9:$P$100="APM")*(Personnel!$G$9:$G$100="Yes")*(62&gt;=Personnel!$E$9:$E$100)*((Personnel!$K$9:$K$100="")+(62&lt;=Personnel!$K$9:$K$100)&gt;0))</f>
        <v>2</v>
      </c>
      <c r="BO44" s="382" t="n">
        <f aca="false">SUMPRODUCT((Personnel!$P$9:$P$100="APM")*(Personnel!$G$9:$G$100="Yes")*(63&gt;=Personnel!$E$9:$E$100)*((Personnel!$K$9:$K$100="")+(63&lt;=Personnel!$K$9:$K$100)&gt;0))</f>
        <v>2</v>
      </c>
      <c r="BP44" s="382" t="n">
        <f aca="false">SUMPRODUCT((Personnel!$P$9:$P$100="APM")*(Personnel!$G$9:$G$100="Yes")*(64&gt;=Personnel!$E$9:$E$100)*((Personnel!$K$9:$K$100="")+(64&lt;=Personnel!$K$9:$K$100)&gt;0))</f>
        <v>2</v>
      </c>
      <c r="BQ44" s="382" t="n">
        <f aca="false">SUMPRODUCT((Personnel!$P$9:$P$100="APM")*(Personnel!$G$9:$G$100="Yes")*(65&gt;=Personnel!$E$9:$E$100)*((Personnel!$K$9:$K$100="")+(65&lt;=Personnel!$K$9:$K$100)&gt;0))</f>
        <v>2</v>
      </c>
      <c r="BR44" s="382" t="n">
        <f aca="false">SUMPRODUCT((Personnel!$P$9:$P$100="APM")*(Personnel!$G$9:$G$100="Yes")*(66&gt;=Personnel!$E$9:$E$100)*((Personnel!$K$9:$K$100="")+(66&lt;=Personnel!$K$9:$K$100)&gt;0))</f>
        <v>2</v>
      </c>
      <c r="BS44" s="382" t="n">
        <f aca="false">SUMPRODUCT((Personnel!$P$9:$P$100="APM")*(Personnel!$G$9:$G$100="Yes")*(67&gt;=Personnel!$E$9:$E$100)*((Personnel!$K$9:$K$100="")+(67&lt;=Personnel!$K$9:$K$100)&gt;0))</f>
        <v>2</v>
      </c>
      <c r="BT44" s="382" t="n">
        <f aca="false">SUMPRODUCT((Personnel!$P$9:$P$100="APM")*(Personnel!$G$9:$G$100="Yes")*(68&gt;=Personnel!$E$9:$E$100)*((Personnel!$K$9:$K$100="")+(68&lt;=Personnel!$K$9:$K$100)&gt;0))</f>
        <v>2</v>
      </c>
      <c r="BU44" s="382" t="n">
        <f aca="false">SUMPRODUCT((Personnel!$P$9:$P$100="APM")*(Personnel!$G$9:$G$100="Yes")*(69&gt;=Personnel!$E$9:$E$100)*((Personnel!$K$9:$K$100="")+(69&lt;=Personnel!$K$9:$K$100)&gt;0))</f>
        <v>2</v>
      </c>
      <c r="BV44" s="382" t="n">
        <f aca="false">SUMPRODUCT((Personnel!$P$9:$P$100="APM")*(Personnel!$G$9:$G$100="Yes")*(70&gt;=Personnel!$E$9:$E$100)*((Personnel!$K$9:$K$100="")+(70&lt;=Personnel!$K$9:$K$100)&gt;0))</f>
        <v>2</v>
      </c>
      <c r="BW44" s="382" t="n">
        <f aca="false">SUMPRODUCT((Personnel!$P$9:$P$100="APM")*(Personnel!$G$9:$G$100="Yes")*(71&gt;=Personnel!$E$9:$E$100)*((Personnel!$K$9:$K$100="")+(71&lt;=Personnel!$K$9:$K$100)&gt;0))</f>
        <v>2</v>
      </c>
      <c r="BX44" s="382" t="n">
        <f aca="false">SUMPRODUCT((Personnel!$P$9:$P$100="APM")*(Personnel!$G$9:$G$100="Yes")*(72&gt;=Personnel!$E$9:$E$100)*((Personnel!$K$9:$K$100="")+(72&lt;=Personnel!$K$9:$K$100)&gt;0))</f>
        <v>2</v>
      </c>
      <c r="BY44" s="382" t="n">
        <f aca="false">SUMPRODUCT((Personnel!$P$9:$P$100="APM")*(Personnel!$G$9:$G$100="Yes")*(73&gt;=Personnel!$E$9:$E$100)*((Personnel!$K$9:$K$100="")+(73&lt;=Personnel!$K$9:$K$100)&gt;0))</f>
        <v>2</v>
      </c>
      <c r="BZ44" s="382" t="n">
        <f aca="false">SUMPRODUCT((Personnel!$P$9:$P$100="APM")*(Personnel!$G$9:$G$100="Yes")*(74&gt;=Personnel!$E$9:$E$100)*((Personnel!$K$9:$K$100="")+(74&lt;=Personnel!$K$9:$K$100)&gt;0))</f>
        <v>2</v>
      </c>
      <c r="CA44" s="382" t="n">
        <f aca="false">SUMPRODUCT((Personnel!$P$9:$P$100="APM")*(Personnel!$G$9:$G$100="Yes")*(75&gt;=Personnel!$E$9:$E$100)*((Personnel!$K$9:$K$100="")+(75&lt;=Personnel!$K$9:$K$100)&gt;0))</f>
        <v>2</v>
      </c>
      <c r="CB44" s="382" t="n">
        <f aca="false">SUMPRODUCT((Personnel!$P$9:$P$100="APM")*(Personnel!$G$9:$G$100="Yes")*(76&gt;=Personnel!$E$9:$E$100)*((Personnel!$K$9:$K$100="")+(76&lt;=Personnel!$K$9:$K$100)&gt;0))</f>
        <v>2</v>
      </c>
      <c r="CC44" s="382" t="n">
        <f aca="false">SUMPRODUCT((Personnel!$P$9:$P$100="APM")*(Personnel!$G$9:$G$100="Yes")*(77&gt;=Personnel!$E$9:$E$100)*((Personnel!$K$9:$K$100="")+(77&lt;=Personnel!$K$9:$K$100)&gt;0))</f>
        <v>2</v>
      </c>
      <c r="CD44" s="382" t="n">
        <f aca="false">SUMPRODUCT((Personnel!$P$9:$P$100="APM")*(Personnel!$G$9:$G$100="Yes")*(78&gt;=Personnel!$E$9:$E$100)*((Personnel!$K$9:$K$100="")+(78&lt;=Personnel!$K$9:$K$100)&gt;0))</f>
        <v>2</v>
      </c>
      <c r="CE44" s="382" t="n">
        <f aca="false">SUMPRODUCT((Personnel!$P$9:$P$100="APM")*(Personnel!$G$9:$G$100="Yes")*(79&gt;=Personnel!$E$9:$E$100)*((Personnel!$K$9:$K$100="")+(79&lt;=Personnel!$K$9:$K$100)&gt;0))</f>
        <v>2</v>
      </c>
      <c r="CF44" s="382" t="n">
        <f aca="false">SUMPRODUCT((Personnel!$P$9:$P$100="APM")*(Personnel!$G$9:$G$100="Yes")*(80&gt;=Personnel!$E$9:$E$100)*((Personnel!$K$9:$K$100="")+(80&lt;=Personnel!$K$9:$K$100)&gt;0))</f>
        <v>2</v>
      </c>
      <c r="CG44" s="382" t="n">
        <f aca="false">SUMPRODUCT((Personnel!$P$9:$P$100="APM")*(Personnel!$G$9:$G$100="Yes")*(81&gt;=Personnel!$E$9:$E$100)*((Personnel!$K$9:$K$100="")+(81&lt;=Personnel!$K$9:$K$100)&gt;0))</f>
        <v>2</v>
      </c>
      <c r="CH44" s="382" t="n">
        <f aca="false">SUMPRODUCT((Personnel!$P$9:$P$100="APM")*(Personnel!$G$9:$G$100="Yes")*(82&gt;=Personnel!$E$9:$E$100)*((Personnel!$K$9:$K$100="")+(82&lt;=Personnel!$K$9:$K$100)&gt;0))</f>
        <v>2</v>
      </c>
      <c r="CI44" s="382" t="n">
        <f aca="false">SUMPRODUCT((Personnel!$P$9:$P$100="APM")*(Personnel!$G$9:$G$100="Yes")*(83&gt;=Personnel!$E$9:$E$100)*((Personnel!$K$9:$K$100="")+(83&lt;=Personnel!$K$9:$K$100)&gt;0))</f>
        <v>2</v>
      </c>
      <c r="CJ44" s="382" t="n">
        <f aca="false">SUMPRODUCT((Personnel!$P$9:$P$100="APM")*(Personnel!$G$9:$G$100="Yes")*(84&gt;=Personnel!$E$9:$E$100)*((Personnel!$K$9:$K$100="")+(84&lt;=Personnel!$K$9:$K$100)&gt;0))</f>
        <v>2</v>
      </c>
      <c r="CK44" s="382" t="n">
        <f aca="false">SUMPRODUCT((Personnel!$P$9:$P$100="APM")*(Personnel!$G$9:$G$100="Yes")*(85&gt;=Personnel!$E$9:$E$100)*((Personnel!$K$9:$K$100="")+(85&lt;=Personnel!$K$9:$K$100)&gt;0))</f>
        <v>2</v>
      </c>
      <c r="CL44" s="382" t="n">
        <f aca="false">SUMPRODUCT((Personnel!$P$9:$P$100="APM")*(Personnel!$G$9:$G$100="Yes")*(86&gt;=Personnel!$E$9:$E$100)*((Personnel!$K$9:$K$100="")+(86&lt;=Personnel!$K$9:$K$100)&gt;0))</f>
        <v>2</v>
      </c>
      <c r="CM44" s="382" t="n">
        <f aca="false">SUMPRODUCT((Personnel!$P$9:$P$100="APM")*(Personnel!$G$9:$G$100="Yes")*(87&gt;=Personnel!$E$9:$E$100)*((Personnel!$K$9:$K$100="")+(87&lt;=Personnel!$K$9:$K$100)&gt;0))</f>
        <v>2</v>
      </c>
      <c r="CN44" s="382" t="n">
        <f aca="false">SUMPRODUCT((Personnel!$P$9:$P$100="APM")*(Personnel!$G$9:$G$100="Yes")*(88&gt;=Personnel!$E$9:$E$100)*((Personnel!$K$9:$K$100="")+(88&lt;=Personnel!$K$9:$K$100)&gt;0))</f>
        <v>2</v>
      </c>
      <c r="CO44" s="382" t="n">
        <f aca="false">SUMPRODUCT((Personnel!$P$9:$P$100="APM")*(Personnel!$G$9:$G$100="Yes")*(89&gt;=Personnel!$E$9:$E$100)*((Personnel!$K$9:$K$100="")+(89&lt;=Personnel!$K$9:$K$100)&gt;0))</f>
        <v>2</v>
      </c>
      <c r="CP44" s="382" t="n">
        <f aca="false">SUMPRODUCT((Personnel!$P$9:$P$100="APM")*(Personnel!$G$9:$G$100="Yes")*(90&gt;=Personnel!$E$9:$E$100)*((Personnel!$K$9:$K$100="")+(90&lt;=Personnel!$K$9:$K$100)&gt;0))</f>
        <v>2</v>
      </c>
      <c r="CQ44" s="382" t="n">
        <f aca="false">SUMPRODUCT((Personnel!$P$9:$P$100="APM")*(Personnel!$G$9:$G$100="Yes")*(91&gt;=Personnel!$E$9:$E$100)*((Personnel!$K$9:$K$100="")+(91&lt;=Personnel!$K$9:$K$100)&gt;0))</f>
        <v>2</v>
      </c>
      <c r="CR44" s="382" t="n">
        <f aca="false">SUMPRODUCT((Personnel!$P$9:$P$100="APM")*(Personnel!$G$9:$G$100="Yes")*(92&gt;=Personnel!$E$9:$E$100)*((Personnel!$K$9:$K$100="")+(92&lt;=Personnel!$K$9:$K$100)&gt;0))</f>
        <v>2</v>
      </c>
      <c r="CS44" s="382" t="n">
        <f aca="false">SUMPRODUCT((Personnel!$P$9:$P$100="APM")*(Personnel!$G$9:$G$100="Yes")*(93&gt;=Personnel!$E$9:$E$100)*((Personnel!$K$9:$K$100="")+(93&lt;=Personnel!$K$9:$K$100)&gt;0))</f>
        <v>2</v>
      </c>
      <c r="CT44" s="382" t="n">
        <f aca="false">SUMPRODUCT((Personnel!$P$9:$P$100="APM")*(Personnel!$G$9:$G$100="Yes")*(94&gt;=Personnel!$E$9:$E$100)*((Personnel!$K$9:$K$100="")+(94&lt;=Personnel!$K$9:$K$100)&gt;0))</f>
        <v>2</v>
      </c>
      <c r="CU44" s="382" t="n">
        <f aca="false">SUMPRODUCT((Personnel!$P$9:$P$100="APM")*(Personnel!$G$9:$G$100="Yes")*(95&gt;=Personnel!$E$9:$E$100)*((Personnel!$K$9:$K$100="")+(95&lt;=Personnel!$K$9:$K$100)&gt;0))</f>
        <v>2</v>
      </c>
      <c r="CV44" s="382" t="n">
        <f aca="false">SUMPRODUCT((Personnel!$P$9:$P$100="APM")*(Personnel!$G$9:$G$100="Yes")*(96&gt;=Personnel!$E$9:$E$100)*((Personnel!$K$9:$K$100="")+(96&lt;=Personnel!$K$9:$K$100)&gt;0))</f>
        <v>2</v>
      </c>
      <c r="CW44" s="382" t="n">
        <f aca="false">SUMPRODUCT((Personnel!$P$9:$P$100="APM")*(Personnel!$G$9:$G$100="Yes")*(97&gt;=Personnel!$E$9:$E$100)*((Personnel!$K$9:$K$100="")+(97&lt;=Personnel!$K$9:$K$100)&gt;0))</f>
        <v>2</v>
      </c>
      <c r="CX44" s="382" t="n">
        <f aca="false">SUMPRODUCT((Personnel!$P$9:$P$100="APM")*(Personnel!$G$9:$G$100="Yes")*(98&gt;=Personnel!$E$9:$E$100)*((Personnel!$K$9:$K$100="")+(98&lt;=Personnel!$K$9:$K$100)&gt;0))</f>
        <v>2</v>
      </c>
      <c r="CY44" s="382" t="n">
        <f aca="false">SUMPRODUCT((Personnel!$P$9:$P$100="APM")*(Personnel!$G$9:$G$100="Yes")*(99&gt;=Personnel!$E$9:$E$100)*((Personnel!$K$9:$K$100="")+(99&lt;=Personnel!$K$9:$K$100)&gt;0))</f>
        <v>2</v>
      </c>
      <c r="CZ44" s="382" t="n">
        <f aca="false">SUMPRODUCT((Personnel!$P$9:$P$100="APM")*(Personnel!$G$9:$G$100="Yes")*(100&gt;=Personnel!$E$9:$E$100)*((Personnel!$K$9:$K$100="")+(100&lt;=Personnel!$K$9:$K$100)&gt;0))</f>
        <v>2</v>
      </c>
      <c r="DA44" s="382" t="n">
        <f aca="false">SUMPRODUCT((Personnel!$P$9:$P$100="APM")*(Personnel!$G$9:$G$100="Yes")*(101&gt;=Personnel!$E$9:$E$100)*((Personnel!$K$9:$K$100="")+(101&lt;=Personnel!$K$9:$K$100)&gt;0))</f>
        <v>2</v>
      </c>
      <c r="DB44" s="382" t="n">
        <f aca="false">SUMPRODUCT((Personnel!$P$9:$P$100="APM")*(Personnel!$G$9:$G$100="Yes")*(102&gt;=Personnel!$E$9:$E$100)*((Personnel!$K$9:$K$100="")+(102&lt;=Personnel!$K$9:$K$100)&gt;0))</f>
        <v>2</v>
      </c>
      <c r="DC44" s="382" t="n">
        <f aca="false">SUMPRODUCT((Personnel!$P$9:$P$100="APM")*(Personnel!$G$9:$G$100="Yes")*(103&gt;=Personnel!$E$9:$E$100)*((Personnel!$K$9:$K$100="")+(103&lt;=Personnel!$K$9:$K$100)&gt;0))</f>
        <v>2</v>
      </c>
      <c r="DD44" s="382" t="n">
        <f aca="false">SUMPRODUCT((Personnel!$P$9:$P$100="APM")*(Personnel!$G$9:$G$100="Yes")*(104&gt;=Personnel!$E$9:$E$100)*((Personnel!$K$9:$K$100="")+(104&lt;=Personnel!$K$9:$K$100)&gt;0))</f>
        <v>2</v>
      </c>
      <c r="DE44" s="382" t="n">
        <f aca="false">SUMPRODUCT((Personnel!$P$9:$P$100="APM")*(Personnel!$G$9:$G$100="Yes")*(105&gt;=Personnel!$E$9:$E$100)*((Personnel!$K$9:$K$100="")+(105&lt;=Personnel!$K$9:$K$100)&gt;0))</f>
        <v>2</v>
      </c>
    </row>
    <row r="45" customFormat="false" ht="13.5" hidden="false" customHeight="true" outlineLevel="0" collapsed="false">
      <c r="A45" s="110" t="s">
        <v>1374</v>
      </c>
      <c r="E45" s="382" t="n">
        <f aca="false">SUMPRODUCT((Personnel!$P$9:$P$100="PM")*(Personnel!$G$9:$G$100="Yes")*(1&gt;=Personnel!$E$9:$E$100)*((Personnel!$K$9:$K$100="")+(1&lt;=Personnel!$K$9:$K$100)&gt;0))</f>
        <v>3</v>
      </c>
      <c r="F45" s="382" t="n">
        <f aca="false">SUMPRODUCT((Personnel!$P$9:$P$100="PM")*(Personnel!$G$9:$G$100="Yes")*(2&gt;=Personnel!$E$9:$E$100)*((Personnel!$K$9:$K$100="")+(2&lt;=Personnel!$K$9:$K$100)&gt;0))</f>
        <v>3</v>
      </c>
      <c r="G45" s="382" t="n">
        <f aca="false">SUMPRODUCT((Personnel!$P$9:$P$100="PM")*(Personnel!$G$9:$G$100="Yes")*(3&gt;=Personnel!$E$9:$E$100)*((Personnel!$K$9:$K$100="")+(3&lt;=Personnel!$K$9:$K$100)&gt;0))</f>
        <v>3</v>
      </c>
      <c r="H45" s="382" t="n">
        <f aca="false">SUMPRODUCT((Personnel!$P$9:$P$100="PM")*(Personnel!$G$9:$G$100="Yes")*(4&gt;=Personnel!$E$9:$E$100)*((Personnel!$K$9:$K$100="")+(4&lt;=Personnel!$K$9:$K$100)&gt;0))</f>
        <v>3</v>
      </c>
      <c r="I45" s="382" t="n">
        <f aca="false">SUMPRODUCT((Personnel!$P$9:$P$100="PM")*(Personnel!$G$9:$G$100="Yes")*(5&gt;=Personnel!$E$9:$E$100)*((Personnel!$K$9:$K$100="")+(5&lt;=Personnel!$K$9:$K$100)&gt;0))</f>
        <v>3</v>
      </c>
      <c r="J45" s="382" t="n">
        <f aca="false">SUMPRODUCT((Personnel!$P$9:$P$100="PM")*(Personnel!$G$9:$G$100="Yes")*(6&gt;=Personnel!$E$9:$E$100)*((Personnel!$K$9:$K$100="")+(6&lt;=Personnel!$K$9:$K$100)&gt;0))</f>
        <v>3</v>
      </c>
      <c r="K45" s="382" t="n">
        <f aca="false">SUMPRODUCT((Personnel!$P$9:$P$100="PM")*(Personnel!$G$9:$G$100="Yes")*(7&gt;=Personnel!$E$9:$E$100)*((Personnel!$K$9:$K$100="")+(7&lt;=Personnel!$K$9:$K$100)&gt;0))</f>
        <v>3</v>
      </c>
      <c r="L45" s="382" t="n">
        <f aca="false">SUMPRODUCT((Personnel!$P$9:$P$100="PM")*(Personnel!$G$9:$G$100="Yes")*(8&gt;=Personnel!$E$9:$E$100)*((Personnel!$K$9:$K$100="")+(8&lt;=Personnel!$K$9:$K$100)&gt;0))</f>
        <v>3</v>
      </c>
      <c r="M45" s="382" t="n">
        <f aca="false">SUMPRODUCT((Personnel!$P$9:$P$100="PM")*(Personnel!$G$9:$G$100="Yes")*(9&gt;=Personnel!$E$9:$E$100)*((Personnel!$K$9:$K$100="")+(9&lt;=Personnel!$K$9:$K$100)&gt;0))</f>
        <v>3</v>
      </c>
      <c r="N45" s="382" t="n">
        <f aca="false">SUMPRODUCT((Personnel!$P$9:$P$100="PM")*(Personnel!$G$9:$G$100="Yes")*(10&gt;=Personnel!$E$9:$E$100)*((Personnel!$K$9:$K$100="")+(10&lt;=Personnel!$K$9:$K$100)&gt;0))</f>
        <v>3</v>
      </c>
      <c r="O45" s="382" t="n">
        <f aca="false">SUMPRODUCT((Personnel!$P$9:$P$100="PM")*(Personnel!$G$9:$G$100="Yes")*(11&gt;=Personnel!$E$9:$E$100)*((Personnel!$K$9:$K$100="")+(11&lt;=Personnel!$K$9:$K$100)&gt;0))</f>
        <v>3</v>
      </c>
      <c r="P45" s="382" t="n">
        <f aca="false">SUMPRODUCT((Personnel!$P$9:$P$100="PM")*(Personnel!$G$9:$G$100="Yes")*(12&gt;=Personnel!$E$9:$E$100)*((Personnel!$K$9:$K$100="")+(12&lt;=Personnel!$K$9:$K$100)&gt;0))</f>
        <v>3</v>
      </c>
      <c r="Q45" s="382" t="n">
        <f aca="false">SUMPRODUCT((Personnel!$P$9:$P$100="PM")*(Personnel!$G$9:$G$100="Yes")*(13&gt;=Personnel!$E$9:$E$100)*((Personnel!$K$9:$K$100="")+(13&lt;=Personnel!$K$9:$K$100)&gt;0))</f>
        <v>3</v>
      </c>
      <c r="R45" s="382" t="n">
        <f aca="false">SUMPRODUCT((Personnel!$P$9:$P$100="PM")*(Personnel!$G$9:$G$100="Yes")*(14&gt;=Personnel!$E$9:$E$100)*((Personnel!$K$9:$K$100="")+(14&lt;=Personnel!$K$9:$K$100)&gt;0))</f>
        <v>3</v>
      </c>
      <c r="S45" s="382" t="n">
        <f aca="false">SUMPRODUCT((Personnel!$P$9:$P$100="PM")*(Personnel!$G$9:$G$100="Yes")*(15&gt;=Personnel!$E$9:$E$100)*((Personnel!$K$9:$K$100="")+(15&lt;=Personnel!$K$9:$K$100)&gt;0))</f>
        <v>3</v>
      </c>
      <c r="T45" s="382" t="n">
        <f aca="false">SUMPRODUCT((Personnel!$P$9:$P$100="PM")*(Personnel!$G$9:$G$100="Yes")*(16&gt;=Personnel!$E$9:$E$100)*((Personnel!$K$9:$K$100="")+(16&lt;=Personnel!$K$9:$K$100)&gt;0))</f>
        <v>3</v>
      </c>
      <c r="U45" s="382" t="n">
        <f aca="false">SUMPRODUCT((Personnel!$P$9:$P$100="PM")*(Personnel!$G$9:$G$100="Yes")*(17&gt;=Personnel!$E$9:$E$100)*((Personnel!$K$9:$K$100="")+(17&lt;=Personnel!$K$9:$K$100)&gt;0))</f>
        <v>3</v>
      </c>
      <c r="V45" s="382" t="n">
        <f aca="false">SUMPRODUCT((Personnel!$P$9:$P$100="PM")*(Personnel!$G$9:$G$100="Yes")*(18&gt;=Personnel!$E$9:$E$100)*((Personnel!$K$9:$K$100="")+(18&lt;=Personnel!$K$9:$K$100)&gt;0))</f>
        <v>3</v>
      </c>
      <c r="W45" s="382" t="n">
        <f aca="false">SUMPRODUCT((Personnel!$P$9:$P$100="PM")*(Personnel!$G$9:$G$100="Yes")*(19&gt;=Personnel!$E$9:$E$100)*((Personnel!$K$9:$K$100="")+(19&lt;=Personnel!$K$9:$K$100)&gt;0))</f>
        <v>3</v>
      </c>
      <c r="X45" s="382" t="n">
        <f aca="false">SUMPRODUCT((Personnel!$P$9:$P$100="PM")*(Personnel!$G$9:$G$100="Yes")*(20&gt;=Personnel!$E$9:$E$100)*((Personnel!$K$9:$K$100="")+(20&lt;=Personnel!$K$9:$K$100)&gt;0))</f>
        <v>3</v>
      </c>
      <c r="Y45" s="382" t="n">
        <f aca="false">SUMPRODUCT((Personnel!$P$9:$P$100="PM")*(Personnel!$G$9:$G$100="Yes")*(21&gt;=Personnel!$E$9:$E$100)*((Personnel!$K$9:$K$100="")+(21&lt;=Personnel!$K$9:$K$100)&gt;0))</f>
        <v>3</v>
      </c>
      <c r="Z45" s="382" t="n">
        <f aca="false">SUMPRODUCT((Personnel!$P$9:$P$100="PM")*(Personnel!$G$9:$G$100="Yes")*(22&gt;=Personnel!$E$9:$E$100)*((Personnel!$K$9:$K$100="")+(22&lt;=Personnel!$K$9:$K$100)&gt;0))</f>
        <v>3</v>
      </c>
      <c r="AA45" s="382" t="n">
        <f aca="false">SUMPRODUCT((Personnel!$P$9:$P$100="PM")*(Personnel!$G$9:$G$100="Yes")*(23&gt;=Personnel!$E$9:$E$100)*((Personnel!$K$9:$K$100="")+(23&lt;=Personnel!$K$9:$K$100)&gt;0))</f>
        <v>3</v>
      </c>
      <c r="AB45" s="382" t="n">
        <f aca="false">SUMPRODUCT((Personnel!$P$9:$P$100="PM")*(Personnel!$G$9:$G$100="Yes")*(24&gt;=Personnel!$E$9:$E$100)*((Personnel!$K$9:$K$100="")+(24&lt;=Personnel!$K$9:$K$100)&gt;0))</f>
        <v>3</v>
      </c>
      <c r="AC45" s="382" t="n">
        <f aca="false">SUMPRODUCT((Personnel!$P$9:$P$100="PM")*(Personnel!$G$9:$G$100="Yes")*(25&gt;=Personnel!$E$9:$E$100)*((Personnel!$K$9:$K$100="")+(25&lt;=Personnel!$K$9:$K$100)&gt;0))</f>
        <v>3</v>
      </c>
      <c r="AD45" s="382" t="n">
        <f aca="false">SUMPRODUCT((Personnel!$P$9:$P$100="PM")*(Personnel!$G$9:$G$100="Yes")*(26&gt;=Personnel!$E$9:$E$100)*((Personnel!$K$9:$K$100="")+(26&lt;=Personnel!$K$9:$K$100)&gt;0))</f>
        <v>3</v>
      </c>
      <c r="AE45" s="382" t="n">
        <f aca="false">SUMPRODUCT((Personnel!$P$9:$P$100="PM")*(Personnel!$G$9:$G$100="Yes")*(27&gt;=Personnel!$E$9:$E$100)*((Personnel!$K$9:$K$100="")+(27&lt;=Personnel!$K$9:$K$100)&gt;0))</f>
        <v>3</v>
      </c>
      <c r="AF45" s="382" t="n">
        <f aca="false">SUMPRODUCT((Personnel!$P$9:$P$100="PM")*(Personnel!$G$9:$G$100="Yes")*(28&gt;=Personnel!$E$9:$E$100)*((Personnel!$K$9:$K$100="")+(28&lt;=Personnel!$K$9:$K$100)&gt;0))</f>
        <v>3</v>
      </c>
      <c r="AG45" s="382" t="n">
        <f aca="false">SUMPRODUCT((Personnel!$P$9:$P$100="PM")*(Personnel!$G$9:$G$100="Yes")*(29&gt;=Personnel!$E$9:$E$100)*((Personnel!$K$9:$K$100="")+(29&lt;=Personnel!$K$9:$K$100)&gt;0))</f>
        <v>3</v>
      </c>
      <c r="AH45" s="382" t="n">
        <f aca="false">SUMPRODUCT((Personnel!$P$9:$P$100="PM")*(Personnel!$G$9:$G$100="Yes")*(30&gt;=Personnel!$E$9:$E$100)*((Personnel!$K$9:$K$100="")+(30&lt;=Personnel!$K$9:$K$100)&gt;0))</f>
        <v>3</v>
      </c>
      <c r="AI45" s="382" t="n">
        <f aca="false">SUMPRODUCT((Personnel!$P$9:$P$100="PM")*(Personnel!$G$9:$G$100="Yes")*(31&gt;=Personnel!$E$9:$E$100)*((Personnel!$K$9:$K$100="")+(31&lt;=Personnel!$K$9:$K$100)&gt;0))</f>
        <v>3</v>
      </c>
      <c r="AJ45" s="382" t="n">
        <f aca="false">SUMPRODUCT((Personnel!$P$9:$P$100="PM")*(Personnel!$G$9:$G$100="Yes")*(32&gt;=Personnel!$E$9:$E$100)*((Personnel!$K$9:$K$100="")+(32&lt;=Personnel!$K$9:$K$100)&gt;0))</f>
        <v>3</v>
      </c>
      <c r="AK45" s="382" t="n">
        <f aca="false">SUMPRODUCT((Personnel!$P$9:$P$100="PM")*(Personnel!$G$9:$G$100="Yes")*(33&gt;=Personnel!$E$9:$E$100)*((Personnel!$K$9:$K$100="")+(33&lt;=Personnel!$K$9:$K$100)&gt;0))</f>
        <v>3</v>
      </c>
      <c r="AL45" s="382" t="n">
        <f aca="false">SUMPRODUCT((Personnel!$P$9:$P$100="PM")*(Personnel!$G$9:$G$100="Yes")*(34&gt;=Personnel!$E$9:$E$100)*((Personnel!$K$9:$K$100="")+(34&lt;=Personnel!$K$9:$K$100)&gt;0))</f>
        <v>3</v>
      </c>
      <c r="AM45" s="382" t="n">
        <f aca="false">SUMPRODUCT((Personnel!$P$9:$P$100="PM")*(Personnel!$G$9:$G$100="Yes")*(35&gt;=Personnel!$E$9:$E$100)*((Personnel!$K$9:$K$100="")+(35&lt;=Personnel!$K$9:$K$100)&gt;0))</f>
        <v>3</v>
      </c>
      <c r="AN45" s="382" t="n">
        <f aca="false">SUMPRODUCT((Personnel!$P$9:$P$100="PM")*(Personnel!$G$9:$G$100="Yes")*(36&gt;=Personnel!$E$9:$E$100)*((Personnel!$K$9:$K$100="")+(36&lt;=Personnel!$K$9:$K$100)&gt;0))</f>
        <v>3</v>
      </c>
      <c r="AO45" s="382" t="n">
        <f aca="false">SUMPRODUCT((Personnel!$P$9:$P$100="PM")*(Personnel!$G$9:$G$100="Yes")*(37&gt;=Personnel!$E$9:$E$100)*((Personnel!$K$9:$K$100="")+(37&lt;=Personnel!$K$9:$K$100)&gt;0))</f>
        <v>3</v>
      </c>
      <c r="AP45" s="382" t="n">
        <f aca="false">SUMPRODUCT((Personnel!$P$9:$P$100="PM")*(Personnel!$G$9:$G$100="Yes")*(38&gt;=Personnel!$E$9:$E$100)*((Personnel!$K$9:$K$100="")+(38&lt;=Personnel!$K$9:$K$100)&gt;0))</f>
        <v>3</v>
      </c>
      <c r="AQ45" s="382" t="n">
        <f aca="false">SUMPRODUCT((Personnel!$P$9:$P$100="PM")*(Personnel!$G$9:$G$100="Yes")*(39&gt;=Personnel!$E$9:$E$100)*((Personnel!$K$9:$K$100="")+(39&lt;=Personnel!$K$9:$K$100)&gt;0))</f>
        <v>3</v>
      </c>
      <c r="AR45" s="382" t="n">
        <f aca="false">SUMPRODUCT((Personnel!$P$9:$P$100="PM")*(Personnel!$G$9:$G$100="Yes")*(40&gt;=Personnel!$E$9:$E$100)*((Personnel!$K$9:$K$100="")+(40&lt;=Personnel!$K$9:$K$100)&gt;0))</f>
        <v>3</v>
      </c>
      <c r="AS45" s="382" t="n">
        <f aca="false">SUMPRODUCT((Personnel!$P$9:$P$100="PM")*(Personnel!$G$9:$G$100="Yes")*(41&gt;=Personnel!$E$9:$E$100)*((Personnel!$K$9:$K$100="")+(41&lt;=Personnel!$K$9:$K$100)&gt;0))</f>
        <v>3</v>
      </c>
      <c r="AT45" s="382" t="n">
        <f aca="false">SUMPRODUCT((Personnel!$P$9:$P$100="PM")*(Personnel!$G$9:$G$100="Yes")*(42&gt;=Personnel!$E$9:$E$100)*((Personnel!$K$9:$K$100="")+(42&lt;=Personnel!$K$9:$K$100)&gt;0))</f>
        <v>3</v>
      </c>
      <c r="AU45" s="382" t="n">
        <f aca="false">SUMPRODUCT((Personnel!$P$9:$P$100="PM")*(Personnel!$G$9:$G$100="Yes")*(43&gt;=Personnel!$E$9:$E$100)*((Personnel!$K$9:$K$100="")+(43&lt;=Personnel!$K$9:$K$100)&gt;0))</f>
        <v>3</v>
      </c>
      <c r="AV45" s="382" t="n">
        <f aca="false">SUMPRODUCT((Personnel!$P$9:$P$100="PM")*(Personnel!$G$9:$G$100="Yes")*(44&gt;=Personnel!$E$9:$E$100)*((Personnel!$K$9:$K$100="")+(44&lt;=Personnel!$K$9:$K$100)&gt;0))</f>
        <v>3</v>
      </c>
      <c r="AW45" s="382" t="n">
        <f aca="false">SUMPRODUCT((Personnel!$P$9:$P$100="PM")*(Personnel!$G$9:$G$100="Yes")*(45&gt;=Personnel!$E$9:$E$100)*((Personnel!$K$9:$K$100="")+(45&lt;=Personnel!$K$9:$K$100)&gt;0))</f>
        <v>3</v>
      </c>
      <c r="AX45" s="382" t="n">
        <f aca="false">SUMPRODUCT((Personnel!$P$9:$P$100="PM")*(Personnel!$G$9:$G$100="Yes")*(46&gt;=Personnel!$E$9:$E$100)*((Personnel!$K$9:$K$100="")+(46&lt;=Personnel!$K$9:$K$100)&gt;0))</f>
        <v>3</v>
      </c>
      <c r="AY45" s="382" t="n">
        <f aca="false">SUMPRODUCT((Personnel!$P$9:$P$100="PM")*(Personnel!$G$9:$G$100="Yes")*(47&gt;=Personnel!$E$9:$E$100)*((Personnel!$K$9:$K$100="")+(47&lt;=Personnel!$K$9:$K$100)&gt;0))</f>
        <v>3</v>
      </c>
      <c r="AZ45" s="382" t="n">
        <f aca="false">SUMPRODUCT((Personnel!$P$9:$P$100="PM")*(Personnel!$G$9:$G$100="Yes")*(48&gt;=Personnel!$E$9:$E$100)*((Personnel!$K$9:$K$100="")+(48&lt;=Personnel!$K$9:$K$100)&gt;0))</f>
        <v>3</v>
      </c>
      <c r="BA45" s="382" t="n">
        <f aca="false">SUMPRODUCT((Personnel!$P$9:$P$100="PM")*(Personnel!$G$9:$G$100="Yes")*(49&gt;=Personnel!$E$9:$E$100)*((Personnel!$K$9:$K$100="")+(49&lt;=Personnel!$K$9:$K$100)&gt;0))</f>
        <v>3</v>
      </c>
      <c r="BB45" s="382" t="n">
        <f aca="false">SUMPRODUCT((Personnel!$P$9:$P$100="PM")*(Personnel!$G$9:$G$100="Yes")*(50&gt;=Personnel!$E$9:$E$100)*((Personnel!$K$9:$K$100="")+(50&lt;=Personnel!$K$9:$K$100)&gt;0))</f>
        <v>3</v>
      </c>
      <c r="BC45" s="382" t="n">
        <f aca="false">SUMPRODUCT((Personnel!$P$9:$P$100="PM")*(Personnel!$G$9:$G$100="Yes")*(51&gt;=Personnel!$E$9:$E$100)*((Personnel!$K$9:$K$100="")+(51&lt;=Personnel!$K$9:$K$100)&gt;0))</f>
        <v>3</v>
      </c>
      <c r="BD45" s="382" t="n">
        <f aca="false">SUMPRODUCT((Personnel!$P$9:$P$100="PM")*(Personnel!$G$9:$G$100="Yes")*(52&gt;=Personnel!$E$9:$E$100)*((Personnel!$K$9:$K$100="")+(52&lt;=Personnel!$K$9:$K$100)&gt;0))</f>
        <v>3</v>
      </c>
      <c r="BE45" s="382" t="n">
        <f aca="false">SUMPRODUCT((Personnel!$P$9:$P$100="PM")*(Personnel!$G$9:$G$100="Yes")*(53&gt;=Personnel!$E$9:$E$100)*((Personnel!$K$9:$K$100="")+(53&lt;=Personnel!$K$9:$K$100)&gt;0))</f>
        <v>3</v>
      </c>
      <c r="BF45" s="382" t="n">
        <f aca="false">SUMPRODUCT((Personnel!$P$9:$P$100="PM")*(Personnel!$G$9:$G$100="Yes")*(54&gt;=Personnel!$E$9:$E$100)*((Personnel!$K$9:$K$100="")+(54&lt;=Personnel!$K$9:$K$100)&gt;0))</f>
        <v>3</v>
      </c>
      <c r="BG45" s="382" t="n">
        <f aca="false">SUMPRODUCT((Personnel!$P$9:$P$100="PM")*(Personnel!$G$9:$G$100="Yes")*(55&gt;=Personnel!$E$9:$E$100)*((Personnel!$K$9:$K$100="")+(55&lt;=Personnel!$K$9:$K$100)&gt;0))</f>
        <v>3</v>
      </c>
      <c r="BH45" s="382" t="n">
        <f aca="false">SUMPRODUCT((Personnel!$P$9:$P$100="PM")*(Personnel!$G$9:$G$100="Yes")*(56&gt;=Personnel!$E$9:$E$100)*((Personnel!$K$9:$K$100="")+(56&lt;=Personnel!$K$9:$K$100)&gt;0))</f>
        <v>3</v>
      </c>
      <c r="BI45" s="382" t="n">
        <f aca="false">SUMPRODUCT((Personnel!$P$9:$P$100="PM")*(Personnel!$G$9:$G$100="Yes")*(57&gt;=Personnel!$E$9:$E$100)*((Personnel!$K$9:$K$100="")+(57&lt;=Personnel!$K$9:$K$100)&gt;0))</f>
        <v>3</v>
      </c>
      <c r="BJ45" s="382" t="n">
        <f aca="false">SUMPRODUCT((Personnel!$P$9:$P$100="PM")*(Personnel!$G$9:$G$100="Yes")*(58&gt;=Personnel!$E$9:$E$100)*((Personnel!$K$9:$K$100="")+(58&lt;=Personnel!$K$9:$K$100)&gt;0))</f>
        <v>3</v>
      </c>
      <c r="BK45" s="382" t="n">
        <f aca="false">SUMPRODUCT((Personnel!$P$9:$P$100="PM")*(Personnel!$G$9:$G$100="Yes")*(59&gt;=Personnel!$E$9:$E$100)*((Personnel!$K$9:$K$100="")+(59&lt;=Personnel!$K$9:$K$100)&gt;0))</f>
        <v>3</v>
      </c>
      <c r="BL45" s="382" t="n">
        <f aca="false">SUMPRODUCT((Personnel!$P$9:$P$100="PM")*(Personnel!$G$9:$G$100="Yes")*(60&gt;=Personnel!$E$9:$E$100)*((Personnel!$K$9:$K$100="")+(60&lt;=Personnel!$K$9:$K$100)&gt;0))</f>
        <v>3</v>
      </c>
      <c r="BM45" s="382" t="n">
        <f aca="false">SUMPRODUCT((Personnel!$P$9:$P$100="PM")*(Personnel!$G$9:$G$100="Yes")*(61&gt;=Personnel!$E$9:$E$100)*((Personnel!$K$9:$K$100="")+(61&lt;=Personnel!$K$9:$K$100)&gt;0))</f>
        <v>3</v>
      </c>
      <c r="BN45" s="382" t="n">
        <f aca="false">SUMPRODUCT((Personnel!$P$9:$P$100="PM")*(Personnel!$G$9:$G$100="Yes")*(62&gt;=Personnel!$E$9:$E$100)*((Personnel!$K$9:$K$100="")+(62&lt;=Personnel!$K$9:$K$100)&gt;0))</f>
        <v>3</v>
      </c>
      <c r="BO45" s="382" t="n">
        <f aca="false">SUMPRODUCT((Personnel!$P$9:$P$100="PM")*(Personnel!$G$9:$G$100="Yes")*(63&gt;=Personnel!$E$9:$E$100)*((Personnel!$K$9:$K$100="")+(63&lt;=Personnel!$K$9:$K$100)&gt;0))</f>
        <v>3</v>
      </c>
      <c r="BP45" s="382" t="n">
        <f aca="false">SUMPRODUCT((Personnel!$P$9:$P$100="PM")*(Personnel!$G$9:$G$100="Yes")*(64&gt;=Personnel!$E$9:$E$100)*((Personnel!$K$9:$K$100="")+(64&lt;=Personnel!$K$9:$K$100)&gt;0))</f>
        <v>3</v>
      </c>
      <c r="BQ45" s="382" t="n">
        <f aca="false">SUMPRODUCT((Personnel!$P$9:$P$100="PM")*(Personnel!$G$9:$G$100="Yes")*(65&gt;=Personnel!$E$9:$E$100)*((Personnel!$K$9:$K$100="")+(65&lt;=Personnel!$K$9:$K$100)&gt;0))</f>
        <v>3</v>
      </c>
      <c r="BR45" s="382" t="n">
        <f aca="false">SUMPRODUCT((Personnel!$P$9:$P$100="PM")*(Personnel!$G$9:$G$100="Yes")*(66&gt;=Personnel!$E$9:$E$100)*((Personnel!$K$9:$K$100="")+(66&lt;=Personnel!$K$9:$K$100)&gt;0))</f>
        <v>3</v>
      </c>
      <c r="BS45" s="382" t="n">
        <f aca="false">SUMPRODUCT((Personnel!$P$9:$P$100="PM")*(Personnel!$G$9:$G$100="Yes")*(67&gt;=Personnel!$E$9:$E$100)*((Personnel!$K$9:$K$100="")+(67&lt;=Personnel!$K$9:$K$100)&gt;0))</f>
        <v>3</v>
      </c>
      <c r="BT45" s="382" t="n">
        <f aca="false">SUMPRODUCT((Personnel!$P$9:$P$100="PM")*(Personnel!$G$9:$G$100="Yes")*(68&gt;=Personnel!$E$9:$E$100)*((Personnel!$K$9:$K$100="")+(68&lt;=Personnel!$K$9:$K$100)&gt;0))</f>
        <v>3</v>
      </c>
      <c r="BU45" s="382" t="n">
        <f aca="false">SUMPRODUCT((Personnel!$P$9:$P$100="PM")*(Personnel!$G$9:$G$100="Yes")*(69&gt;=Personnel!$E$9:$E$100)*((Personnel!$K$9:$K$100="")+(69&lt;=Personnel!$K$9:$K$100)&gt;0))</f>
        <v>3</v>
      </c>
      <c r="BV45" s="382" t="n">
        <f aca="false">SUMPRODUCT((Personnel!$P$9:$P$100="PM")*(Personnel!$G$9:$G$100="Yes")*(70&gt;=Personnel!$E$9:$E$100)*((Personnel!$K$9:$K$100="")+(70&lt;=Personnel!$K$9:$K$100)&gt;0))</f>
        <v>3</v>
      </c>
      <c r="BW45" s="382" t="n">
        <f aca="false">SUMPRODUCT((Personnel!$P$9:$P$100="PM")*(Personnel!$G$9:$G$100="Yes")*(71&gt;=Personnel!$E$9:$E$100)*((Personnel!$K$9:$K$100="")+(71&lt;=Personnel!$K$9:$K$100)&gt;0))</f>
        <v>3</v>
      </c>
      <c r="BX45" s="382" t="n">
        <f aca="false">SUMPRODUCT((Personnel!$P$9:$P$100="PM")*(Personnel!$G$9:$G$100="Yes")*(72&gt;=Personnel!$E$9:$E$100)*((Personnel!$K$9:$K$100="")+(72&lt;=Personnel!$K$9:$K$100)&gt;0))</f>
        <v>3</v>
      </c>
      <c r="BY45" s="382" t="n">
        <f aca="false">SUMPRODUCT((Personnel!$P$9:$P$100="PM")*(Personnel!$G$9:$G$100="Yes")*(73&gt;=Personnel!$E$9:$E$100)*((Personnel!$K$9:$K$100="")+(73&lt;=Personnel!$K$9:$K$100)&gt;0))</f>
        <v>3</v>
      </c>
      <c r="BZ45" s="382" t="n">
        <f aca="false">SUMPRODUCT((Personnel!$P$9:$P$100="PM")*(Personnel!$G$9:$G$100="Yes")*(74&gt;=Personnel!$E$9:$E$100)*((Personnel!$K$9:$K$100="")+(74&lt;=Personnel!$K$9:$K$100)&gt;0))</f>
        <v>3</v>
      </c>
      <c r="CA45" s="382" t="n">
        <f aca="false">SUMPRODUCT((Personnel!$P$9:$P$100="PM")*(Personnel!$G$9:$G$100="Yes")*(75&gt;=Personnel!$E$9:$E$100)*((Personnel!$K$9:$K$100="")+(75&lt;=Personnel!$K$9:$K$100)&gt;0))</f>
        <v>3</v>
      </c>
      <c r="CB45" s="382" t="n">
        <f aca="false">SUMPRODUCT((Personnel!$P$9:$P$100="PM")*(Personnel!$G$9:$G$100="Yes")*(76&gt;=Personnel!$E$9:$E$100)*((Personnel!$K$9:$K$100="")+(76&lt;=Personnel!$K$9:$K$100)&gt;0))</f>
        <v>3</v>
      </c>
      <c r="CC45" s="382" t="n">
        <f aca="false">SUMPRODUCT((Personnel!$P$9:$P$100="PM")*(Personnel!$G$9:$G$100="Yes")*(77&gt;=Personnel!$E$9:$E$100)*((Personnel!$K$9:$K$100="")+(77&lt;=Personnel!$K$9:$K$100)&gt;0))</f>
        <v>3</v>
      </c>
      <c r="CD45" s="382" t="n">
        <f aca="false">SUMPRODUCT((Personnel!$P$9:$P$100="PM")*(Personnel!$G$9:$G$100="Yes")*(78&gt;=Personnel!$E$9:$E$100)*((Personnel!$K$9:$K$100="")+(78&lt;=Personnel!$K$9:$K$100)&gt;0))</f>
        <v>3</v>
      </c>
      <c r="CE45" s="382" t="n">
        <f aca="false">SUMPRODUCT((Personnel!$P$9:$P$100="PM")*(Personnel!$G$9:$G$100="Yes")*(79&gt;=Personnel!$E$9:$E$100)*((Personnel!$K$9:$K$100="")+(79&lt;=Personnel!$K$9:$K$100)&gt;0))</f>
        <v>3</v>
      </c>
      <c r="CF45" s="382" t="n">
        <f aca="false">SUMPRODUCT((Personnel!$P$9:$P$100="PM")*(Personnel!$G$9:$G$100="Yes")*(80&gt;=Personnel!$E$9:$E$100)*((Personnel!$K$9:$K$100="")+(80&lt;=Personnel!$K$9:$K$100)&gt;0))</f>
        <v>3</v>
      </c>
      <c r="CG45" s="382" t="n">
        <f aca="false">SUMPRODUCT((Personnel!$P$9:$P$100="PM")*(Personnel!$G$9:$G$100="Yes")*(81&gt;=Personnel!$E$9:$E$100)*((Personnel!$K$9:$K$100="")+(81&lt;=Personnel!$K$9:$K$100)&gt;0))</f>
        <v>3</v>
      </c>
      <c r="CH45" s="382" t="n">
        <f aca="false">SUMPRODUCT((Personnel!$P$9:$P$100="PM")*(Personnel!$G$9:$G$100="Yes")*(82&gt;=Personnel!$E$9:$E$100)*((Personnel!$K$9:$K$100="")+(82&lt;=Personnel!$K$9:$K$100)&gt;0))</f>
        <v>3</v>
      </c>
      <c r="CI45" s="382" t="n">
        <f aca="false">SUMPRODUCT((Personnel!$P$9:$P$100="PM")*(Personnel!$G$9:$G$100="Yes")*(83&gt;=Personnel!$E$9:$E$100)*((Personnel!$K$9:$K$100="")+(83&lt;=Personnel!$K$9:$K$100)&gt;0))</f>
        <v>3</v>
      </c>
      <c r="CJ45" s="382" t="n">
        <f aca="false">SUMPRODUCT((Personnel!$P$9:$P$100="PM")*(Personnel!$G$9:$G$100="Yes")*(84&gt;=Personnel!$E$9:$E$100)*((Personnel!$K$9:$K$100="")+(84&lt;=Personnel!$K$9:$K$100)&gt;0))</f>
        <v>3</v>
      </c>
      <c r="CK45" s="382" t="n">
        <f aca="false">SUMPRODUCT((Personnel!$P$9:$P$100="PM")*(Personnel!$G$9:$G$100="Yes")*(85&gt;=Personnel!$E$9:$E$100)*((Personnel!$K$9:$K$100="")+(85&lt;=Personnel!$K$9:$K$100)&gt;0))</f>
        <v>3</v>
      </c>
      <c r="CL45" s="382" t="n">
        <f aca="false">SUMPRODUCT((Personnel!$P$9:$P$100="PM")*(Personnel!$G$9:$G$100="Yes")*(86&gt;=Personnel!$E$9:$E$100)*((Personnel!$K$9:$K$100="")+(86&lt;=Personnel!$K$9:$K$100)&gt;0))</f>
        <v>3</v>
      </c>
      <c r="CM45" s="382" t="n">
        <f aca="false">SUMPRODUCT((Personnel!$P$9:$P$100="PM")*(Personnel!$G$9:$G$100="Yes")*(87&gt;=Personnel!$E$9:$E$100)*((Personnel!$K$9:$K$100="")+(87&lt;=Personnel!$K$9:$K$100)&gt;0))</f>
        <v>3</v>
      </c>
      <c r="CN45" s="382" t="n">
        <f aca="false">SUMPRODUCT((Personnel!$P$9:$P$100="PM")*(Personnel!$G$9:$G$100="Yes")*(88&gt;=Personnel!$E$9:$E$100)*((Personnel!$K$9:$K$100="")+(88&lt;=Personnel!$K$9:$K$100)&gt;0))</f>
        <v>3</v>
      </c>
      <c r="CO45" s="382" t="n">
        <f aca="false">SUMPRODUCT((Personnel!$P$9:$P$100="PM")*(Personnel!$G$9:$G$100="Yes")*(89&gt;=Personnel!$E$9:$E$100)*((Personnel!$K$9:$K$100="")+(89&lt;=Personnel!$K$9:$K$100)&gt;0))</f>
        <v>3</v>
      </c>
      <c r="CP45" s="382" t="n">
        <f aca="false">SUMPRODUCT((Personnel!$P$9:$P$100="PM")*(Personnel!$G$9:$G$100="Yes")*(90&gt;=Personnel!$E$9:$E$100)*((Personnel!$K$9:$K$100="")+(90&lt;=Personnel!$K$9:$K$100)&gt;0))</f>
        <v>3</v>
      </c>
      <c r="CQ45" s="382" t="n">
        <f aca="false">SUMPRODUCT((Personnel!$P$9:$P$100="PM")*(Personnel!$G$9:$G$100="Yes")*(91&gt;=Personnel!$E$9:$E$100)*((Personnel!$K$9:$K$100="")+(91&lt;=Personnel!$K$9:$K$100)&gt;0))</f>
        <v>3</v>
      </c>
      <c r="CR45" s="382" t="n">
        <f aca="false">SUMPRODUCT((Personnel!$P$9:$P$100="PM")*(Personnel!$G$9:$G$100="Yes")*(92&gt;=Personnel!$E$9:$E$100)*((Personnel!$K$9:$K$100="")+(92&lt;=Personnel!$K$9:$K$100)&gt;0))</f>
        <v>3</v>
      </c>
      <c r="CS45" s="382" t="n">
        <f aca="false">SUMPRODUCT((Personnel!$P$9:$P$100="PM")*(Personnel!$G$9:$G$100="Yes")*(93&gt;=Personnel!$E$9:$E$100)*((Personnel!$K$9:$K$100="")+(93&lt;=Personnel!$K$9:$K$100)&gt;0))</f>
        <v>3</v>
      </c>
      <c r="CT45" s="382" t="n">
        <f aca="false">SUMPRODUCT((Personnel!$P$9:$P$100="PM")*(Personnel!$G$9:$G$100="Yes")*(94&gt;=Personnel!$E$9:$E$100)*((Personnel!$K$9:$K$100="")+(94&lt;=Personnel!$K$9:$K$100)&gt;0))</f>
        <v>3</v>
      </c>
      <c r="CU45" s="382" t="n">
        <f aca="false">SUMPRODUCT((Personnel!$P$9:$P$100="PM")*(Personnel!$G$9:$G$100="Yes")*(95&gt;=Personnel!$E$9:$E$100)*((Personnel!$K$9:$K$100="")+(95&lt;=Personnel!$K$9:$K$100)&gt;0))</f>
        <v>3</v>
      </c>
      <c r="CV45" s="382" t="n">
        <f aca="false">SUMPRODUCT((Personnel!$P$9:$P$100="PM")*(Personnel!$G$9:$G$100="Yes")*(96&gt;=Personnel!$E$9:$E$100)*((Personnel!$K$9:$K$100="")+(96&lt;=Personnel!$K$9:$K$100)&gt;0))</f>
        <v>3</v>
      </c>
      <c r="CW45" s="382" t="n">
        <f aca="false">SUMPRODUCT((Personnel!$P$9:$P$100="PM")*(Personnel!$G$9:$G$100="Yes")*(97&gt;=Personnel!$E$9:$E$100)*((Personnel!$K$9:$K$100="")+(97&lt;=Personnel!$K$9:$K$100)&gt;0))</f>
        <v>3</v>
      </c>
      <c r="CX45" s="382" t="n">
        <f aca="false">SUMPRODUCT((Personnel!$P$9:$P$100="PM")*(Personnel!$G$9:$G$100="Yes")*(98&gt;=Personnel!$E$9:$E$100)*((Personnel!$K$9:$K$100="")+(98&lt;=Personnel!$K$9:$K$100)&gt;0))</f>
        <v>3</v>
      </c>
      <c r="CY45" s="382" t="n">
        <f aca="false">SUMPRODUCT((Personnel!$P$9:$P$100="PM")*(Personnel!$G$9:$G$100="Yes")*(99&gt;=Personnel!$E$9:$E$100)*((Personnel!$K$9:$K$100="")+(99&lt;=Personnel!$K$9:$K$100)&gt;0))</f>
        <v>3</v>
      </c>
      <c r="CZ45" s="382" t="n">
        <f aca="false">SUMPRODUCT((Personnel!$P$9:$P$100="PM")*(Personnel!$G$9:$G$100="Yes")*(100&gt;=Personnel!$E$9:$E$100)*((Personnel!$K$9:$K$100="")+(100&lt;=Personnel!$K$9:$K$100)&gt;0))</f>
        <v>3</v>
      </c>
      <c r="DA45" s="382" t="n">
        <f aca="false">SUMPRODUCT((Personnel!$P$9:$P$100="PM")*(Personnel!$G$9:$G$100="Yes")*(101&gt;=Personnel!$E$9:$E$100)*((Personnel!$K$9:$K$100="")+(101&lt;=Personnel!$K$9:$K$100)&gt;0))</f>
        <v>3</v>
      </c>
      <c r="DB45" s="382" t="n">
        <f aca="false">SUMPRODUCT((Personnel!$P$9:$P$100="PM")*(Personnel!$G$9:$G$100="Yes")*(102&gt;=Personnel!$E$9:$E$100)*((Personnel!$K$9:$K$100="")+(102&lt;=Personnel!$K$9:$K$100)&gt;0))</f>
        <v>3</v>
      </c>
      <c r="DC45" s="382" t="n">
        <f aca="false">SUMPRODUCT((Personnel!$P$9:$P$100="PM")*(Personnel!$G$9:$G$100="Yes")*(103&gt;=Personnel!$E$9:$E$100)*((Personnel!$K$9:$K$100="")+(103&lt;=Personnel!$K$9:$K$100)&gt;0))</f>
        <v>3</v>
      </c>
      <c r="DD45" s="382" t="n">
        <f aca="false">SUMPRODUCT((Personnel!$P$9:$P$100="PM")*(Personnel!$G$9:$G$100="Yes")*(104&gt;=Personnel!$E$9:$E$100)*((Personnel!$K$9:$K$100="")+(104&lt;=Personnel!$K$9:$K$100)&gt;0))</f>
        <v>3</v>
      </c>
      <c r="DE45" s="382" t="n">
        <f aca="false">SUMPRODUCT((Personnel!$P$9:$P$100="PM")*(Personnel!$G$9:$G$100="Yes")*(105&gt;=Personnel!$E$9:$E$100)*((Personnel!$K$9:$K$100="")+(105&lt;=Personnel!$K$9:$K$100)&gt;0))</f>
        <v>3</v>
      </c>
    </row>
    <row r="46" customFormat="false" ht="13.5" hidden="false" customHeight="true" outlineLevel="0" collapsed="false">
      <c r="A46" s="110" t="s">
        <v>1375</v>
      </c>
      <c r="E46" s="382" t="n">
        <f aca="false">SUMPRODUCT((Personnel!$P$9:$P$100="FE")*(Personnel!$G$9:$G$100="Yes")*(1&gt;=Personnel!$E$9:$E$100)*((Personnel!$K$9:$K$100="")+(1&lt;=Personnel!$K$9:$K$100)&gt;0))</f>
        <v>0</v>
      </c>
      <c r="F46" s="382" t="n">
        <f aca="false">SUMPRODUCT((Personnel!$P$9:$P$100="FE")*(Personnel!$G$9:$G$100="Yes")*(2&gt;=Personnel!$E$9:$E$100)*((Personnel!$K$9:$K$100="")+(2&lt;=Personnel!$K$9:$K$100)&gt;0))</f>
        <v>0</v>
      </c>
      <c r="G46" s="382" t="n">
        <f aca="false">SUMPRODUCT((Personnel!$P$9:$P$100="FE")*(Personnel!$G$9:$G$100="Yes")*(3&gt;=Personnel!$E$9:$E$100)*((Personnel!$K$9:$K$100="")+(3&lt;=Personnel!$K$9:$K$100)&gt;0))</f>
        <v>0</v>
      </c>
      <c r="H46" s="382" t="n">
        <f aca="false">SUMPRODUCT((Personnel!$P$9:$P$100="FE")*(Personnel!$G$9:$G$100="Yes")*(4&gt;=Personnel!$E$9:$E$100)*((Personnel!$K$9:$K$100="")+(4&lt;=Personnel!$K$9:$K$100)&gt;0))</f>
        <v>0</v>
      </c>
      <c r="I46" s="382" t="n">
        <f aca="false">SUMPRODUCT((Personnel!$P$9:$P$100="FE")*(Personnel!$G$9:$G$100="Yes")*(5&gt;=Personnel!$E$9:$E$100)*((Personnel!$K$9:$K$100="")+(5&lt;=Personnel!$K$9:$K$100)&gt;0))</f>
        <v>0</v>
      </c>
      <c r="J46" s="382" t="n">
        <f aca="false">SUMPRODUCT((Personnel!$P$9:$P$100="FE")*(Personnel!$G$9:$G$100="Yes")*(6&gt;=Personnel!$E$9:$E$100)*((Personnel!$K$9:$K$100="")+(6&lt;=Personnel!$K$9:$K$100)&gt;0))</f>
        <v>0</v>
      </c>
      <c r="K46" s="382" t="n">
        <f aca="false">SUMPRODUCT((Personnel!$P$9:$P$100="FE")*(Personnel!$G$9:$G$100="Yes")*(7&gt;=Personnel!$E$9:$E$100)*((Personnel!$K$9:$K$100="")+(7&lt;=Personnel!$K$9:$K$100)&gt;0))</f>
        <v>0</v>
      </c>
      <c r="L46" s="382" t="n">
        <f aca="false">SUMPRODUCT((Personnel!$P$9:$P$100="FE")*(Personnel!$G$9:$G$100="Yes")*(8&gt;=Personnel!$E$9:$E$100)*((Personnel!$K$9:$K$100="")+(8&lt;=Personnel!$K$9:$K$100)&gt;0))</f>
        <v>0</v>
      </c>
      <c r="M46" s="382" t="n">
        <f aca="false">SUMPRODUCT((Personnel!$P$9:$P$100="FE")*(Personnel!$G$9:$G$100="Yes")*(9&gt;=Personnel!$E$9:$E$100)*((Personnel!$K$9:$K$100="")+(9&lt;=Personnel!$K$9:$K$100)&gt;0))</f>
        <v>0</v>
      </c>
      <c r="N46" s="382" t="n">
        <f aca="false">SUMPRODUCT((Personnel!$P$9:$P$100="FE")*(Personnel!$G$9:$G$100="Yes")*(10&gt;=Personnel!$E$9:$E$100)*((Personnel!$K$9:$K$100="")+(10&lt;=Personnel!$K$9:$K$100)&gt;0))</f>
        <v>0</v>
      </c>
      <c r="O46" s="382" t="n">
        <f aca="false">SUMPRODUCT((Personnel!$P$9:$P$100="FE")*(Personnel!$G$9:$G$100="Yes")*(11&gt;=Personnel!$E$9:$E$100)*((Personnel!$K$9:$K$100="")+(11&lt;=Personnel!$K$9:$K$100)&gt;0))</f>
        <v>0</v>
      </c>
      <c r="P46" s="382" t="n">
        <f aca="false">SUMPRODUCT((Personnel!$P$9:$P$100="FE")*(Personnel!$G$9:$G$100="Yes")*(12&gt;=Personnel!$E$9:$E$100)*((Personnel!$K$9:$K$100="")+(12&lt;=Personnel!$K$9:$K$100)&gt;0))</f>
        <v>0</v>
      </c>
      <c r="Q46" s="382" t="n">
        <f aca="false">SUMPRODUCT((Personnel!$P$9:$P$100="FE")*(Personnel!$G$9:$G$100="Yes")*(13&gt;=Personnel!$E$9:$E$100)*((Personnel!$K$9:$K$100="")+(13&lt;=Personnel!$K$9:$K$100)&gt;0))</f>
        <v>0</v>
      </c>
      <c r="R46" s="382" t="n">
        <f aca="false">SUMPRODUCT((Personnel!$P$9:$P$100="FE")*(Personnel!$G$9:$G$100="Yes")*(14&gt;=Personnel!$E$9:$E$100)*((Personnel!$K$9:$K$100="")+(14&lt;=Personnel!$K$9:$K$100)&gt;0))</f>
        <v>0</v>
      </c>
      <c r="S46" s="382" t="n">
        <f aca="false">SUMPRODUCT((Personnel!$P$9:$P$100="FE")*(Personnel!$G$9:$G$100="Yes")*(15&gt;=Personnel!$E$9:$E$100)*((Personnel!$K$9:$K$100="")+(15&lt;=Personnel!$K$9:$K$100)&gt;0))</f>
        <v>0</v>
      </c>
      <c r="T46" s="382" t="n">
        <f aca="false">SUMPRODUCT((Personnel!$P$9:$P$100="FE")*(Personnel!$G$9:$G$100="Yes")*(16&gt;=Personnel!$E$9:$E$100)*((Personnel!$K$9:$K$100="")+(16&lt;=Personnel!$K$9:$K$100)&gt;0))</f>
        <v>0</v>
      </c>
      <c r="U46" s="382" t="n">
        <f aca="false">SUMPRODUCT((Personnel!$P$9:$P$100="FE")*(Personnel!$G$9:$G$100="Yes")*(17&gt;=Personnel!$E$9:$E$100)*((Personnel!$K$9:$K$100="")+(17&lt;=Personnel!$K$9:$K$100)&gt;0))</f>
        <v>0</v>
      </c>
      <c r="V46" s="382" t="n">
        <f aca="false">SUMPRODUCT((Personnel!$P$9:$P$100="FE")*(Personnel!$G$9:$G$100="Yes")*(18&gt;=Personnel!$E$9:$E$100)*((Personnel!$K$9:$K$100="")+(18&lt;=Personnel!$K$9:$K$100)&gt;0))</f>
        <v>0</v>
      </c>
      <c r="W46" s="382" t="n">
        <f aca="false">SUMPRODUCT((Personnel!$P$9:$P$100="FE")*(Personnel!$G$9:$G$100="Yes")*(19&gt;=Personnel!$E$9:$E$100)*((Personnel!$K$9:$K$100="")+(19&lt;=Personnel!$K$9:$K$100)&gt;0))</f>
        <v>0</v>
      </c>
      <c r="X46" s="382" t="n">
        <f aca="false">SUMPRODUCT((Personnel!$P$9:$P$100="FE")*(Personnel!$G$9:$G$100="Yes")*(20&gt;=Personnel!$E$9:$E$100)*((Personnel!$K$9:$K$100="")+(20&lt;=Personnel!$K$9:$K$100)&gt;0))</f>
        <v>0</v>
      </c>
      <c r="Y46" s="382" t="n">
        <f aca="false">SUMPRODUCT((Personnel!$P$9:$P$100="FE")*(Personnel!$G$9:$G$100="Yes")*(21&gt;=Personnel!$E$9:$E$100)*((Personnel!$K$9:$K$100="")+(21&lt;=Personnel!$K$9:$K$100)&gt;0))</f>
        <v>0</v>
      </c>
      <c r="Z46" s="382" t="n">
        <f aca="false">SUMPRODUCT((Personnel!$P$9:$P$100="FE")*(Personnel!$G$9:$G$100="Yes")*(22&gt;=Personnel!$E$9:$E$100)*((Personnel!$K$9:$K$100="")+(22&lt;=Personnel!$K$9:$K$100)&gt;0))</f>
        <v>0</v>
      </c>
      <c r="AA46" s="382" t="n">
        <f aca="false">SUMPRODUCT((Personnel!$P$9:$P$100="FE")*(Personnel!$G$9:$G$100="Yes")*(23&gt;=Personnel!$E$9:$E$100)*((Personnel!$K$9:$K$100="")+(23&lt;=Personnel!$K$9:$K$100)&gt;0))</f>
        <v>0</v>
      </c>
      <c r="AB46" s="382" t="n">
        <f aca="false">SUMPRODUCT((Personnel!$P$9:$P$100="FE")*(Personnel!$G$9:$G$100="Yes")*(24&gt;=Personnel!$E$9:$E$100)*((Personnel!$K$9:$K$100="")+(24&lt;=Personnel!$K$9:$K$100)&gt;0))</f>
        <v>0</v>
      </c>
      <c r="AC46" s="382" t="n">
        <f aca="false">SUMPRODUCT((Personnel!$P$9:$P$100="FE")*(Personnel!$G$9:$G$100="Yes")*(25&gt;=Personnel!$E$9:$E$100)*((Personnel!$K$9:$K$100="")+(25&lt;=Personnel!$K$9:$K$100)&gt;0))</f>
        <v>0</v>
      </c>
      <c r="AD46" s="382" t="n">
        <f aca="false">SUMPRODUCT((Personnel!$P$9:$P$100="FE")*(Personnel!$G$9:$G$100="Yes")*(26&gt;=Personnel!$E$9:$E$100)*((Personnel!$K$9:$K$100="")+(26&lt;=Personnel!$K$9:$K$100)&gt;0))</f>
        <v>0</v>
      </c>
      <c r="AE46" s="382" t="n">
        <f aca="false">SUMPRODUCT((Personnel!$P$9:$P$100="FE")*(Personnel!$G$9:$G$100="Yes")*(27&gt;=Personnel!$E$9:$E$100)*((Personnel!$K$9:$K$100="")+(27&lt;=Personnel!$K$9:$K$100)&gt;0))</f>
        <v>0</v>
      </c>
      <c r="AF46" s="382" t="n">
        <f aca="false">SUMPRODUCT((Personnel!$P$9:$P$100="FE")*(Personnel!$G$9:$G$100="Yes")*(28&gt;=Personnel!$E$9:$E$100)*((Personnel!$K$9:$K$100="")+(28&lt;=Personnel!$K$9:$K$100)&gt;0))</f>
        <v>0</v>
      </c>
      <c r="AG46" s="382" t="n">
        <f aca="false">SUMPRODUCT((Personnel!$P$9:$P$100="FE")*(Personnel!$G$9:$G$100="Yes")*(29&gt;=Personnel!$E$9:$E$100)*((Personnel!$K$9:$K$100="")+(29&lt;=Personnel!$K$9:$K$100)&gt;0))</f>
        <v>0</v>
      </c>
      <c r="AH46" s="382" t="n">
        <f aca="false">SUMPRODUCT((Personnel!$P$9:$P$100="FE")*(Personnel!$G$9:$G$100="Yes")*(30&gt;=Personnel!$E$9:$E$100)*((Personnel!$K$9:$K$100="")+(30&lt;=Personnel!$K$9:$K$100)&gt;0))</f>
        <v>0</v>
      </c>
      <c r="AI46" s="382" t="n">
        <f aca="false">SUMPRODUCT((Personnel!$P$9:$P$100="FE")*(Personnel!$G$9:$G$100="Yes")*(31&gt;=Personnel!$E$9:$E$100)*((Personnel!$K$9:$K$100="")+(31&lt;=Personnel!$K$9:$K$100)&gt;0))</f>
        <v>0</v>
      </c>
      <c r="AJ46" s="382" t="n">
        <f aca="false">SUMPRODUCT((Personnel!$P$9:$P$100="FE")*(Personnel!$G$9:$G$100="Yes")*(32&gt;=Personnel!$E$9:$E$100)*((Personnel!$K$9:$K$100="")+(32&lt;=Personnel!$K$9:$K$100)&gt;0))</f>
        <v>0</v>
      </c>
      <c r="AK46" s="382" t="n">
        <f aca="false">SUMPRODUCT((Personnel!$P$9:$P$100="FE")*(Personnel!$G$9:$G$100="Yes")*(33&gt;=Personnel!$E$9:$E$100)*((Personnel!$K$9:$K$100="")+(33&lt;=Personnel!$K$9:$K$100)&gt;0))</f>
        <v>0</v>
      </c>
      <c r="AL46" s="382" t="n">
        <f aca="false">SUMPRODUCT((Personnel!$P$9:$P$100="FE")*(Personnel!$G$9:$G$100="Yes")*(34&gt;=Personnel!$E$9:$E$100)*((Personnel!$K$9:$K$100="")+(34&lt;=Personnel!$K$9:$K$100)&gt;0))</f>
        <v>0</v>
      </c>
      <c r="AM46" s="382" t="n">
        <f aca="false">SUMPRODUCT((Personnel!$P$9:$P$100="FE")*(Personnel!$G$9:$G$100="Yes")*(35&gt;=Personnel!$E$9:$E$100)*((Personnel!$K$9:$K$100="")+(35&lt;=Personnel!$K$9:$K$100)&gt;0))</f>
        <v>0</v>
      </c>
      <c r="AN46" s="382" t="n">
        <f aca="false">SUMPRODUCT((Personnel!$P$9:$P$100="FE")*(Personnel!$G$9:$G$100="Yes")*(36&gt;=Personnel!$E$9:$E$100)*((Personnel!$K$9:$K$100="")+(36&lt;=Personnel!$K$9:$K$100)&gt;0))</f>
        <v>0</v>
      </c>
      <c r="AO46" s="382" t="n">
        <f aca="false">SUMPRODUCT((Personnel!$P$9:$P$100="FE")*(Personnel!$G$9:$G$100="Yes")*(37&gt;=Personnel!$E$9:$E$100)*((Personnel!$K$9:$K$100="")+(37&lt;=Personnel!$K$9:$K$100)&gt;0))</f>
        <v>0</v>
      </c>
      <c r="AP46" s="382" t="n">
        <f aca="false">SUMPRODUCT((Personnel!$P$9:$P$100="FE")*(Personnel!$G$9:$G$100="Yes")*(38&gt;=Personnel!$E$9:$E$100)*((Personnel!$K$9:$K$100="")+(38&lt;=Personnel!$K$9:$K$100)&gt;0))</f>
        <v>0</v>
      </c>
      <c r="AQ46" s="382" t="n">
        <f aca="false">SUMPRODUCT((Personnel!$P$9:$P$100="FE")*(Personnel!$G$9:$G$100="Yes")*(39&gt;=Personnel!$E$9:$E$100)*((Personnel!$K$9:$K$100="")+(39&lt;=Personnel!$K$9:$K$100)&gt;0))</f>
        <v>0</v>
      </c>
      <c r="AR46" s="382" t="n">
        <f aca="false">SUMPRODUCT((Personnel!$P$9:$P$100="FE")*(Personnel!$G$9:$G$100="Yes")*(40&gt;=Personnel!$E$9:$E$100)*((Personnel!$K$9:$K$100="")+(40&lt;=Personnel!$K$9:$K$100)&gt;0))</f>
        <v>0</v>
      </c>
      <c r="AS46" s="382" t="n">
        <f aca="false">SUMPRODUCT((Personnel!$P$9:$P$100="FE")*(Personnel!$G$9:$G$100="Yes")*(41&gt;=Personnel!$E$9:$E$100)*((Personnel!$K$9:$K$100="")+(41&lt;=Personnel!$K$9:$K$100)&gt;0))</f>
        <v>0</v>
      </c>
      <c r="AT46" s="382" t="n">
        <f aca="false">SUMPRODUCT((Personnel!$P$9:$P$100="FE")*(Personnel!$G$9:$G$100="Yes")*(42&gt;=Personnel!$E$9:$E$100)*((Personnel!$K$9:$K$100="")+(42&lt;=Personnel!$K$9:$K$100)&gt;0))</f>
        <v>0</v>
      </c>
      <c r="AU46" s="382" t="n">
        <f aca="false">SUMPRODUCT((Personnel!$P$9:$P$100="FE")*(Personnel!$G$9:$G$100="Yes")*(43&gt;=Personnel!$E$9:$E$100)*((Personnel!$K$9:$K$100="")+(43&lt;=Personnel!$K$9:$K$100)&gt;0))</f>
        <v>0</v>
      </c>
      <c r="AV46" s="382" t="n">
        <f aca="false">SUMPRODUCT((Personnel!$P$9:$P$100="FE")*(Personnel!$G$9:$G$100="Yes")*(44&gt;=Personnel!$E$9:$E$100)*((Personnel!$K$9:$K$100="")+(44&lt;=Personnel!$K$9:$K$100)&gt;0))</f>
        <v>0</v>
      </c>
      <c r="AW46" s="382" t="n">
        <f aca="false">SUMPRODUCT((Personnel!$P$9:$P$100="FE")*(Personnel!$G$9:$G$100="Yes")*(45&gt;=Personnel!$E$9:$E$100)*((Personnel!$K$9:$K$100="")+(45&lt;=Personnel!$K$9:$K$100)&gt;0))</f>
        <v>0</v>
      </c>
      <c r="AX46" s="382" t="n">
        <f aca="false">SUMPRODUCT((Personnel!$P$9:$P$100="FE")*(Personnel!$G$9:$G$100="Yes")*(46&gt;=Personnel!$E$9:$E$100)*((Personnel!$K$9:$K$100="")+(46&lt;=Personnel!$K$9:$K$100)&gt;0))</f>
        <v>0</v>
      </c>
      <c r="AY46" s="382" t="n">
        <f aca="false">SUMPRODUCT((Personnel!$P$9:$P$100="FE")*(Personnel!$G$9:$G$100="Yes")*(47&gt;=Personnel!$E$9:$E$100)*((Personnel!$K$9:$K$100="")+(47&lt;=Personnel!$K$9:$K$100)&gt;0))</f>
        <v>0</v>
      </c>
      <c r="AZ46" s="382" t="n">
        <f aca="false">SUMPRODUCT((Personnel!$P$9:$P$100="FE")*(Personnel!$G$9:$G$100="Yes")*(48&gt;=Personnel!$E$9:$E$100)*((Personnel!$K$9:$K$100="")+(48&lt;=Personnel!$K$9:$K$100)&gt;0))</f>
        <v>0</v>
      </c>
      <c r="BA46" s="382" t="n">
        <f aca="false">SUMPRODUCT((Personnel!$P$9:$P$100="FE")*(Personnel!$G$9:$G$100="Yes")*(49&gt;=Personnel!$E$9:$E$100)*((Personnel!$K$9:$K$100="")+(49&lt;=Personnel!$K$9:$K$100)&gt;0))</f>
        <v>0</v>
      </c>
      <c r="BB46" s="382" t="n">
        <f aca="false">SUMPRODUCT((Personnel!$P$9:$P$100="FE")*(Personnel!$G$9:$G$100="Yes")*(50&gt;=Personnel!$E$9:$E$100)*((Personnel!$K$9:$K$100="")+(50&lt;=Personnel!$K$9:$K$100)&gt;0))</f>
        <v>0</v>
      </c>
      <c r="BC46" s="382" t="n">
        <f aca="false">SUMPRODUCT((Personnel!$P$9:$P$100="FE")*(Personnel!$G$9:$G$100="Yes")*(51&gt;=Personnel!$E$9:$E$100)*((Personnel!$K$9:$K$100="")+(51&lt;=Personnel!$K$9:$K$100)&gt;0))</f>
        <v>0</v>
      </c>
      <c r="BD46" s="382" t="n">
        <f aca="false">SUMPRODUCT((Personnel!$P$9:$P$100="FE")*(Personnel!$G$9:$G$100="Yes")*(52&gt;=Personnel!$E$9:$E$100)*((Personnel!$K$9:$K$100="")+(52&lt;=Personnel!$K$9:$K$100)&gt;0))</f>
        <v>0</v>
      </c>
      <c r="BE46" s="382" t="n">
        <f aca="false">SUMPRODUCT((Personnel!$P$9:$P$100="FE")*(Personnel!$G$9:$G$100="Yes")*(53&gt;=Personnel!$E$9:$E$100)*((Personnel!$K$9:$K$100="")+(53&lt;=Personnel!$K$9:$K$100)&gt;0))</f>
        <v>0</v>
      </c>
      <c r="BF46" s="382" t="n">
        <f aca="false">SUMPRODUCT((Personnel!$P$9:$P$100="FE")*(Personnel!$G$9:$G$100="Yes")*(54&gt;=Personnel!$E$9:$E$100)*((Personnel!$K$9:$K$100="")+(54&lt;=Personnel!$K$9:$K$100)&gt;0))</f>
        <v>0</v>
      </c>
      <c r="BG46" s="382" t="n">
        <f aca="false">SUMPRODUCT((Personnel!$P$9:$P$100="FE")*(Personnel!$G$9:$G$100="Yes")*(55&gt;=Personnel!$E$9:$E$100)*((Personnel!$K$9:$K$100="")+(55&lt;=Personnel!$K$9:$K$100)&gt;0))</f>
        <v>0</v>
      </c>
      <c r="BH46" s="382" t="n">
        <f aca="false">SUMPRODUCT((Personnel!$P$9:$P$100="FE")*(Personnel!$G$9:$G$100="Yes")*(56&gt;=Personnel!$E$9:$E$100)*((Personnel!$K$9:$K$100="")+(56&lt;=Personnel!$K$9:$K$100)&gt;0))</f>
        <v>0</v>
      </c>
      <c r="BI46" s="382" t="n">
        <f aca="false">SUMPRODUCT((Personnel!$P$9:$P$100="FE")*(Personnel!$G$9:$G$100="Yes")*(57&gt;=Personnel!$E$9:$E$100)*((Personnel!$K$9:$K$100="")+(57&lt;=Personnel!$K$9:$K$100)&gt;0))</f>
        <v>0</v>
      </c>
      <c r="BJ46" s="382" t="n">
        <f aca="false">SUMPRODUCT((Personnel!$P$9:$P$100="FE")*(Personnel!$G$9:$G$100="Yes")*(58&gt;=Personnel!$E$9:$E$100)*((Personnel!$K$9:$K$100="")+(58&lt;=Personnel!$K$9:$K$100)&gt;0))</f>
        <v>0</v>
      </c>
      <c r="BK46" s="382" t="n">
        <f aca="false">SUMPRODUCT((Personnel!$P$9:$P$100="FE")*(Personnel!$G$9:$G$100="Yes")*(59&gt;=Personnel!$E$9:$E$100)*((Personnel!$K$9:$K$100="")+(59&lt;=Personnel!$K$9:$K$100)&gt;0))</f>
        <v>0</v>
      </c>
      <c r="BL46" s="382" t="n">
        <f aca="false">SUMPRODUCT((Personnel!$P$9:$P$100="FE")*(Personnel!$G$9:$G$100="Yes")*(60&gt;=Personnel!$E$9:$E$100)*((Personnel!$K$9:$K$100="")+(60&lt;=Personnel!$K$9:$K$100)&gt;0))</f>
        <v>0</v>
      </c>
      <c r="BM46" s="382" t="n">
        <f aca="false">SUMPRODUCT((Personnel!$P$9:$P$100="FE")*(Personnel!$G$9:$G$100="Yes")*(61&gt;=Personnel!$E$9:$E$100)*((Personnel!$K$9:$K$100="")+(61&lt;=Personnel!$K$9:$K$100)&gt;0))</f>
        <v>0</v>
      </c>
      <c r="BN46" s="382" t="n">
        <f aca="false">SUMPRODUCT((Personnel!$P$9:$P$100="FE")*(Personnel!$G$9:$G$100="Yes")*(62&gt;=Personnel!$E$9:$E$100)*((Personnel!$K$9:$K$100="")+(62&lt;=Personnel!$K$9:$K$100)&gt;0))</f>
        <v>0</v>
      </c>
      <c r="BO46" s="382" t="n">
        <f aca="false">SUMPRODUCT((Personnel!$P$9:$P$100="FE")*(Personnel!$G$9:$G$100="Yes")*(63&gt;=Personnel!$E$9:$E$100)*((Personnel!$K$9:$K$100="")+(63&lt;=Personnel!$K$9:$K$100)&gt;0))</f>
        <v>0</v>
      </c>
      <c r="BP46" s="382" t="n">
        <f aca="false">SUMPRODUCT((Personnel!$P$9:$P$100="FE")*(Personnel!$G$9:$G$100="Yes")*(64&gt;=Personnel!$E$9:$E$100)*((Personnel!$K$9:$K$100="")+(64&lt;=Personnel!$K$9:$K$100)&gt;0))</f>
        <v>0</v>
      </c>
      <c r="BQ46" s="382" t="n">
        <f aca="false">SUMPRODUCT((Personnel!$P$9:$P$100="FE")*(Personnel!$G$9:$G$100="Yes")*(65&gt;=Personnel!$E$9:$E$100)*((Personnel!$K$9:$K$100="")+(65&lt;=Personnel!$K$9:$K$100)&gt;0))</f>
        <v>0</v>
      </c>
      <c r="BR46" s="382" t="n">
        <f aca="false">SUMPRODUCT((Personnel!$P$9:$P$100="FE")*(Personnel!$G$9:$G$100="Yes")*(66&gt;=Personnel!$E$9:$E$100)*((Personnel!$K$9:$K$100="")+(66&lt;=Personnel!$K$9:$K$100)&gt;0))</f>
        <v>0</v>
      </c>
      <c r="BS46" s="382" t="n">
        <f aca="false">SUMPRODUCT((Personnel!$P$9:$P$100="FE")*(Personnel!$G$9:$G$100="Yes")*(67&gt;=Personnel!$E$9:$E$100)*((Personnel!$K$9:$K$100="")+(67&lt;=Personnel!$K$9:$K$100)&gt;0))</f>
        <v>0</v>
      </c>
      <c r="BT46" s="382" t="n">
        <f aca="false">SUMPRODUCT((Personnel!$P$9:$P$100="FE")*(Personnel!$G$9:$G$100="Yes")*(68&gt;=Personnel!$E$9:$E$100)*((Personnel!$K$9:$K$100="")+(68&lt;=Personnel!$K$9:$K$100)&gt;0))</f>
        <v>0</v>
      </c>
      <c r="BU46" s="382" t="n">
        <f aca="false">SUMPRODUCT((Personnel!$P$9:$P$100="FE")*(Personnel!$G$9:$G$100="Yes")*(69&gt;=Personnel!$E$9:$E$100)*((Personnel!$K$9:$K$100="")+(69&lt;=Personnel!$K$9:$K$100)&gt;0))</f>
        <v>0</v>
      </c>
      <c r="BV46" s="382" t="n">
        <f aca="false">SUMPRODUCT((Personnel!$P$9:$P$100="FE")*(Personnel!$G$9:$G$100="Yes")*(70&gt;=Personnel!$E$9:$E$100)*((Personnel!$K$9:$K$100="")+(70&lt;=Personnel!$K$9:$K$100)&gt;0))</f>
        <v>0</v>
      </c>
      <c r="BW46" s="382" t="n">
        <f aca="false">SUMPRODUCT((Personnel!$P$9:$P$100="FE")*(Personnel!$G$9:$G$100="Yes")*(71&gt;=Personnel!$E$9:$E$100)*((Personnel!$K$9:$K$100="")+(71&lt;=Personnel!$K$9:$K$100)&gt;0))</f>
        <v>0</v>
      </c>
      <c r="BX46" s="382" t="n">
        <f aca="false">SUMPRODUCT((Personnel!$P$9:$P$100="FE")*(Personnel!$G$9:$G$100="Yes")*(72&gt;=Personnel!$E$9:$E$100)*((Personnel!$K$9:$K$100="")+(72&lt;=Personnel!$K$9:$K$100)&gt;0))</f>
        <v>0</v>
      </c>
      <c r="BY46" s="382" t="n">
        <f aca="false">SUMPRODUCT((Personnel!$P$9:$P$100="FE")*(Personnel!$G$9:$G$100="Yes")*(73&gt;=Personnel!$E$9:$E$100)*((Personnel!$K$9:$K$100="")+(73&lt;=Personnel!$K$9:$K$100)&gt;0))</f>
        <v>0</v>
      </c>
      <c r="BZ46" s="382" t="n">
        <f aca="false">SUMPRODUCT((Personnel!$P$9:$P$100="FE")*(Personnel!$G$9:$G$100="Yes")*(74&gt;=Personnel!$E$9:$E$100)*((Personnel!$K$9:$K$100="")+(74&lt;=Personnel!$K$9:$K$100)&gt;0))</f>
        <v>0</v>
      </c>
      <c r="CA46" s="382" t="n">
        <f aca="false">SUMPRODUCT((Personnel!$P$9:$P$100="FE")*(Personnel!$G$9:$G$100="Yes")*(75&gt;=Personnel!$E$9:$E$100)*((Personnel!$K$9:$K$100="")+(75&lt;=Personnel!$K$9:$K$100)&gt;0))</f>
        <v>0</v>
      </c>
      <c r="CB46" s="382" t="n">
        <f aca="false">SUMPRODUCT((Personnel!$P$9:$P$100="FE")*(Personnel!$G$9:$G$100="Yes")*(76&gt;=Personnel!$E$9:$E$100)*((Personnel!$K$9:$K$100="")+(76&lt;=Personnel!$K$9:$K$100)&gt;0))</f>
        <v>0</v>
      </c>
      <c r="CC46" s="382" t="n">
        <f aca="false">SUMPRODUCT((Personnel!$P$9:$P$100="FE")*(Personnel!$G$9:$G$100="Yes")*(77&gt;=Personnel!$E$9:$E$100)*((Personnel!$K$9:$K$100="")+(77&lt;=Personnel!$K$9:$K$100)&gt;0))</f>
        <v>0</v>
      </c>
      <c r="CD46" s="382" t="n">
        <f aca="false">SUMPRODUCT((Personnel!$P$9:$P$100="FE")*(Personnel!$G$9:$G$100="Yes")*(78&gt;=Personnel!$E$9:$E$100)*((Personnel!$K$9:$K$100="")+(78&lt;=Personnel!$K$9:$K$100)&gt;0))</f>
        <v>0</v>
      </c>
      <c r="CE46" s="382" t="n">
        <f aca="false">SUMPRODUCT((Personnel!$P$9:$P$100="FE")*(Personnel!$G$9:$G$100="Yes")*(79&gt;=Personnel!$E$9:$E$100)*((Personnel!$K$9:$K$100="")+(79&lt;=Personnel!$K$9:$K$100)&gt;0))</f>
        <v>0</v>
      </c>
      <c r="CF46" s="382" t="n">
        <f aca="false">SUMPRODUCT((Personnel!$P$9:$P$100="FE")*(Personnel!$G$9:$G$100="Yes")*(80&gt;=Personnel!$E$9:$E$100)*((Personnel!$K$9:$K$100="")+(80&lt;=Personnel!$K$9:$K$100)&gt;0))</f>
        <v>0</v>
      </c>
      <c r="CG46" s="382" t="n">
        <f aca="false">SUMPRODUCT((Personnel!$P$9:$P$100="FE")*(Personnel!$G$9:$G$100="Yes")*(81&gt;=Personnel!$E$9:$E$100)*((Personnel!$K$9:$K$100="")+(81&lt;=Personnel!$K$9:$K$100)&gt;0))</f>
        <v>0</v>
      </c>
      <c r="CH46" s="382" t="n">
        <f aca="false">SUMPRODUCT((Personnel!$P$9:$P$100="FE")*(Personnel!$G$9:$G$100="Yes")*(82&gt;=Personnel!$E$9:$E$100)*((Personnel!$K$9:$K$100="")+(82&lt;=Personnel!$K$9:$K$100)&gt;0))</f>
        <v>0</v>
      </c>
      <c r="CI46" s="382" t="n">
        <f aca="false">SUMPRODUCT((Personnel!$P$9:$P$100="FE")*(Personnel!$G$9:$G$100="Yes")*(83&gt;=Personnel!$E$9:$E$100)*((Personnel!$K$9:$K$100="")+(83&lt;=Personnel!$K$9:$K$100)&gt;0))</f>
        <v>0</v>
      </c>
      <c r="CJ46" s="382" t="n">
        <f aca="false">SUMPRODUCT((Personnel!$P$9:$P$100="FE")*(Personnel!$G$9:$G$100="Yes")*(84&gt;=Personnel!$E$9:$E$100)*((Personnel!$K$9:$K$100="")+(84&lt;=Personnel!$K$9:$K$100)&gt;0))</f>
        <v>0</v>
      </c>
      <c r="CK46" s="382" t="n">
        <f aca="false">SUMPRODUCT((Personnel!$P$9:$P$100="FE")*(Personnel!$G$9:$G$100="Yes")*(85&gt;=Personnel!$E$9:$E$100)*((Personnel!$K$9:$K$100="")+(85&lt;=Personnel!$K$9:$K$100)&gt;0))</f>
        <v>0</v>
      </c>
      <c r="CL46" s="382" t="n">
        <f aca="false">SUMPRODUCT((Personnel!$P$9:$P$100="FE")*(Personnel!$G$9:$G$100="Yes")*(86&gt;=Personnel!$E$9:$E$100)*((Personnel!$K$9:$K$100="")+(86&lt;=Personnel!$K$9:$K$100)&gt;0))</f>
        <v>0</v>
      </c>
      <c r="CM46" s="382" t="n">
        <f aca="false">SUMPRODUCT((Personnel!$P$9:$P$100="FE")*(Personnel!$G$9:$G$100="Yes")*(87&gt;=Personnel!$E$9:$E$100)*((Personnel!$K$9:$K$100="")+(87&lt;=Personnel!$K$9:$K$100)&gt;0))</f>
        <v>0</v>
      </c>
      <c r="CN46" s="382" t="n">
        <f aca="false">SUMPRODUCT((Personnel!$P$9:$P$100="FE")*(Personnel!$G$9:$G$100="Yes")*(88&gt;=Personnel!$E$9:$E$100)*((Personnel!$K$9:$K$100="")+(88&lt;=Personnel!$K$9:$K$100)&gt;0))</f>
        <v>0</v>
      </c>
      <c r="CO46" s="382" t="n">
        <f aca="false">SUMPRODUCT((Personnel!$P$9:$P$100="FE")*(Personnel!$G$9:$G$100="Yes")*(89&gt;=Personnel!$E$9:$E$100)*((Personnel!$K$9:$K$100="")+(89&lt;=Personnel!$K$9:$K$100)&gt;0))</f>
        <v>0</v>
      </c>
      <c r="CP46" s="382" t="n">
        <f aca="false">SUMPRODUCT((Personnel!$P$9:$P$100="FE")*(Personnel!$G$9:$G$100="Yes")*(90&gt;=Personnel!$E$9:$E$100)*((Personnel!$K$9:$K$100="")+(90&lt;=Personnel!$K$9:$K$100)&gt;0))</f>
        <v>0</v>
      </c>
      <c r="CQ46" s="382" t="n">
        <f aca="false">SUMPRODUCT((Personnel!$P$9:$P$100="FE")*(Personnel!$G$9:$G$100="Yes")*(91&gt;=Personnel!$E$9:$E$100)*((Personnel!$K$9:$K$100="")+(91&lt;=Personnel!$K$9:$K$100)&gt;0))</f>
        <v>0</v>
      </c>
      <c r="CR46" s="382" t="n">
        <f aca="false">SUMPRODUCT((Personnel!$P$9:$P$100="FE")*(Personnel!$G$9:$G$100="Yes")*(92&gt;=Personnel!$E$9:$E$100)*((Personnel!$K$9:$K$100="")+(92&lt;=Personnel!$K$9:$K$100)&gt;0))</f>
        <v>0</v>
      </c>
      <c r="CS46" s="382" t="n">
        <f aca="false">SUMPRODUCT((Personnel!$P$9:$P$100="FE")*(Personnel!$G$9:$G$100="Yes")*(93&gt;=Personnel!$E$9:$E$100)*((Personnel!$K$9:$K$100="")+(93&lt;=Personnel!$K$9:$K$100)&gt;0))</f>
        <v>0</v>
      </c>
      <c r="CT46" s="382" t="n">
        <f aca="false">SUMPRODUCT((Personnel!$P$9:$P$100="FE")*(Personnel!$G$9:$G$100="Yes")*(94&gt;=Personnel!$E$9:$E$100)*((Personnel!$K$9:$K$100="")+(94&lt;=Personnel!$K$9:$K$100)&gt;0))</f>
        <v>0</v>
      </c>
      <c r="CU46" s="382" t="n">
        <f aca="false">SUMPRODUCT((Personnel!$P$9:$P$100="FE")*(Personnel!$G$9:$G$100="Yes")*(95&gt;=Personnel!$E$9:$E$100)*((Personnel!$K$9:$K$100="")+(95&lt;=Personnel!$K$9:$K$100)&gt;0))</f>
        <v>0</v>
      </c>
      <c r="CV46" s="382" t="n">
        <f aca="false">SUMPRODUCT((Personnel!$P$9:$P$100="FE")*(Personnel!$G$9:$G$100="Yes")*(96&gt;=Personnel!$E$9:$E$100)*((Personnel!$K$9:$K$100="")+(96&lt;=Personnel!$K$9:$K$100)&gt;0))</f>
        <v>0</v>
      </c>
      <c r="CW46" s="382" t="n">
        <f aca="false">SUMPRODUCT((Personnel!$P$9:$P$100="FE")*(Personnel!$G$9:$G$100="Yes")*(97&gt;=Personnel!$E$9:$E$100)*((Personnel!$K$9:$K$100="")+(97&lt;=Personnel!$K$9:$K$100)&gt;0))</f>
        <v>0</v>
      </c>
      <c r="CX46" s="382" t="n">
        <f aca="false">SUMPRODUCT((Personnel!$P$9:$P$100="FE")*(Personnel!$G$9:$G$100="Yes")*(98&gt;=Personnel!$E$9:$E$100)*((Personnel!$K$9:$K$100="")+(98&lt;=Personnel!$K$9:$K$100)&gt;0))</f>
        <v>0</v>
      </c>
      <c r="CY46" s="382" t="n">
        <f aca="false">SUMPRODUCT((Personnel!$P$9:$P$100="FE")*(Personnel!$G$9:$G$100="Yes")*(99&gt;=Personnel!$E$9:$E$100)*((Personnel!$K$9:$K$100="")+(99&lt;=Personnel!$K$9:$K$100)&gt;0))</f>
        <v>0</v>
      </c>
      <c r="CZ46" s="382" t="n">
        <f aca="false">SUMPRODUCT((Personnel!$P$9:$P$100="FE")*(Personnel!$G$9:$G$100="Yes")*(100&gt;=Personnel!$E$9:$E$100)*((Personnel!$K$9:$K$100="")+(100&lt;=Personnel!$K$9:$K$100)&gt;0))</f>
        <v>0</v>
      </c>
      <c r="DA46" s="382" t="n">
        <f aca="false">SUMPRODUCT((Personnel!$P$9:$P$100="FE")*(Personnel!$G$9:$G$100="Yes")*(101&gt;=Personnel!$E$9:$E$100)*((Personnel!$K$9:$K$100="")+(101&lt;=Personnel!$K$9:$K$100)&gt;0))</f>
        <v>0</v>
      </c>
      <c r="DB46" s="382" t="n">
        <f aca="false">SUMPRODUCT((Personnel!$P$9:$P$100="FE")*(Personnel!$G$9:$G$100="Yes")*(102&gt;=Personnel!$E$9:$E$100)*((Personnel!$K$9:$K$100="")+(102&lt;=Personnel!$K$9:$K$100)&gt;0))</f>
        <v>0</v>
      </c>
      <c r="DC46" s="382" t="n">
        <f aca="false">SUMPRODUCT((Personnel!$P$9:$P$100="FE")*(Personnel!$G$9:$G$100="Yes")*(103&gt;=Personnel!$E$9:$E$100)*((Personnel!$K$9:$K$100="")+(103&lt;=Personnel!$K$9:$K$100)&gt;0))</f>
        <v>0</v>
      </c>
      <c r="DD46" s="382" t="n">
        <f aca="false">SUMPRODUCT((Personnel!$P$9:$P$100="FE")*(Personnel!$G$9:$G$100="Yes")*(104&gt;=Personnel!$E$9:$E$100)*((Personnel!$K$9:$K$100="")+(104&lt;=Personnel!$K$9:$K$100)&gt;0))</f>
        <v>0</v>
      </c>
      <c r="DE46" s="382" t="n">
        <f aca="false">SUMPRODUCT((Personnel!$P$9:$P$100="FE")*(Personnel!$G$9:$G$100="Yes")*(105&gt;=Personnel!$E$9:$E$100)*((Personnel!$K$9:$K$100="")+(105&lt;=Personnel!$K$9:$K$100)&gt;0))</f>
        <v>0</v>
      </c>
    </row>
    <row r="48" customFormat="false" ht="13.5" hidden="false" customHeight="true" outlineLevel="0" collapsed="false">
      <c r="A48" s="209" t="s">
        <v>1376</v>
      </c>
      <c r="B48" s="210"/>
      <c r="C48" s="210"/>
      <c r="D48" s="210"/>
      <c r="E48" s="210"/>
      <c r="F48" s="210"/>
    </row>
    <row r="49" customFormat="false" ht="13.5" hidden="false" customHeight="true" outlineLevel="0" collapsed="false">
      <c r="A49" s="110" t="s">
        <v>1377</v>
      </c>
      <c r="B49" s="211" t="n">
        <f aca="false">$B$26</f>
        <v>160000</v>
      </c>
      <c r="E49" s="383" t="n">
        <f aca="false">IF(1&lt;5,0,IF(MAX(E38:E38)&gt;E43+0+$B$18,1,0))</f>
        <v>0</v>
      </c>
      <c r="F49" s="383" t="n">
        <f aca="false">IF(2&lt;5,0,IF(MAX(E38:F38)&gt;F43+0+$B$18,1,0))</f>
        <v>0</v>
      </c>
      <c r="G49" s="383" t="n">
        <f aca="false">IF(3&lt;5,0,IF(MAX(E38:G38)&gt;G43+0+$B$18,1,0))</f>
        <v>0</v>
      </c>
      <c r="H49" s="383" t="n">
        <f aca="false">IF(4&lt;5,0,IF(MAX(E38:H38)&gt;H43+0+$B$18,1,0))</f>
        <v>0</v>
      </c>
      <c r="I49" s="383" t="n">
        <f aca="false">IF(5&lt;5,0,IF(MAX(E38:I38)&gt;I43+0+$B$18,1,0))</f>
        <v>0</v>
      </c>
      <c r="J49" s="383" t="n">
        <f aca="false">IF(6&lt;5,0,IF(MAX(E38:J38)&gt;J43+0+$B$18,1,0))</f>
        <v>0</v>
      </c>
      <c r="K49" s="383" t="n">
        <f aca="false">IF(7&lt;5,0,IF(MAX(F38:K38)&gt;K43+0+$B$18,1,0))</f>
        <v>0</v>
      </c>
      <c r="L49" s="383" t="n">
        <f aca="false">IF(8&lt;5,0,IF(MAX(G38:L38)&gt;L43+0+$B$18,1,0))</f>
        <v>0</v>
      </c>
      <c r="M49" s="383" t="n">
        <f aca="false">IF(9&lt;5,0,IF(MAX(H38:M38)&gt;M43+0+$B$18,1,0))</f>
        <v>1</v>
      </c>
      <c r="N49" s="383" t="n">
        <f aca="false">IF(10&lt;5,0,IF(MAX(I38:N38)&gt;N43+0+$B$18,1,0))</f>
        <v>1</v>
      </c>
      <c r="O49" s="383" t="n">
        <f aca="false">IF(11&lt;5,0,IF(MAX(J38:O38)&gt;O43+0+$B$18,1,0))</f>
        <v>1</v>
      </c>
      <c r="P49" s="383" t="n">
        <f aca="false">IF(12&lt;5,0,IF(MAX(K38:P38)&gt;P43+0+$B$18,1,0))</f>
        <v>1</v>
      </c>
      <c r="Q49" s="383" t="n">
        <f aca="false">IF(13&lt;5,0,IF(MAX(L38:Q38)&gt;Q43+0+$B$18,1,0))</f>
        <v>1</v>
      </c>
      <c r="R49" s="383" t="n">
        <f aca="false">IF(14&lt;5,0,IF(MAX(M38:R38)&gt;R43+0+$B$18,1,0))</f>
        <v>1</v>
      </c>
      <c r="S49" s="383" t="n">
        <f aca="false">IF(15&lt;5,0,IF(MAX(N38:S38)&gt;S43+0+$B$18,1,0))</f>
        <v>1</v>
      </c>
      <c r="T49" s="383" t="n">
        <f aca="false">IF(16&lt;5,0,IF(MAX(O38:T38)&gt;T43+0+$B$18,1,0))</f>
        <v>1</v>
      </c>
      <c r="U49" s="383" t="n">
        <f aca="false">IF(17&lt;5,0,IF(MAX(P38:U38)&gt;U43+0+$B$18,1,0))</f>
        <v>1</v>
      </c>
      <c r="V49" s="383" t="n">
        <f aca="false">IF(18&lt;5,0,IF(MAX(Q38:V38)&gt;V43+0+$B$18,1,0))</f>
        <v>1</v>
      </c>
      <c r="W49" s="383" t="n">
        <f aca="false">IF(19&lt;5,0,IF(MAX(R38:W38)&gt;W43+0+$B$18,1,0))</f>
        <v>1</v>
      </c>
      <c r="X49" s="383" t="n">
        <f aca="false">IF(20&lt;5,0,IF(MAX(S38:X38)&gt;X43+0+$B$18,1,0))</f>
        <v>1</v>
      </c>
      <c r="Y49" s="383" t="n">
        <f aca="false">IF(21&lt;5,0,IF(MAX(T38:Y38)&gt;Y43+0+$B$18,1,0))</f>
        <v>1</v>
      </c>
      <c r="Z49" s="383" t="n">
        <f aca="false">IF(22&lt;5,0,IF(MAX(U38:Z38)&gt;Z43+0+$B$18,1,0))</f>
        <v>1</v>
      </c>
      <c r="AA49" s="383" t="n">
        <f aca="false">IF(23&lt;5,0,IF(MAX(V38:AA38)&gt;AA43+0+$B$18,1,0))</f>
        <v>1</v>
      </c>
      <c r="AB49" s="383" t="n">
        <f aca="false">IF(24&lt;5,0,IF(MAX(W38:AB38)&gt;AB43+0+$B$18,1,0))</f>
        <v>1</v>
      </c>
      <c r="AC49" s="383" t="n">
        <f aca="false">IF(25&lt;5,0,IF(MAX(X38:AC38)&gt;AC43+0+$B$18,1,0))</f>
        <v>1</v>
      </c>
      <c r="AD49" s="383" t="n">
        <f aca="false">IF(26&lt;5,0,IF(MAX(Y38:AD38)&gt;AD43+0+$B$18,1,0))</f>
        <v>1</v>
      </c>
      <c r="AE49" s="383" t="n">
        <f aca="false">IF(27&lt;5,0,IF(MAX(Z38:AE38)&gt;AE43+0+$B$18,1,0))</f>
        <v>1</v>
      </c>
      <c r="AF49" s="383" t="n">
        <f aca="false">IF(28&lt;5,0,IF(MAX(AA38:AF38)&gt;AF43+0+$B$18,1,0))</f>
        <v>1</v>
      </c>
      <c r="AG49" s="383" t="n">
        <f aca="false">IF(29&lt;5,0,IF(MAX(AB38:AG38)&gt;AG43+0+$B$18,1,0))</f>
        <v>1</v>
      </c>
      <c r="AH49" s="383" t="n">
        <f aca="false">IF(30&lt;5,0,IF(MAX(AC38:AH38)&gt;AH43+0+$B$18,1,0))</f>
        <v>1</v>
      </c>
      <c r="AI49" s="383" t="n">
        <f aca="false">IF(31&lt;5,0,IF(MAX(AD38:AI38)&gt;AI43+0+$B$18,1,0))</f>
        <v>1</v>
      </c>
      <c r="AJ49" s="383" t="n">
        <f aca="false">IF(32&lt;5,0,IF(MAX(AE38:AJ38)&gt;AJ43+0+$B$18,1,0))</f>
        <v>1</v>
      </c>
      <c r="AK49" s="383" t="n">
        <f aca="false">IF(33&lt;5,0,IF(MAX(AF38:AK38)&gt;AK43+0+$B$18,1,0))</f>
        <v>1</v>
      </c>
      <c r="AL49" s="383" t="n">
        <f aca="false">IF(34&lt;5,0,IF(MAX(AG38:AL38)&gt;AL43+0+$B$18,1,0))</f>
        <v>1</v>
      </c>
      <c r="AM49" s="383" t="n">
        <f aca="false">IF(35&lt;5,0,IF(MAX(AH38:AM38)&gt;AM43+0+$B$18,1,0))</f>
        <v>1</v>
      </c>
      <c r="AN49" s="383" t="n">
        <f aca="false">IF(36&lt;5,0,IF(MAX(AI38:AN38)&gt;AN43+0+$B$18,1,0))</f>
        <v>0</v>
      </c>
      <c r="AO49" s="383" t="n">
        <f aca="false">IF(37&lt;5,0,IF(MAX(AJ38:AO38)&gt;AO43+0+$B$18,1,0))</f>
        <v>0</v>
      </c>
      <c r="AP49" s="383" t="n">
        <f aca="false">IF(38&lt;5,0,IF(MAX(AK38:AP38)&gt;AP43+0+$B$18,1,0))</f>
        <v>0</v>
      </c>
      <c r="AQ49" s="383" t="n">
        <f aca="false">IF(39&lt;5,0,IF(MAX(AL38:AQ38)&gt;AQ43+0+$B$18,1,0))</f>
        <v>0</v>
      </c>
      <c r="AR49" s="383" t="n">
        <f aca="false">IF(40&lt;5,0,IF(MAX(AM38:AR38)&gt;AR43+0+$B$18,1,0))</f>
        <v>0</v>
      </c>
      <c r="AS49" s="383" t="n">
        <f aca="false">IF(41&lt;5,0,IF(MAX(AN38:AS38)&gt;AS43+0+$B$18,1,0))</f>
        <v>0</v>
      </c>
      <c r="AT49" s="383" t="n">
        <f aca="false">IF(42&lt;5,0,IF(MAX(AO38:AT38)&gt;AT43+0+$B$18,1,0))</f>
        <v>0</v>
      </c>
      <c r="AU49" s="383" t="n">
        <f aca="false">IF(43&lt;5,0,IF(MAX(AP38:AU38)&gt;AU43+0+$B$18,1,0))</f>
        <v>0</v>
      </c>
      <c r="AV49" s="383" t="n">
        <f aca="false">IF(44&lt;5,0,IF(MAX(AQ38:AV38)&gt;AV43+0+$B$18,1,0))</f>
        <v>0</v>
      </c>
      <c r="AW49" s="383" t="n">
        <f aca="false">IF(45&lt;5,0,IF(MAX(AR38:AW38)&gt;AW43+0+$B$18,1,0))</f>
        <v>0</v>
      </c>
      <c r="AX49" s="383" t="n">
        <f aca="false">IF(46&lt;5,0,IF(MAX(AS38:AX38)&gt;AX43+0+$B$18,1,0))</f>
        <v>0</v>
      </c>
      <c r="AY49" s="383" t="n">
        <f aca="false">IF(47&lt;5,0,IF(MAX(AT38:AY38)&gt;AY43+0+$B$18,1,0))</f>
        <v>0</v>
      </c>
      <c r="AZ49" s="383" t="n">
        <f aca="false">IF(48&lt;5,0,IF(MAX(AU38:AZ38)&gt;AZ43+0+$B$18,1,0))</f>
        <v>0</v>
      </c>
      <c r="BA49" s="383" t="n">
        <f aca="false">IF(49&lt;5,0,IF(MAX(AV38:BA38)&gt;BA43+0+$B$18,1,0))</f>
        <v>0</v>
      </c>
      <c r="BB49" s="383" t="n">
        <f aca="false">IF(50&lt;5,0,IF(MAX(AW38:BB38)&gt;BB43+0+$B$18,1,0))</f>
        <v>0</v>
      </c>
      <c r="BC49" s="383" t="n">
        <f aca="false">IF(51&lt;5,0,IF(MAX(AX38:BC38)&gt;BC43+0+$B$18,1,0))</f>
        <v>0</v>
      </c>
      <c r="BD49" s="383" t="n">
        <f aca="false">IF(52&lt;5,0,IF(MAX(AY38:BD38)&gt;BD43+0+$B$18,1,0))</f>
        <v>0</v>
      </c>
      <c r="BE49" s="383" t="n">
        <f aca="false">IF(53&lt;5,0,IF(MAX(AZ38:BE38)&gt;BE43+0+$B$18,1,0))</f>
        <v>0</v>
      </c>
      <c r="BF49" s="383" t="n">
        <f aca="false">IF(54&lt;5,0,IF(MAX(BA38:BF38)&gt;BF43+0+$B$18,1,0))</f>
        <v>0</v>
      </c>
      <c r="BG49" s="383" t="n">
        <f aca="false">IF(55&lt;5,0,IF(MAX(BB38:BG38)&gt;BG43+0+$B$18,1,0))</f>
        <v>0</v>
      </c>
      <c r="BH49" s="383" t="n">
        <f aca="false">IF(56&lt;5,0,IF(MAX(BC38:BH38)&gt;BH43+0+$B$18,1,0))</f>
        <v>0</v>
      </c>
      <c r="BI49" s="383" t="n">
        <f aca="false">IF(57&lt;5,0,IF(MAX(BD38:BI38)&gt;BI43+0+$B$18,1,0))</f>
        <v>0</v>
      </c>
      <c r="BJ49" s="383" t="n">
        <f aca="false">IF(58&lt;5,0,IF(MAX(BE38:BJ38)&gt;BJ43+0+$B$18,1,0))</f>
        <v>0</v>
      </c>
      <c r="BK49" s="383" t="n">
        <f aca="false">IF(59&lt;5,0,IF(MAX(BF38:BK38)&gt;BK43+0+$B$18,1,0))</f>
        <v>0</v>
      </c>
      <c r="BL49" s="383" t="n">
        <f aca="false">IF(60&lt;5,0,IF(MAX(BG38:BL38)&gt;BL43+0+$B$18,1,0))</f>
        <v>0</v>
      </c>
      <c r="BM49" s="383" t="n">
        <f aca="false">IF(61&lt;5,0,IF(MAX(BH38:BM38)&gt;BM43+0+$B$18,1,0))</f>
        <v>0</v>
      </c>
      <c r="BN49" s="383" t="n">
        <f aca="false">IF(62&lt;5,0,IF(MAX(BI38:BN38)&gt;BN43+0+$B$18,1,0))</f>
        <v>0</v>
      </c>
      <c r="BO49" s="383" t="n">
        <f aca="false">IF(63&lt;5,0,IF(MAX(BJ38:BO38)&gt;BO43+0+$B$18,1,0))</f>
        <v>0</v>
      </c>
      <c r="BP49" s="383" t="n">
        <f aca="false">IF(64&lt;5,0,IF(MAX(BK38:BP38)&gt;BP43+0+$B$18,1,0))</f>
        <v>0</v>
      </c>
      <c r="BQ49" s="383" t="n">
        <f aca="false">IF(65&lt;5,0,IF(MAX(BL38:BQ38)&gt;BQ43+0+$B$18,1,0))</f>
        <v>0</v>
      </c>
      <c r="BR49" s="383" t="n">
        <f aca="false">IF(66&lt;5,0,IF(MAX(BM38:BR38)&gt;BR43+0+$B$18,1,0))</f>
        <v>0</v>
      </c>
      <c r="BS49" s="383" t="n">
        <f aca="false">IF(67&lt;5,0,IF(MAX(BN38:BS38)&gt;BS43+0+$B$18,1,0))</f>
        <v>0</v>
      </c>
      <c r="BT49" s="383" t="n">
        <f aca="false">IF(68&lt;5,0,IF(MAX(BO38:BT38)&gt;BT43+0+$B$18,1,0))</f>
        <v>0</v>
      </c>
      <c r="BU49" s="383" t="n">
        <f aca="false">IF(69&lt;5,0,IF(MAX(BP38:BU38)&gt;BU43+0+$B$18,1,0))</f>
        <v>0</v>
      </c>
      <c r="BV49" s="383" t="n">
        <f aca="false">IF(70&lt;5,0,IF(MAX(BQ38:BV38)&gt;BV43+0+$B$18,1,0))</f>
        <v>0</v>
      </c>
      <c r="BW49" s="383" t="n">
        <f aca="false">IF(71&lt;5,0,IF(MAX(BR38:BW38)&gt;BW43+0+$B$18,1,0))</f>
        <v>0</v>
      </c>
      <c r="BX49" s="383" t="n">
        <f aca="false">IF(72&lt;5,0,IF(MAX(BS38:BX38)&gt;BX43+0+$B$18,1,0))</f>
        <v>0</v>
      </c>
      <c r="BY49" s="383" t="n">
        <f aca="false">IF(73&lt;5,0,IF(MAX(BT38:BY38)&gt;BY43+0+$B$18,1,0))</f>
        <v>0</v>
      </c>
      <c r="BZ49" s="383" t="n">
        <f aca="false">IF(74&lt;5,0,IF(MAX(BU38:BZ38)&gt;BZ43+0+$B$18,1,0))</f>
        <v>0</v>
      </c>
      <c r="CA49" s="383" t="n">
        <f aca="false">IF(75&lt;5,0,IF(MAX(BV38:CA38)&gt;CA43+0+$B$18,1,0))</f>
        <v>0</v>
      </c>
      <c r="CB49" s="383" t="n">
        <f aca="false">IF(76&lt;5,0,IF(MAX(BW38:CB38)&gt;CB43+0+$B$18,1,0))</f>
        <v>0</v>
      </c>
      <c r="CC49" s="383" t="n">
        <f aca="false">IF(77&lt;5,0,IF(MAX(BX38:CC38)&gt;CC43+0+$B$18,1,0))</f>
        <v>0</v>
      </c>
      <c r="CD49" s="383" t="n">
        <f aca="false">IF(78&lt;5,0,IF(MAX(BY38:CD38)&gt;CD43+0+$B$18,1,0))</f>
        <v>0</v>
      </c>
      <c r="CE49" s="383" t="n">
        <f aca="false">IF(79&lt;5,0,IF(MAX(BZ38:CE38)&gt;CE43+0+$B$18,1,0))</f>
        <v>0</v>
      </c>
      <c r="CF49" s="383" t="n">
        <f aca="false">IF(80&lt;5,0,IF(MAX(CA38:CF38)&gt;CF43+0+$B$18,1,0))</f>
        <v>0</v>
      </c>
      <c r="CG49" s="383" t="n">
        <f aca="false">IF(81&lt;5,0,IF(MAX(CB38:CG38)&gt;CG43+0+$B$18,1,0))</f>
        <v>0</v>
      </c>
      <c r="CH49" s="383" t="n">
        <f aca="false">IF(82&lt;5,0,IF(MAX(CC38:CH38)&gt;CH43+0+$B$18,1,0))</f>
        <v>0</v>
      </c>
      <c r="CI49" s="383" t="n">
        <f aca="false">IF(83&lt;5,0,IF(MAX(CD38:CI38)&gt;CI43+0+$B$18,1,0))</f>
        <v>0</v>
      </c>
      <c r="CJ49" s="383" t="n">
        <f aca="false">IF(84&lt;5,0,IF(MAX(CE38:CJ38)&gt;CJ43+0+$B$18,1,0))</f>
        <v>0</v>
      </c>
      <c r="CK49" s="383" t="n">
        <f aca="false">IF(85&lt;5,0,IF(MAX(CF38:CK38)&gt;CK43+0+$B$18,1,0))</f>
        <v>0</v>
      </c>
      <c r="CL49" s="383" t="n">
        <f aca="false">IF(86&lt;5,0,IF(MAX(CG38:CL38)&gt;CL43+0+$B$18,1,0))</f>
        <v>0</v>
      </c>
      <c r="CM49" s="383" t="n">
        <f aca="false">IF(87&lt;5,0,IF(MAX(CH38:CM38)&gt;CM43+0+$B$18,1,0))</f>
        <v>0</v>
      </c>
      <c r="CN49" s="383" t="n">
        <f aca="false">IF(88&lt;5,0,IF(MAX(CI38:CN38)&gt;CN43+0+$B$18,1,0))</f>
        <v>0</v>
      </c>
      <c r="CO49" s="383" t="n">
        <f aca="false">IF(89&lt;5,0,IF(MAX(CJ38:CO38)&gt;CO43+0+$B$18,1,0))</f>
        <v>0</v>
      </c>
      <c r="CP49" s="383" t="n">
        <f aca="false">IF(90&lt;5,0,IF(MAX(CK38:CP38)&gt;CP43+0+$B$18,1,0))</f>
        <v>0</v>
      </c>
      <c r="CQ49" s="383" t="n">
        <f aca="false">IF(91&lt;5,0,IF(MAX(CL38:CQ38)&gt;CQ43+0+$B$18,1,0))</f>
        <v>0</v>
      </c>
      <c r="CR49" s="383" t="n">
        <f aca="false">IF(92&lt;5,0,IF(MAX(CM38:CR38)&gt;CR43+0+$B$18,1,0))</f>
        <v>0</v>
      </c>
      <c r="CS49" s="383" t="n">
        <f aca="false">IF(93&lt;5,0,IF(MAX(CN38:CS38)&gt;CS43+0+$B$18,1,0))</f>
        <v>0</v>
      </c>
      <c r="CT49" s="383" t="n">
        <f aca="false">IF(94&lt;5,0,IF(MAX(CO38:CT38)&gt;CT43+0+$B$18,1,0))</f>
        <v>0</v>
      </c>
      <c r="CU49" s="383" t="n">
        <f aca="false">IF(95&lt;5,0,IF(MAX(CP38:CU38)&gt;CU43+0+$B$18,1,0))</f>
        <v>0</v>
      </c>
      <c r="CV49" s="383" t="n">
        <f aca="false">IF(96&lt;5,0,IF(MAX(CQ38:CV38)&gt;CV43+0+$B$18,1,0))</f>
        <v>0</v>
      </c>
      <c r="CW49" s="383" t="n">
        <f aca="false">IF(97&lt;5,0,IF(MAX(CR38:CW38)&gt;CW43+0+$B$18,1,0))</f>
        <v>0</v>
      </c>
      <c r="CX49" s="383" t="n">
        <f aca="false">IF(98&lt;5,0,IF(MAX(CS38:CX38)&gt;CX43+0+$B$18,1,0))</f>
        <v>0</v>
      </c>
      <c r="CY49" s="383" t="n">
        <f aca="false">IF(99&lt;5,0,IF(MAX(CT38:CY38)&gt;CY43+0+$B$18,1,0))</f>
        <v>0</v>
      </c>
      <c r="CZ49" s="383" t="n">
        <f aca="false">IF(100&lt;5,0,IF(MAX(CU38:CZ38)&gt;CZ43+0+$B$18,1,0))</f>
        <v>0</v>
      </c>
      <c r="DA49" s="383" t="n">
        <f aca="false">IF(101&lt;5,0,IF(MAX(CV38:DA38)&gt;DA43+0+$B$18,1,0))</f>
        <v>0</v>
      </c>
      <c r="DB49" s="383" t="n">
        <f aca="false">IF(102&lt;5,0,IF(MAX(CW38:DB38)&gt;DB43+0+$B$18,1,0))</f>
        <v>0</v>
      </c>
      <c r="DC49" s="383" t="n">
        <f aca="false">IF(103&lt;5,0,IF(MAX(CX38:DC38)&gt;DC43+0+$B$18,1,0))</f>
        <v>0</v>
      </c>
      <c r="DD49" s="383" t="n">
        <f aca="false">IF(104&lt;5,0,IF(MAX(CY38:DD38)&gt;DD43+0+$B$18,1,0))</f>
        <v>0</v>
      </c>
      <c r="DE49" s="383" t="n">
        <f aca="false">IF(105&lt;5,0,IF(MAX(CZ38:DE38)&gt;DE43+0+$B$18,1,0))</f>
        <v>0</v>
      </c>
    </row>
    <row r="50" customFormat="false" ht="13.5" hidden="false" customHeight="true" outlineLevel="0" collapsed="false">
      <c r="A50" s="110" t="s">
        <v>1378</v>
      </c>
      <c r="B50" s="211" t="n">
        <f aca="false">$B$26</f>
        <v>160000</v>
      </c>
      <c r="E50" s="383" t="n">
        <f aca="false">IF(1&lt;5,0,IF(MAX(E38:E38)&gt;E43+1+$B$18,1,0))</f>
        <v>0</v>
      </c>
      <c r="F50" s="383" t="n">
        <f aca="false">IF(2&lt;5,0,IF(MAX(E38:F38)&gt;F43+1+$B$18,1,0))</f>
        <v>0</v>
      </c>
      <c r="G50" s="383" t="n">
        <f aca="false">IF(3&lt;5,0,IF(MAX(E38:G38)&gt;G43+1+$B$18,1,0))</f>
        <v>0</v>
      </c>
      <c r="H50" s="383" t="n">
        <f aca="false">IF(4&lt;5,0,IF(MAX(E38:H38)&gt;H43+1+$B$18,1,0))</f>
        <v>0</v>
      </c>
      <c r="I50" s="383" t="n">
        <f aca="false">IF(5&lt;5,0,IF(MAX(E38:I38)&gt;I43+1+$B$18,1,0))</f>
        <v>0</v>
      </c>
      <c r="J50" s="383" t="n">
        <f aca="false">IF(6&lt;5,0,IF(MAX(E38:J38)&gt;J43+1+$B$18,1,0))</f>
        <v>0</v>
      </c>
      <c r="K50" s="383" t="n">
        <f aca="false">IF(7&lt;5,0,IF(MAX(F38:K38)&gt;K43+1+$B$18,1,0))</f>
        <v>0</v>
      </c>
      <c r="L50" s="383" t="n">
        <f aca="false">IF(8&lt;5,0,IF(MAX(G38:L38)&gt;L43+1+$B$18,1,0))</f>
        <v>0</v>
      </c>
      <c r="M50" s="383" t="n">
        <f aca="false">IF(9&lt;5,0,IF(MAX(H38:M38)&gt;M43+1+$B$18,1,0))</f>
        <v>0</v>
      </c>
      <c r="N50" s="383" t="n">
        <f aca="false">IF(10&lt;5,0,IF(MAX(I38:N38)&gt;N43+1+$B$18,1,0))</f>
        <v>1</v>
      </c>
      <c r="O50" s="383" t="n">
        <f aca="false">IF(11&lt;5,0,IF(MAX(J38:O38)&gt;O43+1+$B$18,1,0))</f>
        <v>1</v>
      </c>
      <c r="P50" s="383" t="n">
        <f aca="false">IF(12&lt;5,0,IF(MAX(K38:P38)&gt;P43+1+$B$18,1,0))</f>
        <v>1</v>
      </c>
      <c r="Q50" s="383" t="n">
        <f aca="false">IF(13&lt;5,0,IF(MAX(L38:Q38)&gt;Q43+1+$B$18,1,0))</f>
        <v>1</v>
      </c>
      <c r="R50" s="383" t="n">
        <f aca="false">IF(14&lt;5,0,IF(MAX(M38:R38)&gt;R43+1+$B$18,1,0))</f>
        <v>1</v>
      </c>
      <c r="S50" s="383" t="n">
        <f aca="false">IF(15&lt;5,0,IF(MAX(N38:S38)&gt;S43+1+$B$18,1,0))</f>
        <v>1</v>
      </c>
      <c r="T50" s="383" t="n">
        <f aca="false">IF(16&lt;5,0,IF(MAX(O38:T38)&gt;T43+1+$B$18,1,0))</f>
        <v>1</v>
      </c>
      <c r="U50" s="383" t="n">
        <f aca="false">IF(17&lt;5,0,IF(MAX(P38:U38)&gt;U43+1+$B$18,1,0))</f>
        <v>1</v>
      </c>
      <c r="V50" s="383" t="n">
        <f aca="false">IF(18&lt;5,0,IF(MAX(Q38:V38)&gt;V43+1+$B$18,1,0))</f>
        <v>1</v>
      </c>
      <c r="W50" s="383" t="n">
        <f aca="false">IF(19&lt;5,0,IF(MAX(R38:W38)&gt;W43+1+$B$18,1,0))</f>
        <v>1</v>
      </c>
      <c r="X50" s="383" t="n">
        <f aca="false">IF(20&lt;5,0,IF(MAX(S38:X38)&gt;X43+1+$B$18,1,0))</f>
        <v>1</v>
      </c>
      <c r="Y50" s="383" t="n">
        <f aca="false">IF(21&lt;5,0,IF(MAX(T38:Y38)&gt;Y43+1+$B$18,1,0))</f>
        <v>1</v>
      </c>
      <c r="Z50" s="383" t="n">
        <f aca="false">IF(22&lt;5,0,IF(MAX(U38:Z38)&gt;Z43+1+$B$18,1,0))</f>
        <v>1</v>
      </c>
      <c r="AA50" s="383" t="n">
        <f aca="false">IF(23&lt;5,0,IF(MAX(V38:AA38)&gt;AA43+1+$B$18,1,0))</f>
        <v>1</v>
      </c>
      <c r="AB50" s="383" t="n">
        <f aca="false">IF(24&lt;5,0,IF(MAX(W38:AB38)&gt;AB43+1+$B$18,1,0))</f>
        <v>1</v>
      </c>
      <c r="AC50" s="383" t="n">
        <f aca="false">IF(25&lt;5,0,IF(MAX(X38:AC38)&gt;AC43+1+$B$18,1,0))</f>
        <v>1</v>
      </c>
      <c r="AD50" s="383" t="n">
        <f aca="false">IF(26&lt;5,0,IF(MAX(Y38:AD38)&gt;AD43+1+$B$18,1,0))</f>
        <v>1</v>
      </c>
      <c r="AE50" s="383" t="n">
        <f aca="false">IF(27&lt;5,0,IF(MAX(Z38:AE38)&gt;AE43+1+$B$18,1,0))</f>
        <v>1</v>
      </c>
      <c r="AF50" s="383" t="n">
        <f aca="false">IF(28&lt;5,0,IF(MAX(AA38:AF38)&gt;AF43+1+$B$18,1,0))</f>
        <v>1</v>
      </c>
      <c r="AG50" s="383" t="n">
        <f aca="false">IF(29&lt;5,0,IF(MAX(AB38:AG38)&gt;AG43+1+$B$18,1,0))</f>
        <v>1</v>
      </c>
      <c r="AH50" s="383" t="n">
        <f aca="false">IF(30&lt;5,0,IF(MAX(AC38:AH38)&gt;AH43+1+$B$18,1,0))</f>
        <v>1</v>
      </c>
      <c r="AI50" s="383" t="n">
        <f aca="false">IF(31&lt;5,0,IF(MAX(AD38:AI38)&gt;AI43+1+$B$18,1,0))</f>
        <v>1</v>
      </c>
      <c r="AJ50" s="383" t="n">
        <f aca="false">IF(32&lt;5,0,IF(MAX(AE38:AJ38)&gt;AJ43+1+$B$18,1,0))</f>
        <v>1</v>
      </c>
      <c r="AK50" s="383" t="n">
        <f aca="false">IF(33&lt;5,0,IF(MAX(AF38:AK38)&gt;AK43+1+$B$18,1,0))</f>
        <v>1</v>
      </c>
      <c r="AL50" s="383" t="n">
        <f aca="false">IF(34&lt;5,0,IF(MAX(AG38:AL38)&gt;AL43+1+$B$18,1,0))</f>
        <v>1</v>
      </c>
      <c r="AM50" s="383" t="n">
        <f aca="false">IF(35&lt;5,0,IF(MAX(AH38:AM38)&gt;AM43+1+$B$18,1,0))</f>
        <v>0</v>
      </c>
      <c r="AN50" s="383" t="n">
        <f aca="false">IF(36&lt;5,0,IF(MAX(AI38:AN38)&gt;AN43+1+$B$18,1,0))</f>
        <v>0</v>
      </c>
      <c r="AO50" s="383" t="n">
        <f aca="false">IF(37&lt;5,0,IF(MAX(AJ38:AO38)&gt;AO43+1+$B$18,1,0))</f>
        <v>0</v>
      </c>
      <c r="AP50" s="383" t="n">
        <f aca="false">IF(38&lt;5,0,IF(MAX(AK38:AP38)&gt;AP43+1+$B$18,1,0))</f>
        <v>0</v>
      </c>
      <c r="AQ50" s="383" t="n">
        <f aca="false">IF(39&lt;5,0,IF(MAX(AL38:AQ38)&gt;AQ43+1+$B$18,1,0))</f>
        <v>0</v>
      </c>
      <c r="AR50" s="383" t="n">
        <f aca="false">IF(40&lt;5,0,IF(MAX(AM38:AR38)&gt;AR43+1+$B$18,1,0))</f>
        <v>0</v>
      </c>
      <c r="AS50" s="383" t="n">
        <f aca="false">IF(41&lt;5,0,IF(MAX(AN38:AS38)&gt;AS43+1+$B$18,1,0))</f>
        <v>0</v>
      </c>
      <c r="AT50" s="383" t="n">
        <f aca="false">IF(42&lt;5,0,IF(MAX(AO38:AT38)&gt;AT43+1+$B$18,1,0))</f>
        <v>0</v>
      </c>
      <c r="AU50" s="383" t="n">
        <f aca="false">IF(43&lt;5,0,IF(MAX(AP38:AU38)&gt;AU43+1+$B$18,1,0))</f>
        <v>0</v>
      </c>
      <c r="AV50" s="383" t="n">
        <f aca="false">IF(44&lt;5,0,IF(MAX(AQ38:AV38)&gt;AV43+1+$B$18,1,0))</f>
        <v>0</v>
      </c>
      <c r="AW50" s="383" t="n">
        <f aca="false">IF(45&lt;5,0,IF(MAX(AR38:AW38)&gt;AW43+1+$B$18,1,0))</f>
        <v>0</v>
      </c>
      <c r="AX50" s="383" t="n">
        <f aca="false">IF(46&lt;5,0,IF(MAX(AS38:AX38)&gt;AX43+1+$B$18,1,0))</f>
        <v>0</v>
      </c>
      <c r="AY50" s="383" t="n">
        <f aca="false">IF(47&lt;5,0,IF(MAX(AT38:AY38)&gt;AY43+1+$B$18,1,0))</f>
        <v>0</v>
      </c>
      <c r="AZ50" s="383" t="n">
        <f aca="false">IF(48&lt;5,0,IF(MAX(AU38:AZ38)&gt;AZ43+1+$B$18,1,0))</f>
        <v>0</v>
      </c>
      <c r="BA50" s="383" t="n">
        <f aca="false">IF(49&lt;5,0,IF(MAX(AV38:BA38)&gt;BA43+1+$B$18,1,0))</f>
        <v>0</v>
      </c>
      <c r="BB50" s="383" t="n">
        <f aca="false">IF(50&lt;5,0,IF(MAX(AW38:BB38)&gt;BB43+1+$B$18,1,0))</f>
        <v>0</v>
      </c>
      <c r="BC50" s="383" t="n">
        <f aca="false">IF(51&lt;5,0,IF(MAX(AX38:BC38)&gt;BC43+1+$B$18,1,0))</f>
        <v>0</v>
      </c>
      <c r="BD50" s="383" t="n">
        <f aca="false">IF(52&lt;5,0,IF(MAX(AY38:BD38)&gt;BD43+1+$B$18,1,0))</f>
        <v>0</v>
      </c>
      <c r="BE50" s="383" t="n">
        <f aca="false">IF(53&lt;5,0,IF(MAX(AZ38:BE38)&gt;BE43+1+$B$18,1,0))</f>
        <v>0</v>
      </c>
      <c r="BF50" s="383" t="n">
        <f aca="false">IF(54&lt;5,0,IF(MAX(BA38:BF38)&gt;BF43+1+$B$18,1,0))</f>
        <v>0</v>
      </c>
      <c r="BG50" s="383" t="n">
        <f aca="false">IF(55&lt;5,0,IF(MAX(BB38:BG38)&gt;BG43+1+$B$18,1,0))</f>
        <v>0</v>
      </c>
      <c r="BH50" s="383" t="n">
        <f aca="false">IF(56&lt;5,0,IF(MAX(BC38:BH38)&gt;BH43+1+$B$18,1,0))</f>
        <v>0</v>
      </c>
      <c r="BI50" s="383" t="n">
        <f aca="false">IF(57&lt;5,0,IF(MAX(BD38:BI38)&gt;BI43+1+$B$18,1,0))</f>
        <v>0</v>
      </c>
      <c r="BJ50" s="383" t="n">
        <f aca="false">IF(58&lt;5,0,IF(MAX(BE38:BJ38)&gt;BJ43+1+$B$18,1,0))</f>
        <v>0</v>
      </c>
      <c r="BK50" s="383" t="n">
        <f aca="false">IF(59&lt;5,0,IF(MAX(BF38:BK38)&gt;BK43+1+$B$18,1,0))</f>
        <v>0</v>
      </c>
      <c r="BL50" s="383" t="n">
        <f aca="false">IF(60&lt;5,0,IF(MAX(BG38:BL38)&gt;BL43+1+$B$18,1,0))</f>
        <v>0</v>
      </c>
      <c r="BM50" s="383" t="n">
        <f aca="false">IF(61&lt;5,0,IF(MAX(BH38:BM38)&gt;BM43+1+$B$18,1,0))</f>
        <v>0</v>
      </c>
      <c r="BN50" s="383" t="n">
        <f aca="false">IF(62&lt;5,0,IF(MAX(BI38:BN38)&gt;BN43+1+$B$18,1,0))</f>
        <v>0</v>
      </c>
      <c r="BO50" s="383" t="n">
        <f aca="false">IF(63&lt;5,0,IF(MAX(BJ38:BO38)&gt;BO43+1+$B$18,1,0))</f>
        <v>0</v>
      </c>
      <c r="BP50" s="383" t="n">
        <f aca="false">IF(64&lt;5,0,IF(MAX(BK38:BP38)&gt;BP43+1+$B$18,1,0))</f>
        <v>0</v>
      </c>
      <c r="BQ50" s="383" t="n">
        <f aca="false">IF(65&lt;5,0,IF(MAX(BL38:BQ38)&gt;BQ43+1+$B$18,1,0))</f>
        <v>0</v>
      </c>
      <c r="BR50" s="383" t="n">
        <f aca="false">IF(66&lt;5,0,IF(MAX(BM38:BR38)&gt;BR43+1+$B$18,1,0))</f>
        <v>0</v>
      </c>
      <c r="BS50" s="383" t="n">
        <f aca="false">IF(67&lt;5,0,IF(MAX(BN38:BS38)&gt;BS43+1+$B$18,1,0))</f>
        <v>0</v>
      </c>
      <c r="BT50" s="383" t="n">
        <f aca="false">IF(68&lt;5,0,IF(MAX(BO38:BT38)&gt;BT43+1+$B$18,1,0))</f>
        <v>0</v>
      </c>
      <c r="BU50" s="383" t="n">
        <f aca="false">IF(69&lt;5,0,IF(MAX(BP38:BU38)&gt;BU43+1+$B$18,1,0))</f>
        <v>0</v>
      </c>
      <c r="BV50" s="383" t="n">
        <f aca="false">IF(70&lt;5,0,IF(MAX(BQ38:BV38)&gt;BV43+1+$B$18,1,0))</f>
        <v>0</v>
      </c>
      <c r="BW50" s="383" t="n">
        <f aca="false">IF(71&lt;5,0,IF(MAX(BR38:BW38)&gt;BW43+1+$B$18,1,0))</f>
        <v>0</v>
      </c>
      <c r="BX50" s="383" t="n">
        <f aca="false">IF(72&lt;5,0,IF(MAX(BS38:BX38)&gt;BX43+1+$B$18,1,0))</f>
        <v>0</v>
      </c>
      <c r="BY50" s="383" t="n">
        <f aca="false">IF(73&lt;5,0,IF(MAX(BT38:BY38)&gt;BY43+1+$B$18,1,0))</f>
        <v>0</v>
      </c>
      <c r="BZ50" s="383" t="n">
        <f aca="false">IF(74&lt;5,0,IF(MAX(BU38:BZ38)&gt;BZ43+1+$B$18,1,0))</f>
        <v>0</v>
      </c>
      <c r="CA50" s="383" t="n">
        <f aca="false">IF(75&lt;5,0,IF(MAX(BV38:CA38)&gt;CA43+1+$B$18,1,0))</f>
        <v>0</v>
      </c>
      <c r="CB50" s="383" t="n">
        <f aca="false">IF(76&lt;5,0,IF(MAX(BW38:CB38)&gt;CB43+1+$B$18,1,0))</f>
        <v>0</v>
      </c>
      <c r="CC50" s="383" t="n">
        <f aca="false">IF(77&lt;5,0,IF(MAX(BX38:CC38)&gt;CC43+1+$B$18,1,0))</f>
        <v>0</v>
      </c>
      <c r="CD50" s="383" t="n">
        <f aca="false">IF(78&lt;5,0,IF(MAX(BY38:CD38)&gt;CD43+1+$B$18,1,0))</f>
        <v>0</v>
      </c>
      <c r="CE50" s="383" t="n">
        <f aca="false">IF(79&lt;5,0,IF(MAX(BZ38:CE38)&gt;CE43+1+$B$18,1,0))</f>
        <v>0</v>
      </c>
      <c r="CF50" s="383" t="n">
        <f aca="false">IF(80&lt;5,0,IF(MAX(CA38:CF38)&gt;CF43+1+$B$18,1,0))</f>
        <v>0</v>
      </c>
      <c r="CG50" s="383" t="n">
        <f aca="false">IF(81&lt;5,0,IF(MAX(CB38:CG38)&gt;CG43+1+$B$18,1,0))</f>
        <v>0</v>
      </c>
      <c r="CH50" s="383" t="n">
        <f aca="false">IF(82&lt;5,0,IF(MAX(CC38:CH38)&gt;CH43+1+$B$18,1,0))</f>
        <v>0</v>
      </c>
      <c r="CI50" s="383" t="n">
        <f aca="false">IF(83&lt;5,0,IF(MAX(CD38:CI38)&gt;CI43+1+$B$18,1,0))</f>
        <v>0</v>
      </c>
      <c r="CJ50" s="383" t="n">
        <f aca="false">IF(84&lt;5,0,IF(MAX(CE38:CJ38)&gt;CJ43+1+$B$18,1,0))</f>
        <v>0</v>
      </c>
      <c r="CK50" s="383" t="n">
        <f aca="false">IF(85&lt;5,0,IF(MAX(CF38:CK38)&gt;CK43+1+$B$18,1,0))</f>
        <v>0</v>
      </c>
      <c r="CL50" s="383" t="n">
        <f aca="false">IF(86&lt;5,0,IF(MAX(CG38:CL38)&gt;CL43+1+$B$18,1,0))</f>
        <v>0</v>
      </c>
      <c r="CM50" s="383" t="n">
        <f aca="false">IF(87&lt;5,0,IF(MAX(CH38:CM38)&gt;CM43+1+$B$18,1,0))</f>
        <v>0</v>
      </c>
      <c r="CN50" s="383" t="n">
        <f aca="false">IF(88&lt;5,0,IF(MAX(CI38:CN38)&gt;CN43+1+$B$18,1,0))</f>
        <v>0</v>
      </c>
      <c r="CO50" s="383" t="n">
        <f aca="false">IF(89&lt;5,0,IF(MAX(CJ38:CO38)&gt;CO43+1+$B$18,1,0))</f>
        <v>0</v>
      </c>
      <c r="CP50" s="383" t="n">
        <f aca="false">IF(90&lt;5,0,IF(MAX(CK38:CP38)&gt;CP43+1+$B$18,1,0))</f>
        <v>0</v>
      </c>
      <c r="CQ50" s="383" t="n">
        <f aca="false">IF(91&lt;5,0,IF(MAX(CL38:CQ38)&gt;CQ43+1+$B$18,1,0))</f>
        <v>0</v>
      </c>
      <c r="CR50" s="383" t="n">
        <f aca="false">IF(92&lt;5,0,IF(MAX(CM38:CR38)&gt;CR43+1+$B$18,1,0))</f>
        <v>0</v>
      </c>
      <c r="CS50" s="383" t="n">
        <f aca="false">IF(93&lt;5,0,IF(MAX(CN38:CS38)&gt;CS43+1+$B$18,1,0))</f>
        <v>0</v>
      </c>
      <c r="CT50" s="383" t="n">
        <f aca="false">IF(94&lt;5,0,IF(MAX(CO38:CT38)&gt;CT43+1+$B$18,1,0))</f>
        <v>0</v>
      </c>
      <c r="CU50" s="383" t="n">
        <f aca="false">IF(95&lt;5,0,IF(MAX(CP38:CU38)&gt;CU43+1+$B$18,1,0))</f>
        <v>0</v>
      </c>
      <c r="CV50" s="383" t="n">
        <f aca="false">IF(96&lt;5,0,IF(MAX(CQ38:CV38)&gt;CV43+1+$B$18,1,0))</f>
        <v>0</v>
      </c>
      <c r="CW50" s="383" t="n">
        <f aca="false">IF(97&lt;5,0,IF(MAX(CR38:CW38)&gt;CW43+1+$B$18,1,0))</f>
        <v>0</v>
      </c>
      <c r="CX50" s="383" t="n">
        <f aca="false">IF(98&lt;5,0,IF(MAX(CS38:CX38)&gt;CX43+1+$B$18,1,0))</f>
        <v>0</v>
      </c>
      <c r="CY50" s="383" t="n">
        <f aca="false">IF(99&lt;5,0,IF(MAX(CT38:CY38)&gt;CY43+1+$B$18,1,0))</f>
        <v>0</v>
      </c>
      <c r="CZ50" s="383" t="n">
        <f aca="false">IF(100&lt;5,0,IF(MAX(CU38:CZ38)&gt;CZ43+1+$B$18,1,0))</f>
        <v>0</v>
      </c>
      <c r="DA50" s="383" t="n">
        <f aca="false">IF(101&lt;5,0,IF(MAX(CV38:DA38)&gt;DA43+1+$B$18,1,0))</f>
        <v>0</v>
      </c>
      <c r="DB50" s="383" t="n">
        <f aca="false">IF(102&lt;5,0,IF(MAX(CW38:DB38)&gt;DB43+1+$B$18,1,0))</f>
        <v>0</v>
      </c>
      <c r="DC50" s="383" t="n">
        <f aca="false">IF(103&lt;5,0,IF(MAX(CX38:DC38)&gt;DC43+1+$B$18,1,0))</f>
        <v>0</v>
      </c>
      <c r="DD50" s="383" t="n">
        <f aca="false">IF(104&lt;5,0,IF(MAX(CY38:DD38)&gt;DD43+1+$B$18,1,0))</f>
        <v>0</v>
      </c>
      <c r="DE50" s="383" t="n">
        <f aca="false">IF(105&lt;5,0,IF(MAX(CZ38:DE38)&gt;DE43+1+$B$18,1,0))</f>
        <v>0</v>
      </c>
    </row>
    <row r="51" customFormat="false" ht="13.5" hidden="false" customHeight="true" outlineLevel="0" collapsed="false">
      <c r="A51" s="110" t="s">
        <v>1379</v>
      </c>
      <c r="B51" s="211" t="n">
        <f aca="false">$B$26</f>
        <v>160000</v>
      </c>
      <c r="E51" s="383" t="n">
        <f aca="false">IF(1&lt;5,0,IF(MAX(E38:E38)&gt;E43+2+$B$18,1,0))</f>
        <v>0</v>
      </c>
      <c r="F51" s="383" t="n">
        <f aca="false">IF(2&lt;5,0,IF(MAX(E38:F38)&gt;F43+2+$B$18,1,0))</f>
        <v>0</v>
      </c>
      <c r="G51" s="383" t="n">
        <f aca="false">IF(3&lt;5,0,IF(MAX(E38:G38)&gt;G43+2+$B$18,1,0))</f>
        <v>0</v>
      </c>
      <c r="H51" s="383" t="n">
        <f aca="false">IF(4&lt;5,0,IF(MAX(E38:H38)&gt;H43+2+$B$18,1,0))</f>
        <v>0</v>
      </c>
      <c r="I51" s="383" t="n">
        <f aca="false">IF(5&lt;5,0,IF(MAX(E38:I38)&gt;I43+2+$B$18,1,0))</f>
        <v>0</v>
      </c>
      <c r="J51" s="383" t="n">
        <f aca="false">IF(6&lt;5,0,IF(MAX(E38:J38)&gt;J43+2+$B$18,1,0))</f>
        <v>0</v>
      </c>
      <c r="K51" s="383" t="n">
        <f aca="false">IF(7&lt;5,0,IF(MAX(F38:K38)&gt;K43+2+$B$18,1,0))</f>
        <v>0</v>
      </c>
      <c r="L51" s="383" t="n">
        <f aca="false">IF(8&lt;5,0,IF(MAX(G38:L38)&gt;L43+2+$B$18,1,0))</f>
        <v>0</v>
      </c>
      <c r="M51" s="383" t="n">
        <f aca="false">IF(9&lt;5,0,IF(MAX(H38:M38)&gt;M43+2+$B$18,1,0))</f>
        <v>0</v>
      </c>
      <c r="N51" s="383" t="n">
        <f aca="false">IF(10&lt;5,0,IF(MAX(I38:N38)&gt;N43+2+$B$18,1,0))</f>
        <v>0</v>
      </c>
      <c r="O51" s="383" t="n">
        <f aca="false">IF(11&lt;5,0,IF(MAX(J38:O38)&gt;O43+2+$B$18,1,0))</f>
        <v>1</v>
      </c>
      <c r="P51" s="383" t="n">
        <f aca="false">IF(12&lt;5,0,IF(MAX(K38:P38)&gt;P43+2+$B$18,1,0))</f>
        <v>1</v>
      </c>
      <c r="Q51" s="383" t="n">
        <f aca="false">IF(13&lt;5,0,IF(MAX(L38:Q38)&gt;Q43+2+$B$18,1,0))</f>
        <v>1</v>
      </c>
      <c r="R51" s="383" t="n">
        <f aca="false">IF(14&lt;5,0,IF(MAX(M38:R38)&gt;R43+2+$B$18,1,0))</f>
        <v>1</v>
      </c>
      <c r="S51" s="383" t="n">
        <f aca="false">IF(15&lt;5,0,IF(MAX(N38:S38)&gt;S43+2+$B$18,1,0))</f>
        <v>1</v>
      </c>
      <c r="T51" s="383" t="n">
        <f aca="false">IF(16&lt;5,0,IF(MAX(O38:T38)&gt;T43+2+$B$18,1,0))</f>
        <v>1</v>
      </c>
      <c r="U51" s="383" t="n">
        <f aca="false">IF(17&lt;5,0,IF(MAX(P38:U38)&gt;U43+2+$B$18,1,0))</f>
        <v>1</v>
      </c>
      <c r="V51" s="383" t="n">
        <f aca="false">IF(18&lt;5,0,IF(MAX(Q38:V38)&gt;V43+2+$B$18,1,0))</f>
        <v>1</v>
      </c>
      <c r="W51" s="383" t="n">
        <f aca="false">IF(19&lt;5,0,IF(MAX(R38:W38)&gt;W43+2+$B$18,1,0))</f>
        <v>1</v>
      </c>
      <c r="X51" s="383" t="n">
        <f aca="false">IF(20&lt;5,0,IF(MAX(S38:X38)&gt;X43+2+$B$18,1,0))</f>
        <v>1</v>
      </c>
      <c r="Y51" s="383" t="n">
        <f aca="false">IF(21&lt;5,0,IF(MAX(T38:Y38)&gt;Y43+2+$B$18,1,0))</f>
        <v>1</v>
      </c>
      <c r="Z51" s="383" t="n">
        <f aca="false">IF(22&lt;5,0,IF(MAX(U38:Z38)&gt;Z43+2+$B$18,1,0))</f>
        <v>1</v>
      </c>
      <c r="AA51" s="383" t="n">
        <f aca="false">IF(23&lt;5,0,IF(MAX(V38:AA38)&gt;AA43+2+$B$18,1,0))</f>
        <v>1</v>
      </c>
      <c r="AB51" s="383" t="n">
        <f aca="false">IF(24&lt;5,0,IF(MAX(W38:AB38)&gt;AB43+2+$B$18,1,0))</f>
        <v>1</v>
      </c>
      <c r="AC51" s="383" t="n">
        <f aca="false">IF(25&lt;5,0,IF(MAX(X38:AC38)&gt;AC43+2+$B$18,1,0))</f>
        <v>1</v>
      </c>
      <c r="AD51" s="383" t="n">
        <f aca="false">IF(26&lt;5,0,IF(MAX(Y38:AD38)&gt;AD43+2+$B$18,1,0))</f>
        <v>1</v>
      </c>
      <c r="AE51" s="383" t="n">
        <f aca="false">IF(27&lt;5,0,IF(MAX(Z38:AE38)&gt;AE43+2+$B$18,1,0))</f>
        <v>1</v>
      </c>
      <c r="AF51" s="383" t="n">
        <f aca="false">IF(28&lt;5,0,IF(MAX(AA38:AF38)&gt;AF43+2+$B$18,1,0))</f>
        <v>1</v>
      </c>
      <c r="AG51" s="383" t="n">
        <f aca="false">IF(29&lt;5,0,IF(MAX(AB38:AG38)&gt;AG43+2+$B$18,1,0))</f>
        <v>1</v>
      </c>
      <c r="AH51" s="383" t="n">
        <f aca="false">IF(30&lt;5,0,IF(MAX(AC38:AH38)&gt;AH43+2+$B$18,1,0))</f>
        <v>1</v>
      </c>
      <c r="AI51" s="383" t="n">
        <f aca="false">IF(31&lt;5,0,IF(MAX(AD38:AI38)&gt;AI43+2+$B$18,1,0))</f>
        <v>1</v>
      </c>
      <c r="AJ51" s="383" t="n">
        <f aca="false">IF(32&lt;5,0,IF(MAX(AE38:AJ38)&gt;AJ43+2+$B$18,1,0))</f>
        <v>1</v>
      </c>
      <c r="AK51" s="383" t="n">
        <f aca="false">IF(33&lt;5,0,IF(MAX(AF38:AK38)&gt;AK43+2+$B$18,1,0))</f>
        <v>1</v>
      </c>
      <c r="AL51" s="383" t="n">
        <f aca="false">IF(34&lt;5,0,IF(MAX(AG38:AL38)&gt;AL43+2+$B$18,1,0))</f>
        <v>1</v>
      </c>
      <c r="AM51" s="383" t="n">
        <f aca="false">IF(35&lt;5,0,IF(MAX(AH38:AM38)&gt;AM43+2+$B$18,1,0))</f>
        <v>0</v>
      </c>
      <c r="AN51" s="383" t="n">
        <f aca="false">IF(36&lt;5,0,IF(MAX(AI38:AN38)&gt;AN43+2+$B$18,1,0))</f>
        <v>0</v>
      </c>
      <c r="AO51" s="383" t="n">
        <f aca="false">IF(37&lt;5,0,IF(MAX(AJ38:AO38)&gt;AO43+2+$B$18,1,0))</f>
        <v>0</v>
      </c>
      <c r="AP51" s="383" t="n">
        <f aca="false">IF(38&lt;5,0,IF(MAX(AK38:AP38)&gt;AP43+2+$B$18,1,0))</f>
        <v>0</v>
      </c>
      <c r="AQ51" s="383" t="n">
        <f aca="false">IF(39&lt;5,0,IF(MAX(AL38:AQ38)&gt;AQ43+2+$B$18,1,0))</f>
        <v>0</v>
      </c>
      <c r="AR51" s="383" t="n">
        <f aca="false">IF(40&lt;5,0,IF(MAX(AM38:AR38)&gt;AR43+2+$B$18,1,0))</f>
        <v>0</v>
      </c>
      <c r="AS51" s="383" t="n">
        <f aca="false">IF(41&lt;5,0,IF(MAX(AN38:AS38)&gt;AS43+2+$B$18,1,0))</f>
        <v>0</v>
      </c>
      <c r="AT51" s="383" t="n">
        <f aca="false">IF(42&lt;5,0,IF(MAX(AO38:AT38)&gt;AT43+2+$B$18,1,0))</f>
        <v>0</v>
      </c>
      <c r="AU51" s="383" t="n">
        <f aca="false">IF(43&lt;5,0,IF(MAX(AP38:AU38)&gt;AU43+2+$B$18,1,0))</f>
        <v>0</v>
      </c>
      <c r="AV51" s="383" t="n">
        <f aca="false">IF(44&lt;5,0,IF(MAX(AQ38:AV38)&gt;AV43+2+$B$18,1,0))</f>
        <v>0</v>
      </c>
      <c r="AW51" s="383" t="n">
        <f aca="false">IF(45&lt;5,0,IF(MAX(AR38:AW38)&gt;AW43+2+$B$18,1,0))</f>
        <v>0</v>
      </c>
      <c r="AX51" s="383" t="n">
        <f aca="false">IF(46&lt;5,0,IF(MAX(AS38:AX38)&gt;AX43+2+$B$18,1,0))</f>
        <v>0</v>
      </c>
      <c r="AY51" s="383" t="n">
        <f aca="false">IF(47&lt;5,0,IF(MAX(AT38:AY38)&gt;AY43+2+$B$18,1,0))</f>
        <v>0</v>
      </c>
      <c r="AZ51" s="383" t="n">
        <f aca="false">IF(48&lt;5,0,IF(MAX(AU38:AZ38)&gt;AZ43+2+$B$18,1,0))</f>
        <v>0</v>
      </c>
      <c r="BA51" s="383" t="n">
        <f aca="false">IF(49&lt;5,0,IF(MAX(AV38:BA38)&gt;BA43+2+$B$18,1,0))</f>
        <v>0</v>
      </c>
      <c r="BB51" s="383" t="n">
        <f aca="false">IF(50&lt;5,0,IF(MAX(AW38:BB38)&gt;BB43+2+$B$18,1,0))</f>
        <v>0</v>
      </c>
      <c r="BC51" s="383" t="n">
        <f aca="false">IF(51&lt;5,0,IF(MAX(AX38:BC38)&gt;BC43+2+$B$18,1,0))</f>
        <v>0</v>
      </c>
      <c r="BD51" s="383" t="n">
        <f aca="false">IF(52&lt;5,0,IF(MAX(AY38:BD38)&gt;BD43+2+$B$18,1,0))</f>
        <v>0</v>
      </c>
      <c r="BE51" s="383" t="n">
        <f aca="false">IF(53&lt;5,0,IF(MAX(AZ38:BE38)&gt;BE43+2+$B$18,1,0))</f>
        <v>0</v>
      </c>
      <c r="BF51" s="383" t="n">
        <f aca="false">IF(54&lt;5,0,IF(MAX(BA38:BF38)&gt;BF43+2+$B$18,1,0))</f>
        <v>0</v>
      </c>
      <c r="BG51" s="383" t="n">
        <f aca="false">IF(55&lt;5,0,IF(MAX(BB38:BG38)&gt;BG43+2+$B$18,1,0))</f>
        <v>0</v>
      </c>
      <c r="BH51" s="383" t="n">
        <f aca="false">IF(56&lt;5,0,IF(MAX(BC38:BH38)&gt;BH43+2+$B$18,1,0))</f>
        <v>0</v>
      </c>
      <c r="BI51" s="383" t="n">
        <f aca="false">IF(57&lt;5,0,IF(MAX(BD38:BI38)&gt;BI43+2+$B$18,1,0))</f>
        <v>0</v>
      </c>
      <c r="BJ51" s="383" t="n">
        <f aca="false">IF(58&lt;5,0,IF(MAX(BE38:BJ38)&gt;BJ43+2+$B$18,1,0))</f>
        <v>0</v>
      </c>
      <c r="BK51" s="383" t="n">
        <f aca="false">IF(59&lt;5,0,IF(MAX(BF38:BK38)&gt;BK43+2+$B$18,1,0))</f>
        <v>0</v>
      </c>
      <c r="BL51" s="383" t="n">
        <f aca="false">IF(60&lt;5,0,IF(MAX(BG38:BL38)&gt;BL43+2+$B$18,1,0))</f>
        <v>0</v>
      </c>
      <c r="BM51" s="383" t="n">
        <f aca="false">IF(61&lt;5,0,IF(MAX(BH38:BM38)&gt;BM43+2+$B$18,1,0))</f>
        <v>0</v>
      </c>
      <c r="BN51" s="383" t="n">
        <f aca="false">IF(62&lt;5,0,IF(MAX(BI38:BN38)&gt;BN43+2+$B$18,1,0))</f>
        <v>0</v>
      </c>
      <c r="BO51" s="383" t="n">
        <f aca="false">IF(63&lt;5,0,IF(MAX(BJ38:BO38)&gt;BO43+2+$B$18,1,0))</f>
        <v>0</v>
      </c>
      <c r="BP51" s="383" t="n">
        <f aca="false">IF(64&lt;5,0,IF(MAX(BK38:BP38)&gt;BP43+2+$B$18,1,0))</f>
        <v>0</v>
      </c>
      <c r="BQ51" s="383" t="n">
        <f aca="false">IF(65&lt;5,0,IF(MAX(BL38:BQ38)&gt;BQ43+2+$B$18,1,0))</f>
        <v>0</v>
      </c>
      <c r="BR51" s="383" t="n">
        <f aca="false">IF(66&lt;5,0,IF(MAX(BM38:BR38)&gt;BR43+2+$B$18,1,0))</f>
        <v>0</v>
      </c>
      <c r="BS51" s="383" t="n">
        <f aca="false">IF(67&lt;5,0,IF(MAX(BN38:BS38)&gt;BS43+2+$B$18,1,0))</f>
        <v>0</v>
      </c>
      <c r="BT51" s="383" t="n">
        <f aca="false">IF(68&lt;5,0,IF(MAX(BO38:BT38)&gt;BT43+2+$B$18,1,0))</f>
        <v>0</v>
      </c>
      <c r="BU51" s="383" t="n">
        <f aca="false">IF(69&lt;5,0,IF(MAX(BP38:BU38)&gt;BU43+2+$B$18,1,0))</f>
        <v>0</v>
      </c>
      <c r="BV51" s="383" t="n">
        <f aca="false">IF(70&lt;5,0,IF(MAX(BQ38:BV38)&gt;BV43+2+$B$18,1,0))</f>
        <v>0</v>
      </c>
      <c r="BW51" s="383" t="n">
        <f aca="false">IF(71&lt;5,0,IF(MAX(BR38:BW38)&gt;BW43+2+$B$18,1,0))</f>
        <v>0</v>
      </c>
      <c r="BX51" s="383" t="n">
        <f aca="false">IF(72&lt;5,0,IF(MAX(BS38:BX38)&gt;BX43+2+$B$18,1,0))</f>
        <v>0</v>
      </c>
      <c r="BY51" s="383" t="n">
        <f aca="false">IF(73&lt;5,0,IF(MAX(BT38:BY38)&gt;BY43+2+$B$18,1,0))</f>
        <v>0</v>
      </c>
      <c r="BZ51" s="383" t="n">
        <f aca="false">IF(74&lt;5,0,IF(MAX(BU38:BZ38)&gt;BZ43+2+$B$18,1,0))</f>
        <v>0</v>
      </c>
      <c r="CA51" s="383" t="n">
        <f aca="false">IF(75&lt;5,0,IF(MAX(BV38:CA38)&gt;CA43+2+$B$18,1,0))</f>
        <v>0</v>
      </c>
      <c r="CB51" s="383" t="n">
        <f aca="false">IF(76&lt;5,0,IF(MAX(BW38:CB38)&gt;CB43+2+$B$18,1,0))</f>
        <v>0</v>
      </c>
      <c r="CC51" s="383" t="n">
        <f aca="false">IF(77&lt;5,0,IF(MAX(BX38:CC38)&gt;CC43+2+$B$18,1,0))</f>
        <v>0</v>
      </c>
      <c r="CD51" s="383" t="n">
        <f aca="false">IF(78&lt;5,0,IF(MAX(BY38:CD38)&gt;CD43+2+$B$18,1,0))</f>
        <v>0</v>
      </c>
      <c r="CE51" s="383" t="n">
        <f aca="false">IF(79&lt;5,0,IF(MAX(BZ38:CE38)&gt;CE43+2+$B$18,1,0))</f>
        <v>0</v>
      </c>
      <c r="CF51" s="383" t="n">
        <f aca="false">IF(80&lt;5,0,IF(MAX(CA38:CF38)&gt;CF43+2+$B$18,1,0))</f>
        <v>0</v>
      </c>
      <c r="CG51" s="383" t="n">
        <f aca="false">IF(81&lt;5,0,IF(MAX(CB38:CG38)&gt;CG43+2+$B$18,1,0))</f>
        <v>0</v>
      </c>
      <c r="CH51" s="383" t="n">
        <f aca="false">IF(82&lt;5,0,IF(MAX(CC38:CH38)&gt;CH43+2+$B$18,1,0))</f>
        <v>0</v>
      </c>
      <c r="CI51" s="383" t="n">
        <f aca="false">IF(83&lt;5,0,IF(MAX(CD38:CI38)&gt;CI43+2+$B$18,1,0))</f>
        <v>0</v>
      </c>
      <c r="CJ51" s="383" t="n">
        <f aca="false">IF(84&lt;5,0,IF(MAX(CE38:CJ38)&gt;CJ43+2+$B$18,1,0))</f>
        <v>0</v>
      </c>
      <c r="CK51" s="383" t="n">
        <f aca="false">IF(85&lt;5,0,IF(MAX(CF38:CK38)&gt;CK43+2+$B$18,1,0))</f>
        <v>0</v>
      </c>
      <c r="CL51" s="383" t="n">
        <f aca="false">IF(86&lt;5,0,IF(MAX(CG38:CL38)&gt;CL43+2+$B$18,1,0))</f>
        <v>0</v>
      </c>
      <c r="CM51" s="383" t="n">
        <f aca="false">IF(87&lt;5,0,IF(MAX(CH38:CM38)&gt;CM43+2+$B$18,1,0))</f>
        <v>0</v>
      </c>
      <c r="CN51" s="383" t="n">
        <f aca="false">IF(88&lt;5,0,IF(MAX(CI38:CN38)&gt;CN43+2+$B$18,1,0))</f>
        <v>0</v>
      </c>
      <c r="CO51" s="383" t="n">
        <f aca="false">IF(89&lt;5,0,IF(MAX(CJ38:CO38)&gt;CO43+2+$B$18,1,0))</f>
        <v>0</v>
      </c>
      <c r="CP51" s="383" t="n">
        <f aca="false">IF(90&lt;5,0,IF(MAX(CK38:CP38)&gt;CP43+2+$B$18,1,0))</f>
        <v>0</v>
      </c>
      <c r="CQ51" s="383" t="n">
        <f aca="false">IF(91&lt;5,0,IF(MAX(CL38:CQ38)&gt;CQ43+2+$B$18,1,0))</f>
        <v>0</v>
      </c>
      <c r="CR51" s="383" t="n">
        <f aca="false">IF(92&lt;5,0,IF(MAX(CM38:CR38)&gt;CR43+2+$B$18,1,0))</f>
        <v>0</v>
      </c>
      <c r="CS51" s="383" t="n">
        <f aca="false">IF(93&lt;5,0,IF(MAX(CN38:CS38)&gt;CS43+2+$B$18,1,0))</f>
        <v>0</v>
      </c>
      <c r="CT51" s="383" t="n">
        <f aca="false">IF(94&lt;5,0,IF(MAX(CO38:CT38)&gt;CT43+2+$B$18,1,0))</f>
        <v>0</v>
      </c>
      <c r="CU51" s="383" t="n">
        <f aca="false">IF(95&lt;5,0,IF(MAX(CP38:CU38)&gt;CU43+2+$B$18,1,0))</f>
        <v>0</v>
      </c>
      <c r="CV51" s="383" t="n">
        <f aca="false">IF(96&lt;5,0,IF(MAX(CQ38:CV38)&gt;CV43+2+$B$18,1,0))</f>
        <v>0</v>
      </c>
      <c r="CW51" s="383" t="n">
        <f aca="false">IF(97&lt;5,0,IF(MAX(CR38:CW38)&gt;CW43+2+$B$18,1,0))</f>
        <v>0</v>
      </c>
      <c r="CX51" s="383" t="n">
        <f aca="false">IF(98&lt;5,0,IF(MAX(CS38:CX38)&gt;CX43+2+$B$18,1,0))</f>
        <v>0</v>
      </c>
      <c r="CY51" s="383" t="n">
        <f aca="false">IF(99&lt;5,0,IF(MAX(CT38:CY38)&gt;CY43+2+$B$18,1,0))</f>
        <v>0</v>
      </c>
      <c r="CZ51" s="383" t="n">
        <f aca="false">IF(100&lt;5,0,IF(MAX(CU38:CZ38)&gt;CZ43+2+$B$18,1,0))</f>
        <v>0</v>
      </c>
      <c r="DA51" s="383" t="n">
        <f aca="false">IF(101&lt;5,0,IF(MAX(CV38:DA38)&gt;DA43+2+$B$18,1,0))</f>
        <v>0</v>
      </c>
      <c r="DB51" s="383" t="n">
        <f aca="false">IF(102&lt;5,0,IF(MAX(CW38:DB38)&gt;DB43+2+$B$18,1,0))</f>
        <v>0</v>
      </c>
      <c r="DC51" s="383" t="n">
        <f aca="false">IF(103&lt;5,0,IF(MAX(CX38:DC38)&gt;DC43+2+$B$18,1,0))</f>
        <v>0</v>
      </c>
      <c r="DD51" s="383" t="n">
        <f aca="false">IF(104&lt;5,0,IF(MAX(CY38:DD38)&gt;DD43+2+$B$18,1,0))</f>
        <v>0</v>
      </c>
      <c r="DE51" s="383" t="n">
        <f aca="false">IF(105&lt;5,0,IF(MAX(CZ38:DE38)&gt;DE43+2+$B$18,1,0))</f>
        <v>0</v>
      </c>
    </row>
    <row r="52" customFormat="false" ht="13.5" hidden="false" customHeight="true" outlineLevel="0" collapsed="false">
      <c r="A52" s="110" t="s">
        <v>1380</v>
      </c>
      <c r="B52" s="211" t="n">
        <f aca="false">$B$26</f>
        <v>160000</v>
      </c>
      <c r="E52" s="383" t="n">
        <f aca="false">IF(1&lt;5,0,IF(MAX(E38:E38)&gt;E43+3+$B$18,1,0))</f>
        <v>0</v>
      </c>
      <c r="F52" s="383" t="n">
        <f aca="false">IF(2&lt;5,0,IF(MAX(E38:F38)&gt;F43+3+$B$18,1,0))</f>
        <v>0</v>
      </c>
      <c r="G52" s="383" t="n">
        <f aca="false">IF(3&lt;5,0,IF(MAX(E38:G38)&gt;G43+3+$B$18,1,0))</f>
        <v>0</v>
      </c>
      <c r="H52" s="383" t="n">
        <f aca="false">IF(4&lt;5,0,IF(MAX(E38:H38)&gt;H43+3+$B$18,1,0))</f>
        <v>0</v>
      </c>
      <c r="I52" s="383" t="n">
        <f aca="false">IF(5&lt;5,0,IF(MAX(E38:I38)&gt;I43+3+$B$18,1,0))</f>
        <v>0</v>
      </c>
      <c r="J52" s="383" t="n">
        <f aca="false">IF(6&lt;5,0,IF(MAX(E38:J38)&gt;J43+3+$B$18,1,0))</f>
        <v>0</v>
      </c>
      <c r="K52" s="383" t="n">
        <f aca="false">IF(7&lt;5,0,IF(MAX(F38:K38)&gt;K43+3+$B$18,1,0))</f>
        <v>0</v>
      </c>
      <c r="L52" s="383" t="n">
        <f aca="false">IF(8&lt;5,0,IF(MAX(G38:L38)&gt;L43+3+$B$18,1,0))</f>
        <v>0</v>
      </c>
      <c r="M52" s="383" t="n">
        <f aca="false">IF(9&lt;5,0,IF(MAX(H38:M38)&gt;M43+3+$B$18,1,0))</f>
        <v>0</v>
      </c>
      <c r="N52" s="383" t="n">
        <f aca="false">IF(10&lt;5,0,IF(MAX(I38:N38)&gt;N43+3+$B$18,1,0))</f>
        <v>0</v>
      </c>
      <c r="O52" s="383" t="n">
        <f aca="false">IF(11&lt;5,0,IF(MAX(J38:O38)&gt;O43+3+$B$18,1,0))</f>
        <v>0</v>
      </c>
      <c r="P52" s="383" t="n">
        <f aca="false">IF(12&lt;5,0,IF(MAX(K38:P38)&gt;P43+3+$B$18,1,0))</f>
        <v>0</v>
      </c>
      <c r="Q52" s="383" t="n">
        <f aca="false">IF(13&lt;5,0,IF(MAX(L38:Q38)&gt;Q43+3+$B$18,1,0))</f>
        <v>1</v>
      </c>
      <c r="R52" s="383" t="n">
        <f aca="false">IF(14&lt;5,0,IF(MAX(M38:R38)&gt;R43+3+$B$18,1,0))</f>
        <v>1</v>
      </c>
      <c r="S52" s="383" t="n">
        <f aca="false">IF(15&lt;5,0,IF(MAX(N38:S38)&gt;S43+3+$B$18,1,0))</f>
        <v>1</v>
      </c>
      <c r="T52" s="383" t="n">
        <f aca="false">IF(16&lt;5,0,IF(MAX(O38:T38)&gt;T43+3+$B$18,1,0))</f>
        <v>1</v>
      </c>
      <c r="U52" s="383" t="n">
        <f aca="false">IF(17&lt;5,0,IF(MAX(P38:U38)&gt;U43+3+$B$18,1,0))</f>
        <v>1</v>
      </c>
      <c r="V52" s="383" t="n">
        <f aca="false">IF(18&lt;5,0,IF(MAX(Q38:V38)&gt;V43+3+$B$18,1,0))</f>
        <v>1</v>
      </c>
      <c r="W52" s="383" t="n">
        <f aca="false">IF(19&lt;5,0,IF(MAX(R38:W38)&gt;W43+3+$B$18,1,0))</f>
        <v>1</v>
      </c>
      <c r="X52" s="383" t="n">
        <f aca="false">IF(20&lt;5,0,IF(MAX(S38:X38)&gt;X43+3+$B$18,1,0))</f>
        <v>1</v>
      </c>
      <c r="Y52" s="383" t="n">
        <f aca="false">IF(21&lt;5,0,IF(MAX(T38:Y38)&gt;Y43+3+$B$18,1,0))</f>
        <v>1</v>
      </c>
      <c r="Z52" s="383" t="n">
        <f aca="false">IF(22&lt;5,0,IF(MAX(U38:Z38)&gt;Z43+3+$B$18,1,0))</f>
        <v>1</v>
      </c>
      <c r="AA52" s="383" t="n">
        <f aca="false">IF(23&lt;5,0,IF(MAX(V38:AA38)&gt;AA43+3+$B$18,1,0))</f>
        <v>1</v>
      </c>
      <c r="AB52" s="383" t="n">
        <f aca="false">IF(24&lt;5,0,IF(MAX(W38:AB38)&gt;AB43+3+$B$18,1,0))</f>
        <v>1</v>
      </c>
      <c r="AC52" s="383" t="n">
        <f aca="false">IF(25&lt;5,0,IF(MAX(X38:AC38)&gt;AC43+3+$B$18,1,0))</f>
        <v>1</v>
      </c>
      <c r="AD52" s="383" t="n">
        <f aca="false">IF(26&lt;5,0,IF(MAX(Y38:AD38)&gt;AD43+3+$B$18,1,0))</f>
        <v>1</v>
      </c>
      <c r="AE52" s="383" t="n">
        <f aca="false">IF(27&lt;5,0,IF(MAX(Z38:AE38)&gt;AE43+3+$B$18,1,0))</f>
        <v>1</v>
      </c>
      <c r="AF52" s="383" t="n">
        <f aca="false">IF(28&lt;5,0,IF(MAX(AA38:AF38)&gt;AF43+3+$B$18,1,0))</f>
        <v>1</v>
      </c>
      <c r="AG52" s="383" t="n">
        <f aca="false">IF(29&lt;5,0,IF(MAX(AB38:AG38)&gt;AG43+3+$B$18,1,0))</f>
        <v>1</v>
      </c>
      <c r="AH52" s="383" t="n">
        <f aca="false">IF(30&lt;5,0,IF(MAX(AC38:AH38)&gt;AH43+3+$B$18,1,0))</f>
        <v>0</v>
      </c>
      <c r="AI52" s="383" t="n">
        <f aca="false">IF(31&lt;5,0,IF(MAX(AD38:AI38)&gt;AI43+3+$B$18,1,0))</f>
        <v>0</v>
      </c>
      <c r="AJ52" s="383" t="n">
        <f aca="false">IF(32&lt;5,0,IF(MAX(AE38:AJ38)&gt;AJ43+3+$B$18,1,0))</f>
        <v>0</v>
      </c>
      <c r="AK52" s="383" t="n">
        <f aca="false">IF(33&lt;5,0,IF(MAX(AF38:AK38)&gt;AK43+3+$B$18,1,0))</f>
        <v>0</v>
      </c>
      <c r="AL52" s="383" t="n">
        <f aca="false">IF(34&lt;5,0,IF(MAX(AG38:AL38)&gt;AL43+3+$B$18,1,0))</f>
        <v>0</v>
      </c>
      <c r="AM52" s="383" t="n">
        <f aca="false">IF(35&lt;5,0,IF(MAX(AH38:AM38)&gt;AM43+3+$B$18,1,0))</f>
        <v>0</v>
      </c>
      <c r="AN52" s="383" t="n">
        <f aca="false">IF(36&lt;5,0,IF(MAX(AI38:AN38)&gt;AN43+3+$B$18,1,0))</f>
        <v>0</v>
      </c>
      <c r="AO52" s="383" t="n">
        <f aca="false">IF(37&lt;5,0,IF(MAX(AJ38:AO38)&gt;AO43+3+$B$18,1,0))</f>
        <v>0</v>
      </c>
      <c r="AP52" s="383" t="n">
        <f aca="false">IF(38&lt;5,0,IF(MAX(AK38:AP38)&gt;AP43+3+$B$18,1,0))</f>
        <v>0</v>
      </c>
      <c r="AQ52" s="383" t="n">
        <f aca="false">IF(39&lt;5,0,IF(MAX(AL38:AQ38)&gt;AQ43+3+$B$18,1,0))</f>
        <v>0</v>
      </c>
      <c r="AR52" s="383" t="n">
        <f aca="false">IF(40&lt;5,0,IF(MAX(AM38:AR38)&gt;AR43+3+$B$18,1,0))</f>
        <v>0</v>
      </c>
      <c r="AS52" s="383" t="n">
        <f aca="false">IF(41&lt;5,0,IF(MAX(AN38:AS38)&gt;AS43+3+$B$18,1,0))</f>
        <v>0</v>
      </c>
      <c r="AT52" s="383" t="n">
        <f aca="false">IF(42&lt;5,0,IF(MAX(AO38:AT38)&gt;AT43+3+$B$18,1,0))</f>
        <v>0</v>
      </c>
      <c r="AU52" s="383" t="n">
        <f aca="false">IF(43&lt;5,0,IF(MAX(AP38:AU38)&gt;AU43+3+$B$18,1,0))</f>
        <v>0</v>
      </c>
      <c r="AV52" s="383" t="n">
        <f aca="false">IF(44&lt;5,0,IF(MAX(AQ38:AV38)&gt;AV43+3+$B$18,1,0))</f>
        <v>0</v>
      </c>
      <c r="AW52" s="383" t="n">
        <f aca="false">IF(45&lt;5,0,IF(MAX(AR38:AW38)&gt;AW43+3+$B$18,1,0))</f>
        <v>0</v>
      </c>
      <c r="AX52" s="383" t="n">
        <f aca="false">IF(46&lt;5,0,IF(MAX(AS38:AX38)&gt;AX43+3+$B$18,1,0))</f>
        <v>0</v>
      </c>
      <c r="AY52" s="383" t="n">
        <f aca="false">IF(47&lt;5,0,IF(MAX(AT38:AY38)&gt;AY43+3+$B$18,1,0))</f>
        <v>0</v>
      </c>
      <c r="AZ52" s="383" t="n">
        <f aca="false">IF(48&lt;5,0,IF(MAX(AU38:AZ38)&gt;AZ43+3+$B$18,1,0))</f>
        <v>0</v>
      </c>
      <c r="BA52" s="383" t="n">
        <f aca="false">IF(49&lt;5,0,IF(MAX(AV38:BA38)&gt;BA43+3+$B$18,1,0))</f>
        <v>0</v>
      </c>
      <c r="BB52" s="383" t="n">
        <f aca="false">IF(50&lt;5,0,IF(MAX(AW38:BB38)&gt;BB43+3+$B$18,1,0))</f>
        <v>0</v>
      </c>
      <c r="BC52" s="383" t="n">
        <f aca="false">IF(51&lt;5,0,IF(MAX(AX38:BC38)&gt;BC43+3+$B$18,1,0))</f>
        <v>0</v>
      </c>
      <c r="BD52" s="383" t="n">
        <f aca="false">IF(52&lt;5,0,IF(MAX(AY38:BD38)&gt;BD43+3+$B$18,1,0))</f>
        <v>0</v>
      </c>
      <c r="BE52" s="383" t="n">
        <f aca="false">IF(53&lt;5,0,IF(MAX(AZ38:BE38)&gt;BE43+3+$B$18,1,0))</f>
        <v>0</v>
      </c>
      <c r="BF52" s="383" t="n">
        <f aca="false">IF(54&lt;5,0,IF(MAX(BA38:BF38)&gt;BF43+3+$B$18,1,0))</f>
        <v>0</v>
      </c>
      <c r="BG52" s="383" t="n">
        <f aca="false">IF(55&lt;5,0,IF(MAX(BB38:BG38)&gt;BG43+3+$B$18,1,0))</f>
        <v>0</v>
      </c>
      <c r="BH52" s="383" t="n">
        <f aca="false">IF(56&lt;5,0,IF(MAX(BC38:BH38)&gt;BH43+3+$B$18,1,0))</f>
        <v>0</v>
      </c>
      <c r="BI52" s="383" t="n">
        <f aca="false">IF(57&lt;5,0,IF(MAX(BD38:BI38)&gt;BI43+3+$B$18,1,0))</f>
        <v>0</v>
      </c>
      <c r="BJ52" s="383" t="n">
        <f aca="false">IF(58&lt;5,0,IF(MAX(BE38:BJ38)&gt;BJ43+3+$B$18,1,0))</f>
        <v>0</v>
      </c>
      <c r="BK52" s="383" t="n">
        <f aca="false">IF(59&lt;5,0,IF(MAX(BF38:BK38)&gt;BK43+3+$B$18,1,0))</f>
        <v>0</v>
      </c>
      <c r="BL52" s="383" t="n">
        <f aca="false">IF(60&lt;5,0,IF(MAX(BG38:BL38)&gt;BL43+3+$B$18,1,0))</f>
        <v>0</v>
      </c>
      <c r="BM52" s="383" t="n">
        <f aca="false">IF(61&lt;5,0,IF(MAX(BH38:BM38)&gt;BM43+3+$B$18,1,0))</f>
        <v>0</v>
      </c>
      <c r="BN52" s="383" t="n">
        <f aca="false">IF(62&lt;5,0,IF(MAX(BI38:BN38)&gt;BN43+3+$B$18,1,0))</f>
        <v>0</v>
      </c>
      <c r="BO52" s="383" t="n">
        <f aca="false">IF(63&lt;5,0,IF(MAX(BJ38:BO38)&gt;BO43+3+$B$18,1,0))</f>
        <v>0</v>
      </c>
      <c r="BP52" s="383" t="n">
        <f aca="false">IF(64&lt;5,0,IF(MAX(BK38:BP38)&gt;BP43+3+$B$18,1,0))</f>
        <v>0</v>
      </c>
      <c r="BQ52" s="383" t="n">
        <f aca="false">IF(65&lt;5,0,IF(MAX(BL38:BQ38)&gt;BQ43+3+$B$18,1,0))</f>
        <v>0</v>
      </c>
      <c r="BR52" s="383" t="n">
        <f aca="false">IF(66&lt;5,0,IF(MAX(BM38:BR38)&gt;BR43+3+$B$18,1,0))</f>
        <v>0</v>
      </c>
      <c r="BS52" s="383" t="n">
        <f aca="false">IF(67&lt;5,0,IF(MAX(BN38:BS38)&gt;BS43+3+$B$18,1,0))</f>
        <v>0</v>
      </c>
      <c r="BT52" s="383" t="n">
        <f aca="false">IF(68&lt;5,0,IF(MAX(BO38:BT38)&gt;BT43+3+$B$18,1,0))</f>
        <v>0</v>
      </c>
      <c r="BU52" s="383" t="n">
        <f aca="false">IF(69&lt;5,0,IF(MAX(BP38:BU38)&gt;BU43+3+$B$18,1,0))</f>
        <v>0</v>
      </c>
      <c r="BV52" s="383" t="n">
        <f aca="false">IF(70&lt;5,0,IF(MAX(BQ38:BV38)&gt;BV43+3+$B$18,1,0))</f>
        <v>0</v>
      </c>
      <c r="BW52" s="383" t="n">
        <f aca="false">IF(71&lt;5,0,IF(MAX(BR38:BW38)&gt;BW43+3+$B$18,1,0))</f>
        <v>0</v>
      </c>
      <c r="BX52" s="383" t="n">
        <f aca="false">IF(72&lt;5,0,IF(MAX(BS38:BX38)&gt;BX43+3+$B$18,1,0))</f>
        <v>0</v>
      </c>
      <c r="BY52" s="383" t="n">
        <f aca="false">IF(73&lt;5,0,IF(MAX(BT38:BY38)&gt;BY43+3+$B$18,1,0))</f>
        <v>0</v>
      </c>
      <c r="BZ52" s="383" t="n">
        <f aca="false">IF(74&lt;5,0,IF(MAX(BU38:BZ38)&gt;BZ43+3+$B$18,1,0))</f>
        <v>0</v>
      </c>
      <c r="CA52" s="383" t="n">
        <f aca="false">IF(75&lt;5,0,IF(MAX(BV38:CA38)&gt;CA43+3+$B$18,1,0))</f>
        <v>0</v>
      </c>
      <c r="CB52" s="383" t="n">
        <f aca="false">IF(76&lt;5,0,IF(MAX(BW38:CB38)&gt;CB43+3+$B$18,1,0))</f>
        <v>0</v>
      </c>
      <c r="CC52" s="383" t="n">
        <f aca="false">IF(77&lt;5,0,IF(MAX(BX38:CC38)&gt;CC43+3+$B$18,1,0))</f>
        <v>0</v>
      </c>
      <c r="CD52" s="383" t="n">
        <f aca="false">IF(78&lt;5,0,IF(MAX(BY38:CD38)&gt;CD43+3+$B$18,1,0))</f>
        <v>0</v>
      </c>
      <c r="CE52" s="383" t="n">
        <f aca="false">IF(79&lt;5,0,IF(MAX(BZ38:CE38)&gt;CE43+3+$B$18,1,0))</f>
        <v>0</v>
      </c>
      <c r="CF52" s="383" t="n">
        <f aca="false">IF(80&lt;5,0,IF(MAX(CA38:CF38)&gt;CF43+3+$B$18,1,0))</f>
        <v>0</v>
      </c>
      <c r="CG52" s="383" t="n">
        <f aca="false">IF(81&lt;5,0,IF(MAX(CB38:CG38)&gt;CG43+3+$B$18,1,0))</f>
        <v>0</v>
      </c>
      <c r="CH52" s="383" t="n">
        <f aca="false">IF(82&lt;5,0,IF(MAX(CC38:CH38)&gt;CH43+3+$B$18,1,0))</f>
        <v>0</v>
      </c>
      <c r="CI52" s="383" t="n">
        <f aca="false">IF(83&lt;5,0,IF(MAX(CD38:CI38)&gt;CI43+3+$B$18,1,0))</f>
        <v>0</v>
      </c>
      <c r="CJ52" s="383" t="n">
        <f aca="false">IF(84&lt;5,0,IF(MAX(CE38:CJ38)&gt;CJ43+3+$B$18,1,0))</f>
        <v>0</v>
      </c>
      <c r="CK52" s="383" t="n">
        <f aca="false">IF(85&lt;5,0,IF(MAX(CF38:CK38)&gt;CK43+3+$B$18,1,0))</f>
        <v>0</v>
      </c>
      <c r="CL52" s="383" t="n">
        <f aca="false">IF(86&lt;5,0,IF(MAX(CG38:CL38)&gt;CL43+3+$B$18,1,0))</f>
        <v>0</v>
      </c>
      <c r="CM52" s="383" t="n">
        <f aca="false">IF(87&lt;5,0,IF(MAX(CH38:CM38)&gt;CM43+3+$B$18,1,0))</f>
        <v>0</v>
      </c>
      <c r="CN52" s="383" t="n">
        <f aca="false">IF(88&lt;5,0,IF(MAX(CI38:CN38)&gt;CN43+3+$B$18,1,0))</f>
        <v>0</v>
      </c>
      <c r="CO52" s="383" t="n">
        <f aca="false">IF(89&lt;5,0,IF(MAX(CJ38:CO38)&gt;CO43+3+$B$18,1,0))</f>
        <v>0</v>
      </c>
      <c r="CP52" s="383" t="n">
        <f aca="false">IF(90&lt;5,0,IF(MAX(CK38:CP38)&gt;CP43+3+$B$18,1,0))</f>
        <v>0</v>
      </c>
      <c r="CQ52" s="383" t="n">
        <f aca="false">IF(91&lt;5,0,IF(MAX(CL38:CQ38)&gt;CQ43+3+$B$18,1,0))</f>
        <v>0</v>
      </c>
      <c r="CR52" s="383" t="n">
        <f aca="false">IF(92&lt;5,0,IF(MAX(CM38:CR38)&gt;CR43+3+$B$18,1,0))</f>
        <v>0</v>
      </c>
      <c r="CS52" s="383" t="n">
        <f aca="false">IF(93&lt;5,0,IF(MAX(CN38:CS38)&gt;CS43+3+$B$18,1,0))</f>
        <v>0</v>
      </c>
      <c r="CT52" s="383" t="n">
        <f aca="false">IF(94&lt;5,0,IF(MAX(CO38:CT38)&gt;CT43+3+$B$18,1,0))</f>
        <v>0</v>
      </c>
      <c r="CU52" s="383" t="n">
        <f aca="false">IF(95&lt;5,0,IF(MAX(CP38:CU38)&gt;CU43+3+$B$18,1,0))</f>
        <v>0</v>
      </c>
      <c r="CV52" s="383" t="n">
        <f aca="false">IF(96&lt;5,0,IF(MAX(CQ38:CV38)&gt;CV43+3+$B$18,1,0))</f>
        <v>0</v>
      </c>
      <c r="CW52" s="383" t="n">
        <f aca="false">IF(97&lt;5,0,IF(MAX(CR38:CW38)&gt;CW43+3+$B$18,1,0))</f>
        <v>0</v>
      </c>
      <c r="CX52" s="383" t="n">
        <f aca="false">IF(98&lt;5,0,IF(MAX(CS38:CX38)&gt;CX43+3+$B$18,1,0))</f>
        <v>0</v>
      </c>
      <c r="CY52" s="383" t="n">
        <f aca="false">IF(99&lt;5,0,IF(MAX(CT38:CY38)&gt;CY43+3+$B$18,1,0))</f>
        <v>0</v>
      </c>
      <c r="CZ52" s="383" t="n">
        <f aca="false">IF(100&lt;5,0,IF(MAX(CU38:CZ38)&gt;CZ43+3+$B$18,1,0))</f>
        <v>0</v>
      </c>
      <c r="DA52" s="383" t="n">
        <f aca="false">IF(101&lt;5,0,IF(MAX(CV38:DA38)&gt;DA43+3+$B$18,1,0))</f>
        <v>0</v>
      </c>
      <c r="DB52" s="383" t="n">
        <f aca="false">IF(102&lt;5,0,IF(MAX(CW38:DB38)&gt;DB43+3+$B$18,1,0))</f>
        <v>0</v>
      </c>
      <c r="DC52" s="383" t="n">
        <f aca="false">IF(103&lt;5,0,IF(MAX(CX38:DC38)&gt;DC43+3+$B$18,1,0))</f>
        <v>0</v>
      </c>
      <c r="DD52" s="383" t="n">
        <f aca="false">IF(104&lt;5,0,IF(MAX(CY38:DD38)&gt;DD43+3+$B$18,1,0))</f>
        <v>0</v>
      </c>
      <c r="DE52" s="383" t="n">
        <f aca="false">IF(105&lt;5,0,IF(MAX(CZ38:DE38)&gt;DE43+3+$B$18,1,0))</f>
        <v>0</v>
      </c>
    </row>
    <row r="53" customFormat="false" ht="13.5" hidden="false" customHeight="true" outlineLevel="0" collapsed="false">
      <c r="A53" s="110" t="s">
        <v>1381</v>
      </c>
      <c r="B53" s="211" t="n">
        <f aca="false">$B$26</f>
        <v>160000</v>
      </c>
      <c r="E53" s="383" t="n">
        <f aca="false">IF(1&lt;5,0,IF(MAX(E38:E38)&gt;E43+4+$B$18,1,0))</f>
        <v>0</v>
      </c>
      <c r="F53" s="383" t="n">
        <f aca="false">IF(2&lt;5,0,IF(MAX(E38:F38)&gt;F43+4+$B$18,1,0))</f>
        <v>0</v>
      </c>
      <c r="G53" s="383" t="n">
        <f aca="false">IF(3&lt;5,0,IF(MAX(E38:G38)&gt;G43+4+$B$18,1,0))</f>
        <v>0</v>
      </c>
      <c r="H53" s="383" t="n">
        <f aca="false">IF(4&lt;5,0,IF(MAX(E38:H38)&gt;H43+4+$B$18,1,0))</f>
        <v>0</v>
      </c>
      <c r="I53" s="383" t="n">
        <f aca="false">IF(5&lt;5,0,IF(MAX(E38:I38)&gt;I43+4+$B$18,1,0))</f>
        <v>0</v>
      </c>
      <c r="J53" s="383" t="n">
        <f aca="false">IF(6&lt;5,0,IF(MAX(E38:J38)&gt;J43+4+$B$18,1,0))</f>
        <v>0</v>
      </c>
      <c r="K53" s="383" t="n">
        <f aca="false">IF(7&lt;5,0,IF(MAX(F38:K38)&gt;K43+4+$B$18,1,0))</f>
        <v>0</v>
      </c>
      <c r="L53" s="383" t="n">
        <f aca="false">IF(8&lt;5,0,IF(MAX(G38:L38)&gt;L43+4+$B$18,1,0))</f>
        <v>0</v>
      </c>
      <c r="M53" s="383" t="n">
        <f aca="false">IF(9&lt;5,0,IF(MAX(H38:M38)&gt;M43+4+$B$18,1,0))</f>
        <v>0</v>
      </c>
      <c r="N53" s="383" t="n">
        <f aca="false">IF(10&lt;5,0,IF(MAX(I38:N38)&gt;N43+4+$B$18,1,0))</f>
        <v>0</v>
      </c>
      <c r="O53" s="383" t="n">
        <f aca="false">IF(11&lt;5,0,IF(MAX(J38:O38)&gt;O43+4+$B$18,1,0))</f>
        <v>0</v>
      </c>
      <c r="P53" s="383" t="n">
        <f aca="false">IF(12&lt;5,0,IF(MAX(K38:P38)&gt;P43+4+$B$18,1,0))</f>
        <v>0</v>
      </c>
      <c r="Q53" s="383" t="n">
        <f aca="false">IF(13&lt;5,0,IF(MAX(L38:Q38)&gt;Q43+4+$B$18,1,0))</f>
        <v>0</v>
      </c>
      <c r="R53" s="383" t="n">
        <f aca="false">IF(14&lt;5,0,IF(MAX(M38:R38)&gt;R43+4+$B$18,1,0))</f>
        <v>1</v>
      </c>
      <c r="S53" s="383" t="n">
        <f aca="false">IF(15&lt;5,0,IF(MAX(N38:S38)&gt;S43+4+$B$18,1,0))</f>
        <v>1</v>
      </c>
      <c r="T53" s="383" t="n">
        <f aca="false">IF(16&lt;5,0,IF(MAX(O38:T38)&gt;T43+4+$B$18,1,0))</f>
        <v>1</v>
      </c>
      <c r="U53" s="383" t="n">
        <f aca="false">IF(17&lt;5,0,IF(MAX(P38:U38)&gt;U43+4+$B$18,1,0))</f>
        <v>1</v>
      </c>
      <c r="V53" s="383" t="n">
        <f aca="false">IF(18&lt;5,0,IF(MAX(Q38:V38)&gt;V43+4+$B$18,1,0))</f>
        <v>1</v>
      </c>
      <c r="W53" s="383" t="n">
        <f aca="false">IF(19&lt;5,0,IF(MAX(R38:W38)&gt;W43+4+$B$18,1,0))</f>
        <v>1</v>
      </c>
      <c r="X53" s="383" t="n">
        <f aca="false">IF(20&lt;5,0,IF(MAX(S38:X38)&gt;X43+4+$B$18,1,0))</f>
        <v>1</v>
      </c>
      <c r="Y53" s="383" t="n">
        <f aca="false">IF(21&lt;5,0,IF(MAX(T38:Y38)&gt;Y43+4+$B$18,1,0))</f>
        <v>1</v>
      </c>
      <c r="Z53" s="383" t="n">
        <f aca="false">IF(22&lt;5,0,IF(MAX(U38:Z38)&gt;Z43+4+$B$18,1,0))</f>
        <v>1</v>
      </c>
      <c r="AA53" s="383" t="n">
        <f aca="false">IF(23&lt;5,0,IF(MAX(V38:AA38)&gt;AA43+4+$B$18,1,0))</f>
        <v>1</v>
      </c>
      <c r="AB53" s="383" t="n">
        <f aca="false">IF(24&lt;5,0,IF(MAX(W38:AB38)&gt;AB43+4+$B$18,1,0))</f>
        <v>1</v>
      </c>
      <c r="AC53" s="383" t="n">
        <f aca="false">IF(25&lt;5,0,IF(MAX(X38:AC38)&gt;AC43+4+$B$18,1,0))</f>
        <v>1</v>
      </c>
      <c r="AD53" s="383" t="n">
        <f aca="false">IF(26&lt;5,0,IF(MAX(Y38:AD38)&gt;AD43+4+$B$18,1,0))</f>
        <v>0</v>
      </c>
      <c r="AE53" s="383" t="n">
        <f aca="false">IF(27&lt;5,0,IF(MAX(Z38:AE38)&gt;AE43+4+$B$18,1,0))</f>
        <v>0</v>
      </c>
      <c r="AF53" s="383" t="n">
        <f aca="false">IF(28&lt;5,0,IF(MAX(AA38:AF38)&gt;AF43+4+$B$18,1,0))</f>
        <v>0</v>
      </c>
      <c r="AG53" s="383" t="n">
        <f aca="false">IF(29&lt;5,0,IF(MAX(AB38:AG38)&gt;AG43+4+$B$18,1,0))</f>
        <v>0</v>
      </c>
      <c r="AH53" s="383" t="n">
        <f aca="false">IF(30&lt;5,0,IF(MAX(AC38:AH38)&gt;AH43+4+$B$18,1,0))</f>
        <v>0</v>
      </c>
      <c r="AI53" s="383" t="n">
        <f aca="false">IF(31&lt;5,0,IF(MAX(AD38:AI38)&gt;AI43+4+$B$18,1,0))</f>
        <v>0</v>
      </c>
      <c r="AJ53" s="383" t="n">
        <f aca="false">IF(32&lt;5,0,IF(MAX(AE38:AJ38)&gt;AJ43+4+$B$18,1,0))</f>
        <v>0</v>
      </c>
      <c r="AK53" s="383" t="n">
        <f aca="false">IF(33&lt;5,0,IF(MAX(AF38:AK38)&gt;AK43+4+$B$18,1,0))</f>
        <v>0</v>
      </c>
      <c r="AL53" s="383" t="n">
        <f aca="false">IF(34&lt;5,0,IF(MAX(AG38:AL38)&gt;AL43+4+$B$18,1,0))</f>
        <v>0</v>
      </c>
      <c r="AM53" s="383" t="n">
        <f aca="false">IF(35&lt;5,0,IF(MAX(AH38:AM38)&gt;AM43+4+$B$18,1,0))</f>
        <v>0</v>
      </c>
      <c r="AN53" s="383" t="n">
        <f aca="false">IF(36&lt;5,0,IF(MAX(AI38:AN38)&gt;AN43+4+$B$18,1,0))</f>
        <v>0</v>
      </c>
      <c r="AO53" s="383" t="n">
        <f aca="false">IF(37&lt;5,0,IF(MAX(AJ38:AO38)&gt;AO43+4+$B$18,1,0))</f>
        <v>0</v>
      </c>
      <c r="AP53" s="383" t="n">
        <f aca="false">IF(38&lt;5,0,IF(MAX(AK38:AP38)&gt;AP43+4+$B$18,1,0))</f>
        <v>0</v>
      </c>
      <c r="AQ53" s="383" t="n">
        <f aca="false">IF(39&lt;5,0,IF(MAX(AL38:AQ38)&gt;AQ43+4+$B$18,1,0))</f>
        <v>0</v>
      </c>
      <c r="AR53" s="383" t="n">
        <f aca="false">IF(40&lt;5,0,IF(MAX(AM38:AR38)&gt;AR43+4+$B$18,1,0))</f>
        <v>0</v>
      </c>
      <c r="AS53" s="383" t="n">
        <f aca="false">IF(41&lt;5,0,IF(MAX(AN38:AS38)&gt;AS43+4+$B$18,1,0))</f>
        <v>0</v>
      </c>
      <c r="AT53" s="383" t="n">
        <f aca="false">IF(42&lt;5,0,IF(MAX(AO38:AT38)&gt;AT43+4+$B$18,1,0))</f>
        <v>0</v>
      </c>
      <c r="AU53" s="383" t="n">
        <f aca="false">IF(43&lt;5,0,IF(MAX(AP38:AU38)&gt;AU43+4+$B$18,1,0))</f>
        <v>0</v>
      </c>
      <c r="AV53" s="383" t="n">
        <f aca="false">IF(44&lt;5,0,IF(MAX(AQ38:AV38)&gt;AV43+4+$B$18,1,0))</f>
        <v>0</v>
      </c>
      <c r="AW53" s="383" t="n">
        <f aca="false">IF(45&lt;5,0,IF(MAX(AR38:AW38)&gt;AW43+4+$B$18,1,0))</f>
        <v>0</v>
      </c>
      <c r="AX53" s="383" t="n">
        <f aca="false">IF(46&lt;5,0,IF(MAX(AS38:AX38)&gt;AX43+4+$B$18,1,0))</f>
        <v>0</v>
      </c>
      <c r="AY53" s="383" t="n">
        <f aca="false">IF(47&lt;5,0,IF(MAX(AT38:AY38)&gt;AY43+4+$B$18,1,0))</f>
        <v>0</v>
      </c>
      <c r="AZ53" s="383" t="n">
        <f aca="false">IF(48&lt;5,0,IF(MAX(AU38:AZ38)&gt;AZ43+4+$B$18,1,0))</f>
        <v>0</v>
      </c>
      <c r="BA53" s="383" t="n">
        <f aca="false">IF(49&lt;5,0,IF(MAX(AV38:BA38)&gt;BA43+4+$B$18,1,0))</f>
        <v>0</v>
      </c>
      <c r="BB53" s="383" t="n">
        <f aca="false">IF(50&lt;5,0,IF(MAX(AW38:BB38)&gt;BB43+4+$B$18,1,0))</f>
        <v>0</v>
      </c>
      <c r="BC53" s="383" t="n">
        <f aca="false">IF(51&lt;5,0,IF(MAX(AX38:BC38)&gt;BC43+4+$B$18,1,0))</f>
        <v>0</v>
      </c>
      <c r="BD53" s="383" t="n">
        <f aca="false">IF(52&lt;5,0,IF(MAX(AY38:BD38)&gt;BD43+4+$B$18,1,0))</f>
        <v>0</v>
      </c>
      <c r="BE53" s="383" t="n">
        <f aca="false">IF(53&lt;5,0,IF(MAX(AZ38:BE38)&gt;BE43+4+$B$18,1,0))</f>
        <v>0</v>
      </c>
      <c r="BF53" s="383" t="n">
        <f aca="false">IF(54&lt;5,0,IF(MAX(BA38:BF38)&gt;BF43+4+$B$18,1,0))</f>
        <v>0</v>
      </c>
      <c r="BG53" s="383" t="n">
        <f aca="false">IF(55&lt;5,0,IF(MAX(BB38:BG38)&gt;BG43+4+$B$18,1,0))</f>
        <v>0</v>
      </c>
      <c r="BH53" s="383" t="n">
        <f aca="false">IF(56&lt;5,0,IF(MAX(BC38:BH38)&gt;BH43+4+$B$18,1,0))</f>
        <v>0</v>
      </c>
      <c r="BI53" s="383" t="n">
        <f aca="false">IF(57&lt;5,0,IF(MAX(BD38:BI38)&gt;BI43+4+$B$18,1,0))</f>
        <v>0</v>
      </c>
      <c r="BJ53" s="383" t="n">
        <f aca="false">IF(58&lt;5,0,IF(MAX(BE38:BJ38)&gt;BJ43+4+$B$18,1,0))</f>
        <v>0</v>
      </c>
      <c r="BK53" s="383" t="n">
        <f aca="false">IF(59&lt;5,0,IF(MAX(BF38:BK38)&gt;BK43+4+$B$18,1,0))</f>
        <v>0</v>
      </c>
      <c r="BL53" s="383" t="n">
        <f aca="false">IF(60&lt;5,0,IF(MAX(BG38:BL38)&gt;BL43+4+$B$18,1,0))</f>
        <v>0</v>
      </c>
      <c r="BM53" s="383" t="n">
        <f aca="false">IF(61&lt;5,0,IF(MAX(BH38:BM38)&gt;BM43+4+$B$18,1,0))</f>
        <v>0</v>
      </c>
      <c r="BN53" s="383" t="n">
        <f aca="false">IF(62&lt;5,0,IF(MAX(BI38:BN38)&gt;BN43+4+$B$18,1,0))</f>
        <v>0</v>
      </c>
      <c r="BO53" s="383" t="n">
        <f aca="false">IF(63&lt;5,0,IF(MAX(BJ38:BO38)&gt;BO43+4+$B$18,1,0))</f>
        <v>0</v>
      </c>
      <c r="BP53" s="383" t="n">
        <f aca="false">IF(64&lt;5,0,IF(MAX(BK38:BP38)&gt;BP43+4+$B$18,1,0))</f>
        <v>0</v>
      </c>
      <c r="BQ53" s="383" t="n">
        <f aca="false">IF(65&lt;5,0,IF(MAX(BL38:BQ38)&gt;BQ43+4+$B$18,1,0))</f>
        <v>0</v>
      </c>
      <c r="BR53" s="383" t="n">
        <f aca="false">IF(66&lt;5,0,IF(MAX(BM38:BR38)&gt;BR43+4+$B$18,1,0))</f>
        <v>0</v>
      </c>
      <c r="BS53" s="383" t="n">
        <f aca="false">IF(67&lt;5,0,IF(MAX(BN38:BS38)&gt;BS43+4+$B$18,1,0))</f>
        <v>0</v>
      </c>
      <c r="BT53" s="383" t="n">
        <f aca="false">IF(68&lt;5,0,IF(MAX(BO38:BT38)&gt;BT43+4+$B$18,1,0))</f>
        <v>0</v>
      </c>
      <c r="BU53" s="383" t="n">
        <f aca="false">IF(69&lt;5,0,IF(MAX(BP38:BU38)&gt;BU43+4+$B$18,1,0))</f>
        <v>0</v>
      </c>
      <c r="BV53" s="383" t="n">
        <f aca="false">IF(70&lt;5,0,IF(MAX(BQ38:BV38)&gt;BV43+4+$B$18,1,0))</f>
        <v>0</v>
      </c>
      <c r="BW53" s="383" t="n">
        <f aca="false">IF(71&lt;5,0,IF(MAX(BR38:BW38)&gt;BW43+4+$B$18,1,0))</f>
        <v>0</v>
      </c>
      <c r="BX53" s="383" t="n">
        <f aca="false">IF(72&lt;5,0,IF(MAX(BS38:BX38)&gt;BX43+4+$B$18,1,0))</f>
        <v>0</v>
      </c>
      <c r="BY53" s="383" t="n">
        <f aca="false">IF(73&lt;5,0,IF(MAX(BT38:BY38)&gt;BY43+4+$B$18,1,0))</f>
        <v>0</v>
      </c>
      <c r="BZ53" s="383" t="n">
        <f aca="false">IF(74&lt;5,0,IF(MAX(BU38:BZ38)&gt;BZ43+4+$B$18,1,0))</f>
        <v>0</v>
      </c>
      <c r="CA53" s="383" t="n">
        <f aca="false">IF(75&lt;5,0,IF(MAX(BV38:CA38)&gt;CA43+4+$B$18,1,0))</f>
        <v>0</v>
      </c>
      <c r="CB53" s="383" t="n">
        <f aca="false">IF(76&lt;5,0,IF(MAX(BW38:CB38)&gt;CB43+4+$B$18,1,0))</f>
        <v>0</v>
      </c>
      <c r="CC53" s="383" t="n">
        <f aca="false">IF(77&lt;5,0,IF(MAX(BX38:CC38)&gt;CC43+4+$B$18,1,0))</f>
        <v>0</v>
      </c>
      <c r="CD53" s="383" t="n">
        <f aca="false">IF(78&lt;5,0,IF(MAX(BY38:CD38)&gt;CD43+4+$B$18,1,0))</f>
        <v>0</v>
      </c>
      <c r="CE53" s="383" t="n">
        <f aca="false">IF(79&lt;5,0,IF(MAX(BZ38:CE38)&gt;CE43+4+$B$18,1,0))</f>
        <v>0</v>
      </c>
      <c r="CF53" s="383" t="n">
        <f aca="false">IF(80&lt;5,0,IF(MAX(CA38:CF38)&gt;CF43+4+$B$18,1,0))</f>
        <v>0</v>
      </c>
      <c r="CG53" s="383" t="n">
        <f aca="false">IF(81&lt;5,0,IF(MAX(CB38:CG38)&gt;CG43+4+$B$18,1,0))</f>
        <v>0</v>
      </c>
      <c r="CH53" s="383" t="n">
        <f aca="false">IF(82&lt;5,0,IF(MAX(CC38:CH38)&gt;CH43+4+$B$18,1,0))</f>
        <v>0</v>
      </c>
      <c r="CI53" s="383" t="n">
        <f aca="false">IF(83&lt;5,0,IF(MAX(CD38:CI38)&gt;CI43+4+$B$18,1,0))</f>
        <v>0</v>
      </c>
      <c r="CJ53" s="383" t="n">
        <f aca="false">IF(84&lt;5,0,IF(MAX(CE38:CJ38)&gt;CJ43+4+$B$18,1,0))</f>
        <v>0</v>
      </c>
      <c r="CK53" s="383" t="n">
        <f aca="false">IF(85&lt;5,0,IF(MAX(CF38:CK38)&gt;CK43+4+$B$18,1,0))</f>
        <v>0</v>
      </c>
      <c r="CL53" s="383" t="n">
        <f aca="false">IF(86&lt;5,0,IF(MAX(CG38:CL38)&gt;CL43+4+$B$18,1,0))</f>
        <v>0</v>
      </c>
      <c r="CM53" s="383" t="n">
        <f aca="false">IF(87&lt;5,0,IF(MAX(CH38:CM38)&gt;CM43+4+$B$18,1,0))</f>
        <v>0</v>
      </c>
      <c r="CN53" s="383" t="n">
        <f aca="false">IF(88&lt;5,0,IF(MAX(CI38:CN38)&gt;CN43+4+$B$18,1,0))</f>
        <v>0</v>
      </c>
      <c r="CO53" s="383" t="n">
        <f aca="false">IF(89&lt;5,0,IF(MAX(CJ38:CO38)&gt;CO43+4+$B$18,1,0))</f>
        <v>0</v>
      </c>
      <c r="CP53" s="383" t="n">
        <f aca="false">IF(90&lt;5,0,IF(MAX(CK38:CP38)&gt;CP43+4+$B$18,1,0))</f>
        <v>0</v>
      </c>
      <c r="CQ53" s="383" t="n">
        <f aca="false">IF(91&lt;5,0,IF(MAX(CL38:CQ38)&gt;CQ43+4+$B$18,1,0))</f>
        <v>0</v>
      </c>
      <c r="CR53" s="383" t="n">
        <f aca="false">IF(92&lt;5,0,IF(MAX(CM38:CR38)&gt;CR43+4+$B$18,1,0))</f>
        <v>0</v>
      </c>
      <c r="CS53" s="383" t="n">
        <f aca="false">IF(93&lt;5,0,IF(MAX(CN38:CS38)&gt;CS43+4+$B$18,1,0))</f>
        <v>0</v>
      </c>
      <c r="CT53" s="383" t="n">
        <f aca="false">IF(94&lt;5,0,IF(MAX(CO38:CT38)&gt;CT43+4+$B$18,1,0))</f>
        <v>0</v>
      </c>
      <c r="CU53" s="383" t="n">
        <f aca="false">IF(95&lt;5,0,IF(MAX(CP38:CU38)&gt;CU43+4+$B$18,1,0))</f>
        <v>0</v>
      </c>
      <c r="CV53" s="383" t="n">
        <f aca="false">IF(96&lt;5,0,IF(MAX(CQ38:CV38)&gt;CV43+4+$B$18,1,0))</f>
        <v>0</v>
      </c>
      <c r="CW53" s="383" t="n">
        <f aca="false">IF(97&lt;5,0,IF(MAX(CR38:CW38)&gt;CW43+4+$B$18,1,0))</f>
        <v>0</v>
      </c>
      <c r="CX53" s="383" t="n">
        <f aca="false">IF(98&lt;5,0,IF(MAX(CS38:CX38)&gt;CX43+4+$B$18,1,0))</f>
        <v>0</v>
      </c>
      <c r="CY53" s="383" t="n">
        <f aca="false">IF(99&lt;5,0,IF(MAX(CT38:CY38)&gt;CY43+4+$B$18,1,0))</f>
        <v>0</v>
      </c>
      <c r="CZ53" s="383" t="n">
        <f aca="false">IF(100&lt;5,0,IF(MAX(CU38:CZ38)&gt;CZ43+4+$B$18,1,0))</f>
        <v>0</v>
      </c>
      <c r="DA53" s="383" t="n">
        <f aca="false">IF(101&lt;5,0,IF(MAX(CV38:DA38)&gt;DA43+4+$B$18,1,0))</f>
        <v>0</v>
      </c>
      <c r="DB53" s="383" t="n">
        <f aca="false">IF(102&lt;5,0,IF(MAX(CW38:DB38)&gt;DB43+4+$B$18,1,0))</f>
        <v>0</v>
      </c>
      <c r="DC53" s="383" t="n">
        <f aca="false">IF(103&lt;5,0,IF(MAX(CX38:DC38)&gt;DC43+4+$B$18,1,0))</f>
        <v>0</v>
      </c>
      <c r="DD53" s="383" t="n">
        <f aca="false">IF(104&lt;5,0,IF(MAX(CY38:DD38)&gt;DD43+4+$B$18,1,0))</f>
        <v>0</v>
      </c>
      <c r="DE53" s="383" t="n">
        <f aca="false">IF(105&lt;5,0,IF(MAX(CZ38:DE38)&gt;DE43+4+$B$18,1,0))</f>
        <v>0</v>
      </c>
    </row>
    <row r="54" customFormat="false" ht="13.5" hidden="false" customHeight="true" outlineLevel="0" collapsed="false">
      <c r="A54" s="110" t="s">
        <v>1382</v>
      </c>
      <c r="B54" s="211" t="n">
        <f aca="false">$B$27</f>
        <v>125000</v>
      </c>
      <c r="E54" s="383" t="n">
        <f aca="false">IF(1&lt;5,0,IF(MAX(E38:E38)&gt;E43+5+$B$18,1,0))</f>
        <v>0</v>
      </c>
      <c r="F54" s="383" t="n">
        <f aca="false">IF(2&lt;5,0,IF(MAX(E38:F38)&gt;F43+5+$B$18,1,0))</f>
        <v>0</v>
      </c>
      <c r="G54" s="383" t="n">
        <f aca="false">IF(3&lt;5,0,IF(MAX(E38:G38)&gt;G43+5+$B$18,1,0))</f>
        <v>0</v>
      </c>
      <c r="H54" s="383" t="n">
        <f aca="false">IF(4&lt;5,0,IF(MAX(E38:H38)&gt;H43+5+$B$18,1,0))</f>
        <v>0</v>
      </c>
      <c r="I54" s="383" t="n">
        <f aca="false">IF(5&lt;5,0,IF(MAX(E38:I38)&gt;I43+5+$B$18,1,0))</f>
        <v>0</v>
      </c>
      <c r="J54" s="383" t="n">
        <f aca="false">IF(6&lt;5,0,IF(MAX(E38:J38)&gt;J43+5+$B$18,1,0))</f>
        <v>0</v>
      </c>
      <c r="K54" s="383" t="n">
        <f aca="false">IF(7&lt;5,0,IF(MAX(F38:K38)&gt;K43+5+$B$18,1,0))</f>
        <v>0</v>
      </c>
      <c r="L54" s="383" t="n">
        <f aca="false">IF(8&lt;5,0,IF(MAX(G38:L38)&gt;L43+5+$B$18,1,0))</f>
        <v>0</v>
      </c>
      <c r="M54" s="383" t="n">
        <f aca="false">IF(9&lt;5,0,IF(MAX(H38:M38)&gt;M43+5+$B$18,1,0))</f>
        <v>0</v>
      </c>
      <c r="N54" s="383" t="n">
        <f aca="false">IF(10&lt;5,0,IF(MAX(I38:N38)&gt;N43+5+$B$18,1,0))</f>
        <v>0</v>
      </c>
      <c r="O54" s="383" t="n">
        <f aca="false">IF(11&lt;5,0,IF(MAX(J38:O38)&gt;O43+5+$B$18,1,0))</f>
        <v>0</v>
      </c>
      <c r="P54" s="383" t="n">
        <f aca="false">IF(12&lt;5,0,IF(MAX(K38:P38)&gt;P43+5+$B$18,1,0))</f>
        <v>0</v>
      </c>
      <c r="Q54" s="383" t="n">
        <f aca="false">IF(13&lt;5,0,IF(MAX(L38:Q38)&gt;Q43+5+$B$18,1,0))</f>
        <v>0</v>
      </c>
      <c r="R54" s="383" t="n">
        <f aca="false">IF(14&lt;5,0,IF(MAX(M38:R38)&gt;R43+5+$B$18,1,0))</f>
        <v>0</v>
      </c>
      <c r="S54" s="383" t="n">
        <f aca="false">IF(15&lt;5,0,IF(MAX(N38:S38)&gt;S43+5+$B$18,1,0))</f>
        <v>0</v>
      </c>
      <c r="T54" s="383" t="n">
        <f aca="false">IF(16&lt;5,0,IF(MAX(O38:T38)&gt;T43+5+$B$18,1,0))</f>
        <v>1</v>
      </c>
      <c r="U54" s="383" t="n">
        <f aca="false">IF(17&lt;5,0,IF(MAX(P38:U38)&gt;U43+5+$B$18,1,0))</f>
        <v>1</v>
      </c>
      <c r="V54" s="383" t="n">
        <f aca="false">IF(18&lt;5,0,IF(MAX(Q38:V38)&gt;V43+5+$B$18,1,0))</f>
        <v>1</v>
      </c>
      <c r="W54" s="383" t="n">
        <f aca="false">IF(19&lt;5,0,IF(MAX(R38:W38)&gt;W43+5+$B$18,1,0))</f>
        <v>1</v>
      </c>
      <c r="X54" s="383" t="n">
        <f aca="false">IF(20&lt;5,0,IF(MAX(S38:X38)&gt;X43+5+$B$18,1,0))</f>
        <v>1</v>
      </c>
      <c r="Y54" s="383" t="n">
        <f aca="false">IF(21&lt;5,0,IF(MAX(T38:Y38)&gt;Y43+5+$B$18,1,0))</f>
        <v>1</v>
      </c>
      <c r="Z54" s="383" t="n">
        <f aca="false">IF(22&lt;5,0,IF(MAX(U38:Z38)&gt;Z43+5+$B$18,1,0))</f>
        <v>0</v>
      </c>
      <c r="AA54" s="383" t="n">
        <f aca="false">IF(23&lt;5,0,IF(MAX(V38:AA38)&gt;AA43+5+$B$18,1,0))</f>
        <v>0</v>
      </c>
      <c r="AB54" s="383" t="n">
        <f aca="false">IF(24&lt;5,0,IF(MAX(W38:AB38)&gt;AB43+5+$B$18,1,0))</f>
        <v>0</v>
      </c>
      <c r="AC54" s="383" t="n">
        <f aca="false">IF(25&lt;5,0,IF(MAX(X38:AC38)&gt;AC43+5+$B$18,1,0))</f>
        <v>0</v>
      </c>
      <c r="AD54" s="383" t="n">
        <f aca="false">IF(26&lt;5,0,IF(MAX(Y38:AD38)&gt;AD43+5+$B$18,1,0))</f>
        <v>0</v>
      </c>
      <c r="AE54" s="383" t="n">
        <f aca="false">IF(27&lt;5,0,IF(MAX(Z38:AE38)&gt;AE43+5+$B$18,1,0))</f>
        <v>0</v>
      </c>
      <c r="AF54" s="383" t="n">
        <f aca="false">IF(28&lt;5,0,IF(MAX(AA38:AF38)&gt;AF43+5+$B$18,1,0))</f>
        <v>0</v>
      </c>
      <c r="AG54" s="383" t="n">
        <f aca="false">IF(29&lt;5,0,IF(MAX(AB38:AG38)&gt;AG43+5+$B$18,1,0))</f>
        <v>0</v>
      </c>
      <c r="AH54" s="383" t="n">
        <f aca="false">IF(30&lt;5,0,IF(MAX(AC38:AH38)&gt;AH43+5+$B$18,1,0))</f>
        <v>0</v>
      </c>
      <c r="AI54" s="383" t="n">
        <f aca="false">IF(31&lt;5,0,IF(MAX(AD38:AI38)&gt;AI43+5+$B$18,1,0))</f>
        <v>0</v>
      </c>
      <c r="AJ54" s="383" t="n">
        <f aca="false">IF(32&lt;5,0,IF(MAX(AE38:AJ38)&gt;AJ43+5+$B$18,1,0))</f>
        <v>0</v>
      </c>
      <c r="AK54" s="383" t="n">
        <f aca="false">IF(33&lt;5,0,IF(MAX(AF38:AK38)&gt;AK43+5+$B$18,1,0))</f>
        <v>0</v>
      </c>
      <c r="AL54" s="383" t="n">
        <f aca="false">IF(34&lt;5,0,IF(MAX(AG38:AL38)&gt;AL43+5+$B$18,1,0))</f>
        <v>0</v>
      </c>
      <c r="AM54" s="383" t="n">
        <f aca="false">IF(35&lt;5,0,IF(MAX(AH38:AM38)&gt;AM43+5+$B$18,1,0))</f>
        <v>0</v>
      </c>
      <c r="AN54" s="383" t="n">
        <f aca="false">IF(36&lt;5,0,IF(MAX(AI38:AN38)&gt;AN43+5+$B$18,1,0))</f>
        <v>0</v>
      </c>
      <c r="AO54" s="383" t="n">
        <f aca="false">IF(37&lt;5,0,IF(MAX(AJ38:AO38)&gt;AO43+5+$B$18,1,0))</f>
        <v>0</v>
      </c>
      <c r="AP54" s="383" t="n">
        <f aca="false">IF(38&lt;5,0,IF(MAX(AK38:AP38)&gt;AP43+5+$B$18,1,0))</f>
        <v>0</v>
      </c>
      <c r="AQ54" s="383" t="n">
        <f aca="false">IF(39&lt;5,0,IF(MAX(AL38:AQ38)&gt;AQ43+5+$B$18,1,0))</f>
        <v>0</v>
      </c>
      <c r="AR54" s="383" t="n">
        <f aca="false">IF(40&lt;5,0,IF(MAX(AM38:AR38)&gt;AR43+5+$B$18,1,0))</f>
        <v>0</v>
      </c>
      <c r="AS54" s="383" t="n">
        <f aca="false">IF(41&lt;5,0,IF(MAX(AN38:AS38)&gt;AS43+5+$B$18,1,0))</f>
        <v>0</v>
      </c>
      <c r="AT54" s="383" t="n">
        <f aca="false">IF(42&lt;5,0,IF(MAX(AO38:AT38)&gt;AT43+5+$B$18,1,0))</f>
        <v>0</v>
      </c>
      <c r="AU54" s="383" t="n">
        <f aca="false">IF(43&lt;5,0,IF(MAX(AP38:AU38)&gt;AU43+5+$B$18,1,0))</f>
        <v>0</v>
      </c>
      <c r="AV54" s="383" t="n">
        <f aca="false">IF(44&lt;5,0,IF(MAX(AQ38:AV38)&gt;AV43+5+$B$18,1,0))</f>
        <v>0</v>
      </c>
      <c r="AW54" s="383" t="n">
        <f aca="false">IF(45&lt;5,0,IF(MAX(AR38:AW38)&gt;AW43+5+$B$18,1,0))</f>
        <v>0</v>
      </c>
      <c r="AX54" s="383" t="n">
        <f aca="false">IF(46&lt;5,0,IF(MAX(AS38:AX38)&gt;AX43+5+$B$18,1,0))</f>
        <v>0</v>
      </c>
      <c r="AY54" s="383" t="n">
        <f aca="false">IF(47&lt;5,0,IF(MAX(AT38:AY38)&gt;AY43+5+$B$18,1,0))</f>
        <v>0</v>
      </c>
      <c r="AZ54" s="383" t="n">
        <f aca="false">IF(48&lt;5,0,IF(MAX(AU38:AZ38)&gt;AZ43+5+$B$18,1,0))</f>
        <v>0</v>
      </c>
      <c r="BA54" s="383" t="n">
        <f aca="false">IF(49&lt;5,0,IF(MAX(AV38:BA38)&gt;BA43+5+$B$18,1,0))</f>
        <v>0</v>
      </c>
      <c r="BB54" s="383" t="n">
        <f aca="false">IF(50&lt;5,0,IF(MAX(AW38:BB38)&gt;BB43+5+$B$18,1,0))</f>
        <v>0</v>
      </c>
      <c r="BC54" s="383" t="n">
        <f aca="false">IF(51&lt;5,0,IF(MAX(AX38:BC38)&gt;BC43+5+$B$18,1,0))</f>
        <v>0</v>
      </c>
      <c r="BD54" s="383" t="n">
        <f aca="false">IF(52&lt;5,0,IF(MAX(AY38:BD38)&gt;BD43+5+$B$18,1,0))</f>
        <v>0</v>
      </c>
      <c r="BE54" s="383" t="n">
        <f aca="false">IF(53&lt;5,0,IF(MAX(AZ38:BE38)&gt;BE43+5+$B$18,1,0))</f>
        <v>0</v>
      </c>
      <c r="BF54" s="383" t="n">
        <f aca="false">IF(54&lt;5,0,IF(MAX(BA38:BF38)&gt;BF43+5+$B$18,1,0))</f>
        <v>0</v>
      </c>
      <c r="BG54" s="383" t="n">
        <f aca="false">IF(55&lt;5,0,IF(MAX(BB38:BG38)&gt;BG43+5+$B$18,1,0))</f>
        <v>0</v>
      </c>
      <c r="BH54" s="383" t="n">
        <f aca="false">IF(56&lt;5,0,IF(MAX(BC38:BH38)&gt;BH43+5+$B$18,1,0))</f>
        <v>0</v>
      </c>
      <c r="BI54" s="383" t="n">
        <f aca="false">IF(57&lt;5,0,IF(MAX(BD38:BI38)&gt;BI43+5+$B$18,1,0))</f>
        <v>0</v>
      </c>
      <c r="BJ54" s="383" t="n">
        <f aca="false">IF(58&lt;5,0,IF(MAX(BE38:BJ38)&gt;BJ43+5+$B$18,1,0))</f>
        <v>0</v>
      </c>
      <c r="BK54" s="383" t="n">
        <f aca="false">IF(59&lt;5,0,IF(MAX(BF38:BK38)&gt;BK43+5+$B$18,1,0))</f>
        <v>0</v>
      </c>
      <c r="BL54" s="383" t="n">
        <f aca="false">IF(60&lt;5,0,IF(MAX(BG38:BL38)&gt;BL43+5+$B$18,1,0))</f>
        <v>0</v>
      </c>
      <c r="BM54" s="383" t="n">
        <f aca="false">IF(61&lt;5,0,IF(MAX(BH38:BM38)&gt;BM43+5+$B$18,1,0))</f>
        <v>0</v>
      </c>
      <c r="BN54" s="383" t="n">
        <f aca="false">IF(62&lt;5,0,IF(MAX(BI38:BN38)&gt;BN43+5+$B$18,1,0))</f>
        <v>0</v>
      </c>
      <c r="BO54" s="383" t="n">
        <f aca="false">IF(63&lt;5,0,IF(MAX(BJ38:BO38)&gt;BO43+5+$B$18,1,0))</f>
        <v>0</v>
      </c>
      <c r="BP54" s="383" t="n">
        <f aca="false">IF(64&lt;5,0,IF(MAX(BK38:BP38)&gt;BP43+5+$B$18,1,0))</f>
        <v>0</v>
      </c>
      <c r="BQ54" s="383" t="n">
        <f aca="false">IF(65&lt;5,0,IF(MAX(BL38:BQ38)&gt;BQ43+5+$B$18,1,0))</f>
        <v>0</v>
      </c>
      <c r="BR54" s="383" t="n">
        <f aca="false">IF(66&lt;5,0,IF(MAX(BM38:BR38)&gt;BR43+5+$B$18,1,0))</f>
        <v>0</v>
      </c>
      <c r="BS54" s="383" t="n">
        <f aca="false">IF(67&lt;5,0,IF(MAX(BN38:BS38)&gt;BS43+5+$B$18,1,0))</f>
        <v>0</v>
      </c>
      <c r="BT54" s="383" t="n">
        <f aca="false">IF(68&lt;5,0,IF(MAX(BO38:BT38)&gt;BT43+5+$B$18,1,0))</f>
        <v>0</v>
      </c>
      <c r="BU54" s="383" t="n">
        <f aca="false">IF(69&lt;5,0,IF(MAX(BP38:BU38)&gt;BU43+5+$B$18,1,0))</f>
        <v>0</v>
      </c>
      <c r="BV54" s="383" t="n">
        <f aca="false">IF(70&lt;5,0,IF(MAX(BQ38:BV38)&gt;BV43+5+$B$18,1,0))</f>
        <v>0</v>
      </c>
      <c r="BW54" s="383" t="n">
        <f aca="false">IF(71&lt;5,0,IF(MAX(BR38:BW38)&gt;BW43+5+$B$18,1,0))</f>
        <v>0</v>
      </c>
      <c r="BX54" s="383" t="n">
        <f aca="false">IF(72&lt;5,0,IF(MAX(BS38:BX38)&gt;BX43+5+$B$18,1,0))</f>
        <v>0</v>
      </c>
      <c r="BY54" s="383" t="n">
        <f aca="false">IF(73&lt;5,0,IF(MAX(BT38:BY38)&gt;BY43+5+$B$18,1,0))</f>
        <v>0</v>
      </c>
      <c r="BZ54" s="383" t="n">
        <f aca="false">IF(74&lt;5,0,IF(MAX(BU38:BZ38)&gt;BZ43+5+$B$18,1,0))</f>
        <v>0</v>
      </c>
      <c r="CA54" s="383" t="n">
        <f aca="false">IF(75&lt;5,0,IF(MAX(BV38:CA38)&gt;CA43+5+$B$18,1,0))</f>
        <v>0</v>
      </c>
      <c r="CB54" s="383" t="n">
        <f aca="false">IF(76&lt;5,0,IF(MAX(BW38:CB38)&gt;CB43+5+$B$18,1,0))</f>
        <v>0</v>
      </c>
      <c r="CC54" s="383" t="n">
        <f aca="false">IF(77&lt;5,0,IF(MAX(BX38:CC38)&gt;CC43+5+$B$18,1,0))</f>
        <v>0</v>
      </c>
      <c r="CD54" s="383" t="n">
        <f aca="false">IF(78&lt;5,0,IF(MAX(BY38:CD38)&gt;CD43+5+$B$18,1,0))</f>
        <v>0</v>
      </c>
      <c r="CE54" s="383" t="n">
        <f aca="false">IF(79&lt;5,0,IF(MAX(BZ38:CE38)&gt;CE43+5+$B$18,1,0))</f>
        <v>0</v>
      </c>
      <c r="CF54" s="383" t="n">
        <f aca="false">IF(80&lt;5,0,IF(MAX(CA38:CF38)&gt;CF43+5+$B$18,1,0))</f>
        <v>0</v>
      </c>
      <c r="CG54" s="383" t="n">
        <f aca="false">IF(81&lt;5,0,IF(MAX(CB38:CG38)&gt;CG43+5+$B$18,1,0))</f>
        <v>0</v>
      </c>
      <c r="CH54" s="383" t="n">
        <f aca="false">IF(82&lt;5,0,IF(MAX(CC38:CH38)&gt;CH43+5+$B$18,1,0))</f>
        <v>0</v>
      </c>
      <c r="CI54" s="383" t="n">
        <f aca="false">IF(83&lt;5,0,IF(MAX(CD38:CI38)&gt;CI43+5+$B$18,1,0))</f>
        <v>0</v>
      </c>
      <c r="CJ54" s="383" t="n">
        <f aca="false">IF(84&lt;5,0,IF(MAX(CE38:CJ38)&gt;CJ43+5+$B$18,1,0))</f>
        <v>0</v>
      </c>
      <c r="CK54" s="383" t="n">
        <f aca="false">IF(85&lt;5,0,IF(MAX(CF38:CK38)&gt;CK43+5+$B$18,1,0))</f>
        <v>0</v>
      </c>
      <c r="CL54" s="383" t="n">
        <f aca="false">IF(86&lt;5,0,IF(MAX(CG38:CL38)&gt;CL43+5+$B$18,1,0))</f>
        <v>0</v>
      </c>
      <c r="CM54" s="383" t="n">
        <f aca="false">IF(87&lt;5,0,IF(MAX(CH38:CM38)&gt;CM43+5+$B$18,1,0))</f>
        <v>0</v>
      </c>
      <c r="CN54" s="383" t="n">
        <f aca="false">IF(88&lt;5,0,IF(MAX(CI38:CN38)&gt;CN43+5+$B$18,1,0))</f>
        <v>0</v>
      </c>
      <c r="CO54" s="383" t="n">
        <f aca="false">IF(89&lt;5,0,IF(MAX(CJ38:CO38)&gt;CO43+5+$B$18,1,0))</f>
        <v>0</v>
      </c>
      <c r="CP54" s="383" t="n">
        <f aca="false">IF(90&lt;5,0,IF(MAX(CK38:CP38)&gt;CP43+5+$B$18,1,0))</f>
        <v>0</v>
      </c>
      <c r="CQ54" s="383" t="n">
        <f aca="false">IF(91&lt;5,0,IF(MAX(CL38:CQ38)&gt;CQ43+5+$B$18,1,0))</f>
        <v>0</v>
      </c>
      <c r="CR54" s="383" t="n">
        <f aca="false">IF(92&lt;5,0,IF(MAX(CM38:CR38)&gt;CR43+5+$B$18,1,0))</f>
        <v>0</v>
      </c>
      <c r="CS54" s="383" t="n">
        <f aca="false">IF(93&lt;5,0,IF(MAX(CN38:CS38)&gt;CS43+5+$B$18,1,0))</f>
        <v>0</v>
      </c>
      <c r="CT54" s="383" t="n">
        <f aca="false">IF(94&lt;5,0,IF(MAX(CO38:CT38)&gt;CT43+5+$B$18,1,0))</f>
        <v>0</v>
      </c>
      <c r="CU54" s="383" t="n">
        <f aca="false">IF(95&lt;5,0,IF(MAX(CP38:CU38)&gt;CU43+5+$B$18,1,0))</f>
        <v>0</v>
      </c>
      <c r="CV54" s="383" t="n">
        <f aca="false">IF(96&lt;5,0,IF(MAX(CQ38:CV38)&gt;CV43+5+$B$18,1,0))</f>
        <v>0</v>
      </c>
      <c r="CW54" s="383" t="n">
        <f aca="false">IF(97&lt;5,0,IF(MAX(CR38:CW38)&gt;CW43+5+$B$18,1,0))</f>
        <v>0</v>
      </c>
      <c r="CX54" s="383" t="n">
        <f aca="false">IF(98&lt;5,0,IF(MAX(CS38:CX38)&gt;CX43+5+$B$18,1,0))</f>
        <v>0</v>
      </c>
      <c r="CY54" s="383" t="n">
        <f aca="false">IF(99&lt;5,0,IF(MAX(CT38:CY38)&gt;CY43+5+$B$18,1,0))</f>
        <v>0</v>
      </c>
      <c r="CZ54" s="383" t="n">
        <f aca="false">IF(100&lt;5,0,IF(MAX(CU38:CZ38)&gt;CZ43+5+$B$18,1,0))</f>
        <v>0</v>
      </c>
      <c r="DA54" s="383" t="n">
        <f aca="false">IF(101&lt;5,0,IF(MAX(CV38:DA38)&gt;DA43+5+$B$18,1,0))</f>
        <v>0</v>
      </c>
      <c r="DB54" s="383" t="n">
        <f aca="false">IF(102&lt;5,0,IF(MAX(CW38:DB38)&gt;DB43+5+$B$18,1,0))</f>
        <v>0</v>
      </c>
      <c r="DC54" s="383" t="n">
        <f aca="false">IF(103&lt;5,0,IF(MAX(CX38:DC38)&gt;DC43+5+$B$18,1,0))</f>
        <v>0</v>
      </c>
      <c r="DD54" s="383" t="n">
        <f aca="false">IF(104&lt;5,0,IF(MAX(CY38:DD38)&gt;DD43+5+$B$18,1,0))</f>
        <v>0</v>
      </c>
      <c r="DE54" s="383" t="n">
        <f aca="false">IF(105&lt;5,0,IF(MAX(CZ38:DE38)&gt;DE43+5+$B$18,1,0))</f>
        <v>0</v>
      </c>
    </row>
    <row r="55" customFormat="false" ht="13.5" hidden="false" customHeight="true" outlineLevel="0" collapsed="false">
      <c r="A55" s="110" t="s">
        <v>1383</v>
      </c>
      <c r="B55" s="211" t="n">
        <f aca="false">$B$27</f>
        <v>125000</v>
      </c>
      <c r="E55" s="383" t="n">
        <f aca="false">IF(1&lt;5,0,IF(MAX(E38:E38)&gt;E43+6+$B$18,1,0))</f>
        <v>0</v>
      </c>
      <c r="F55" s="383" t="n">
        <f aca="false">IF(2&lt;5,0,IF(MAX(E38:F38)&gt;F43+6+$B$18,1,0))</f>
        <v>0</v>
      </c>
      <c r="G55" s="383" t="n">
        <f aca="false">IF(3&lt;5,0,IF(MAX(E38:G38)&gt;G43+6+$B$18,1,0))</f>
        <v>0</v>
      </c>
      <c r="H55" s="383" t="n">
        <f aca="false">IF(4&lt;5,0,IF(MAX(E38:H38)&gt;H43+6+$B$18,1,0))</f>
        <v>0</v>
      </c>
      <c r="I55" s="383" t="n">
        <f aca="false">IF(5&lt;5,0,IF(MAX(E38:I38)&gt;I43+6+$B$18,1,0))</f>
        <v>0</v>
      </c>
      <c r="J55" s="383" t="n">
        <f aca="false">IF(6&lt;5,0,IF(MAX(E38:J38)&gt;J43+6+$B$18,1,0))</f>
        <v>0</v>
      </c>
      <c r="K55" s="383" t="n">
        <f aca="false">IF(7&lt;5,0,IF(MAX(F38:K38)&gt;K43+6+$B$18,1,0))</f>
        <v>0</v>
      </c>
      <c r="L55" s="383" t="n">
        <f aca="false">IF(8&lt;5,0,IF(MAX(G38:L38)&gt;L43+6+$B$18,1,0))</f>
        <v>0</v>
      </c>
      <c r="M55" s="383" t="n">
        <f aca="false">IF(9&lt;5,0,IF(MAX(H38:M38)&gt;M43+6+$B$18,1,0))</f>
        <v>0</v>
      </c>
      <c r="N55" s="383" t="n">
        <f aca="false">IF(10&lt;5,0,IF(MAX(I38:N38)&gt;N43+6+$B$18,1,0))</f>
        <v>0</v>
      </c>
      <c r="O55" s="383" t="n">
        <f aca="false">IF(11&lt;5,0,IF(MAX(J38:O38)&gt;O43+6+$B$18,1,0))</f>
        <v>0</v>
      </c>
      <c r="P55" s="383" t="n">
        <f aca="false">IF(12&lt;5,0,IF(MAX(K38:P38)&gt;P43+6+$B$18,1,0))</f>
        <v>0</v>
      </c>
      <c r="Q55" s="383" t="n">
        <f aca="false">IF(13&lt;5,0,IF(MAX(L38:Q38)&gt;Q43+6+$B$18,1,0))</f>
        <v>0</v>
      </c>
      <c r="R55" s="383" t="n">
        <f aca="false">IF(14&lt;5,0,IF(MAX(M38:R38)&gt;R43+6+$B$18,1,0))</f>
        <v>0</v>
      </c>
      <c r="S55" s="383" t="n">
        <f aca="false">IF(15&lt;5,0,IF(MAX(N38:S38)&gt;S43+6+$B$18,1,0))</f>
        <v>0</v>
      </c>
      <c r="T55" s="383" t="n">
        <f aca="false">IF(16&lt;5,0,IF(MAX(O38:T38)&gt;T43+6+$B$18,1,0))</f>
        <v>0</v>
      </c>
      <c r="U55" s="383" t="n">
        <f aca="false">IF(17&lt;5,0,IF(MAX(P38:U38)&gt;U43+6+$B$18,1,0))</f>
        <v>0</v>
      </c>
      <c r="V55" s="383" t="n">
        <f aca="false">IF(18&lt;5,0,IF(MAX(Q38:V38)&gt;V43+6+$B$18,1,0))</f>
        <v>0</v>
      </c>
      <c r="W55" s="383" t="n">
        <f aca="false">IF(19&lt;5,0,IF(MAX(R38:W38)&gt;W43+6+$B$18,1,0))</f>
        <v>0</v>
      </c>
      <c r="X55" s="383" t="n">
        <f aca="false">IF(20&lt;5,0,IF(MAX(S38:X38)&gt;X43+6+$B$18,1,0))</f>
        <v>0</v>
      </c>
      <c r="Y55" s="383" t="n">
        <f aca="false">IF(21&lt;5,0,IF(MAX(T38:Y38)&gt;Y43+6+$B$18,1,0))</f>
        <v>0</v>
      </c>
      <c r="Z55" s="383" t="n">
        <f aca="false">IF(22&lt;5,0,IF(MAX(U38:Z38)&gt;Z43+6+$B$18,1,0))</f>
        <v>0</v>
      </c>
      <c r="AA55" s="383" t="n">
        <f aca="false">IF(23&lt;5,0,IF(MAX(V38:AA38)&gt;AA43+6+$B$18,1,0))</f>
        <v>0</v>
      </c>
      <c r="AB55" s="383" t="n">
        <f aca="false">IF(24&lt;5,0,IF(MAX(W38:AB38)&gt;AB43+6+$B$18,1,0))</f>
        <v>0</v>
      </c>
      <c r="AC55" s="383" t="n">
        <f aca="false">IF(25&lt;5,0,IF(MAX(X38:AC38)&gt;AC43+6+$B$18,1,0))</f>
        <v>0</v>
      </c>
      <c r="AD55" s="383" t="n">
        <f aca="false">IF(26&lt;5,0,IF(MAX(Y38:AD38)&gt;AD43+6+$B$18,1,0))</f>
        <v>0</v>
      </c>
      <c r="AE55" s="383" t="n">
        <f aca="false">IF(27&lt;5,0,IF(MAX(Z38:AE38)&gt;AE43+6+$B$18,1,0))</f>
        <v>0</v>
      </c>
      <c r="AF55" s="383" t="n">
        <f aca="false">IF(28&lt;5,0,IF(MAX(AA38:AF38)&gt;AF43+6+$B$18,1,0))</f>
        <v>0</v>
      </c>
      <c r="AG55" s="383" t="n">
        <f aca="false">IF(29&lt;5,0,IF(MAX(AB38:AG38)&gt;AG43+6+$B$18,1,0))</f>
        <v>0</v>
      </c>
      <c r="AH55" s="383" t="n">
        <f aca="false">IF(30&lt;5,0,IF(MAX(AC38:AH38)&gt;AH43+6+$B$18,1,0))</f>
        <v>0</v>
      </c>
      <c r="AI55" s="383" t="n">
        <f aca="false">IF(31&lt;5,0,IF(MAX(AD38:AI38)&gt;AI43+6+$B$18,1,0))</f>
        <v>0</v>
      </c>
      <c r="AJ55" s="383" t="n">
        <f aca="false">IF(32&lt;5,0,IF(MAX(AE38:AJ38)&gt;AJ43+6+$B$18,1,0))</f>
        <v>0</v>
      </c>
      <c r="AK55" s="383" t="n">
        <f aca="false">IF(33&lt;5,0,IF(MAX(AF38:AK38)&gt;AK43+6+$B$18,1,0))</f>
        <v>0</v>
      </c>
      <c r="AL55" s="383" t="n">
        <f aca="false">IF(34&lt;5,0,IF(MAX(AG38:AL38)&gt;AL43+6+$B$18,1,0))</f>
        <v>0</v>
      </c>
      <c r="AM55" s="383" t="n">
        <f aca="false">IF(35&lt;5,0,IF(MAX(AH38:AM38)&gt;AM43+6+$B$18,1,0))</f>
        <v>0</v>
      </c>
      <c r="AN55" s="383" t="n">
        <f aca="false">IF(36&lt;5,0,IF(MAX(AI38:AN38)&gt;AN43+6+$B$18,1,0))</f>
        <v>0</v>
      </c>
      <c r="AO55" s="383" t="n">
        <f aca="false">IF(37&lt;5,0,IF(MAX(AJ38:AO38)&gt;AO43+6+$B$18,1,0))</f>
        <v>0</v>
      </c>
      <c r="AP55" s="383" t="n">
        <f aca="false">IF(38&lt;5,0,IF(MAX(AK38:AP38)&gt;AP43+6+$B$18,1,0))</f>
        <v>0</v>
      </c>
      <c r="AQ55" s="383" t="n">
        <f aca="false">IF(39&lt;5,0,IF(MAX(AL38:AQ38)&gt;AQ43+6+$B$18,1,0))</f>
        <v>0</v>
      </c>
      <c r="AR55" s="383" t="n">
        <f aca="false">IF(40&lt;5,0,IF(MAX(AM38:AR38)&gt;AR43+6+$B$18,1,0))</f>
        <v>0</v>
      </c>
      <c r="AS55" s="383" t="n">
        <f aca="false">IF(41&lt;5,0,IF(MAX(AN38:AS38)&gt;AS43+6+$B$18,1,0))</f>
        <v>0</v>
      </c>
      <c r="AT55" s="383" t="n">
        <f aca="false">IF(42&lt;5,0,IF(MAX(AO38:AT38)&gt;AT43+6+$B$18,1,0))</f>
        <v>0</v>
      </c>
      <c r="AU55" s="383" t="n">
        <f aca="false">IF(43&lt;5,0,IF(MAX(AP38:AU38)&gt;AU43+6+$B$18,1,0))</f>
        <v>0</v>
      </c>
      <c r="AV55" s="383" t="n">
        <f aca="false">IF(44&lt;5,0,IF(MAX(AQ38:AV38)&gt;AV43+6+$B$18,1,0))</f>
        <v>0</v>
      </c>
      <c r="AW55" s="383" t="n">
        <f aca="false">IF(45&lt;5,0,IF(MAX(AR38:AW38)&gt;AW43+6+$B$18,1,0))</f>
        <v>0</v>
      </c>
      <c r="AX55" s="383" t="n">
        <f aca="false">IF(46&lt;5,0,IF(MAX(AS38:AX38)&gt;AX43+6+$B$18,1,0))</f>
        <v>0</v>
      </c>
      <c r="AY55" s="383" t="n">
        <f aca="false">IF(47&lt;5,0,IF(MAX(AT38:AY38)&gt;AY43+6+$B$18,1,0))</f>
        <v>0</v>
      </c>
      <c r="AZ55" s="383" t="n">
        <f aca="false">IF(48&lt;5,0,IF(MAX(AU38:AZ38)&gt;AZ43+6+$B$18,1,0))</f>
        <v>0</v>
      </c>
      <c r="BA55" s="383" t="n">
        <f aca="false">IF(49&lt;5,0,IF(MAX(AV38:BA38)&gt;BA43+6+$B$18,1,0))</f>
        <v>0</v>
      </c>
      <c r="BB55" s="383" t="n">
        <f aca="false">IF(50&lt;5,0,IF(MAX(AW38:BB38)&gt;BB43+6+$B$18,1,0))</f>
        <v>0</v>
      </c>
      <c r="BC55" s="383" t="n">
        <f aca="false">IF(51&lt;5,0,IF(MAX(AX38:BC38)&gt;BC43+6+$B$18,1,0))</f>
        <v>0</v>
      </c>
      <c r="BD55" s="383" t="n">
        <f aca="false">IF(52&lt;5,0,IF(MAX(AY38:BD38)&gt;BD43+6+$B$18,1,0))</f>
        <v>0</v>
      </c>
      <c r="BE55" s="383" t="n">
        <f aca="false">IF(53&lt;5,0,IF(MAX(AZ38:BE38)&gt;BE43+6+$B$18,1,0))</f>
        <v>0</v>
      </c>
      <c r="BF55" s="383" t="n">
        <f aca="false">IF(54&lt;5,0,IF(MAX(BA38:BF38)&gt;BF43+6+$B$18,1,0))</f>
        <v>0</v>
      </c>
      <c r="BG55" s="383" t="n">
        <f aca="false">IF(55&lt;5,0,IF(MAX(BB38:BG38)&gt;BG43+6+$B$18,1,0))</f>
        <v>0</v>
      </c>
      <c r="BH55" s="383" t="n">
        <f aca="false">IF(56&lt;5,0,IF(MAX(BC38:BH38)&gt;BH43+6+$B$18,1,0))</f>
        <v>0</v>
      </c>
      <c r="BI55" s="383" t="n">
        <f aca="false">IF(57&lt;5,0,IF(MAX(BD38:BI38)&gt;BI43+6+$B$18,1,0))</f>
        <v>0</v>
      </c>
      <c r="BJ55" s="383" t="n">
        <f aca="false">IF(58&lt;5,0,IF(MAX(BE38:BJ38)&gt;BJ43+6+$B$18,1,0))</f>
        <v>0</v>
      </c>
      <c r="BK55" s="383" t="n">
        <f aca="false">IF(59&lt;5,0,IF(MAX(BF38:BK38)&gt;BK43+6+$B$18,1,0))</f>
        <v>0</v>
      </c>
      <c r="BL55" s="383" t="n">
        <f aca="false">IF(60&lt;5,0,IF(MAX(BG38:BL38)&gt;BL43+6+$B$18,1,0))</f>
        <v>0</v>
      </c>
      <c r="BM55" s="383" t="n">
        <f aca="false">IF(61&lt;5,0,IF(MAX(BH38:BM38)&gt;BM43+6+$B$18,1,0))</f>
        <v>0</v>
      </c>
      <c r="BN55" s="383" t="n">
        <f aca="false">IF(62&lt;5,0,IF(MAX(BI38:BN38)&gt;BN43+6+$B$18,1,0))</f>
        <v>0</v>
      </c>
      <c r="BO55" s="383" t="n">
        <f aca="false">IF(63&lt;5,0,IF(MAX(BJ38:BO38)&gt;BO43+6+$B$18,1,0))</f>
        <v>0</v>
      </c>
      <c r="BP55" s="383" t="n">
        <f aca="false">IF(64&lt;5,0,IF(MAX(BK38:BP38)&gt;BP43+6+$B$18,1,0))</f>
        <v>0</v>
      </c>
      <c r="BQ55" s="383" t="n">
        <f aca="false">IF(65&lt;5,0,IF(MAX(BL38:BQ38)&gt;BQ43+6+$B$18,1,0))</f>
        <v>0</v>
      </c>
      <c r="BR55" s="383" t="n">
        <f aca="false">IF(66&lt;5,0,IF(MAX(BM38:BR38)&gt;BR43+6+$B$18,1,0))</f>
        <v>0</v>
      </c>
      <c r="BS55" s="383" t="n">
        <f aca="false">IF(67&lt;5,0,IF(MAX(BN38:BS38)&gt;BS43+6+$B$18,1,0))</f>
        <v>0</v>
      </c>
      <c r="BT55" s="383" t="n">
        <f aca="false">IF(68&lt;5,0,IF(MAX(BO38:BT38)&gt;BT43+6+$B$18,1,0))</f>
        <v>0</v>
      </c>
      <c r="BU55" s="383" t="n">
        <f aca="false">IF(69&lt;5,0,IF(MAX(BP38:BU38)&gt;BU43+6+$B$18,1,0))</f>
        <v>0</v>
      </c>
      <c r="BV55" s="383" t="n">
        <f aca="false">IF(70&lt;5,0,IF(MAX(BQ38:BV38)&gt;BV43+6+$B$18,1,0))</f>
        <v>0</v>
      </c>
      <c r="BW55" s="383" t="n">
        <f aca="false">IF(71&lt;5,0,IF(MAX(BR38:BW38)&gt;BW43+6+$B$18,1,0))</f>
        <v>0</v>
      </c>
      <c r="BX55" s="383" t="n">
        <f aca="false">IF(72&lt;5,0,IF(MAX(BS38:BX38)&gt;BX43+6+$B$18,1,0))</f>
        <v>0</v>
      </c>
      <c r="BY55" s="383" t="n">
        <f aca="false">IF(73&lt;5,0,IF(MAX(BT38:BY38)&gt;BY43+6+$B$18,1,0))</f>
        <v>0</v>
      </c>
      <c r="BZ55" s="383" t="n">
        <f aca="false">IF(74&lt;5,0,IF(MAX(BU38:BZ38)&gt;BZ43+6+$B$18,1,0))</f>
        <v>0</v>
      </c>
      <c r="CA55" s="383" t="n">
        <f aca="false">IF(75&lt;5,0,IF(MAX(BV38:CA38)&gt;CA43+6+$B$18,1,0))</f>
        <v>0</v>
      </c>
      <c r="CB55" s="383" t="n">
        <f aca="false">IF(76&lt;5,0,IF(MAX(BW38:CB38)&gt;CB43+6+$B$18,1,0))</f>
        <v>0</v>
      </c>
      <c r="CC55" s="383" t="n">
        <f aca="false">IF(77&lt;5,0,IF(MAX(BX38:CC38)&gt;CC43+6+$B$18,1,0))</f>
        <v>0</v>
      </c>
      <c r="CD55" s="383" t="n">
        <f aca="false">IF(78&lt;5,0,IF(MAX(BY38:CD38)&gt;CD43+6+$B$18,1,0))</f>
        <v>0</v>
      </c>
      <c r="CE55" s="383" t="n">
        <f aca="false">IF(79&lt;5,0,IF(MAX(BZ38:CE38)&gt;CE43+6+$B$18,1,0))</f>
        <v>0</v>
      </c>
      <c r="CF55" s="383" t="n">
        <f aca="false">IF(80&lt;5,0,IF(MAX(CA38:CF38)&gt;CF43+6+$B$18,1,0))</f>
        <v>0</v>
      </c>
      <c r="CG55" s="383" t="n">
        <f aca="false">IF(81&lt;5,0,IF(MAX(CB38:CG38)&gt;CG43+6+$B$18,1,0))</f>
        <v>0</v>
      </c>
      <c r="CH55" s="383" t="n">
        <f aca="false">IF(82&lt;5,0,IF(MAX(CC38:CH38)&gt;CH43+6+$B$18,1,0))</f>
        <v>0</v>
      </c>
      <c r="CI55" s="383" t="n">
        <f aca="false">IF(83&lt;5,0,IF(MAX(CD38:CI38)&gt;CI43+6+$B$18,1,0))</f>
        <v>0</v>
      </c>
      <c r="CJ55" s="383" t="n">
        <f aca="false">IF(84&lt;5,0,IF(MAX(CE38:CJ38)&gt;CJ43+6+$B$18,1,0))</f>
        <v>0</v>
      </c>
      <c r="CK55" s="383" t="n">
        <f aca="false">IF(85&lt;5,0,IF(MAX(CF38:CK38)&gt;CK43+6+$B$18,1,0))</f>
        <v>0</v>
      </c>
      <c r="CL55" s="383" t="n">
        <f aca="false">IF(86&lt;5,0,IF(MAX(CG38:CL38)&gt;CL43+6+$B$18,1,0))</f>
        <v>0</v>
      </c>
      <c r="CM55" s="383" t="n">
        <f aca="false">IF(87&lt;5,0,IF(MAX(CH38:CM38)&gt;CM43+6+$B$18,1,0))</f>
        <v>0</v>
      </c>
      <c r="CN55" s="383" t="n">
        <f aca="false">IF(88&lt;5,0,IF(MAX(CI38:CN38)&gt;CN43+6+$B$18,1,0))</f>
        <v>0</v>
      </c>
      <c r="CO55" s="383" t="n">
        <f aca="false">IF(89&lt;5,0,IF(MAX(CJ38:CO38)&gt;CO43+6+$B$18,1,0))</f>
        <v>0</v>
      </c>
      <c r="CP55" s="383" t="n">
        <f aca="false">IF(90&lt;5,0,IF(MAX(CK38:CP38)&gt;CP43+6+$B$18,1,0))</f>
        <v>0</v>
      </c>
      <c r="CQ55" s="383" t="n">
        <f aca="false">IF(91&lt;5,0,IF(MAX(CL38:CQ38)&gt;CQ43+6+$B$18,1,0))</f>
        <v>0</v>
      </c>
      <c r="CR55" s="383" t="n">
        <f aca="false">IF(92&lt;5,0,IF(MAX(CM38:CR38)&gt;CR43+6+$B$18,1,0))</f>
        <v>0</v>
      </c>
      <c r="CS55" s="383" t="n">
        <f aca="false">IF(93&lt;5,0,IF(MAX(CN38:CS38)&gt;CS43+6+$B$18,1,0))</f>
        <v>0</v>
      </c>
      <c r="CT55" s="383" t="n">
        <f aca="false">IF(94&lt;5,0,IF(MAX(CO38:CT38)&gt;CT43+6+$B$18,1,0))</f>
        <v>0</v>
      </c>
      <c r="CU55" s="383" t="n">
        <f aca="false">IF(95&lt;5,0,IF(MAX(CP38:CU38)&gt;CU43+6+$B$18,1,0))</f>
        <v>0</v>
      </c>
      <c r="CV55" s="383" t="n">
        <f aca="false">IF(96&lt;5,0,IF(MAX(CQ38:CV38)&gt;CV43+6+$B$18,1,0))</f>
        <v>0</v>
      </c>
      <c r="CW55" s="383" t="n">
        <f aca="false">IF(97&lt;5,0,IF(MAX(CR38:CW38)&gt;CW43+6+$B$18,1,0))</f>
        <v>0</v>
      </c>
      <c r="CX55" s="383" t="n">
        <f aca="false">IF(98&lt;5,0,IF(MAX(CS38:CX38)&gt;CX43+6+$B$18,1,0))</f>
        <v>0</v>
      </c>
      <c r="CY55" s="383" t="n">
        <f aca="false">IF(99&lt;5,0,IF(MAX(CT38:CY38)&gt;CY43+6+$B$18,1,0))</f>
        <v>0</v>
      </c>
      <c r="CZ55" s="383" t="n">
        <f aca="false">IF(100&lt;5,0,IF(MAX(CU38:CZ38)&gt;CZ43+6+$B$18,1,0))</f>
        <v>0</v>
      </c>
      <c r="DA55" s="383" t="n">
        <f aca="false">IF(101&lt;5,0,IF(MAX(CV38:DA38)&gt;DA43+6+$B$18,1,0))</f>
        <v>0</v>
      </c>
      <c r="DB55" s="383" t="n">
        <f aca="false">IF(102&lt;5,0,IF(MAX(CW38:DB38)&gt;DB43+6+$B$18,1,0))</f>
        <v>0</v>
      </c>
      <c r="DC55" s="383" t="n">
        <f aca="false">IF(103&lt;5,0,IF(MAX(CX38:DC38)&gt;DC43+6+$B$18,1,0))</f>
        <v>0</v>
      </c>
      <c r="DD55" s="383" t="n">
        <f aca="false">IF(104&lt;5,0,IF(MAX(CY38:DD38)&gt;DD43+6+$B$18,1,0))</f>
        <v>0</v>
      </c>
      <c r="DE55" s="383" t="n">
        <f aca="false">IF(105&lt;5,0,IF(MAX(CZ38:DE38)&gt;DE43+6+$B$18,1,0))</f>
        <v>0</v>
      </c>
    </row>
    <row r="56" customFormat="false" ht="13.5" hidden="false" customHeight="true" outlineLevel="0" collapsed="false">
      <c r="A56" s="110" t="s">
        <v>1384</v>
      </c>
      <c r="B56" s="211" t="n">
        <f aca="false">$B$27</f>
        <v>125000</v>
      </c>
      <c r="E56" s="383" t="n">
        <f aca="false">IF(1&lt;5,0,IF(MAX(E38:E38)&gt;E43+7+$B$18,1,0))</f>
        <v>0</v>
      </c>
      <c r="F56" s="383" t="n">
        <f aca="false">IF(2&lt;5,0,IF(MAX(E38:F38)&gt;F43+7+$B$18,1,0))</f>
        <v>0</v>
      </c>
      <c r="G56" s="383" t="n">
        <f aca="false">IF(3&lt;5,0,IF(MAX(E38:G38)&gt;G43+7+$B$18,1,0))</f>
        <v>0</v>
      </c>
      <c r="H56" s="383" t="n">
        <f aca="false">IF(4&lt;5,0,IF(MAX(E38:H38)&gt;H43+7+$B$18,1,0))</f>
        <v>0</v>
      </c>
      <c r="I56" s="383" t="n">
        <f aca="false">IF(5&lt;5,0,IF(MAX(E38:I38)&gt;I43+7+$B$18,1,0))</f>
        <v>0</v>
      </c>
      <c r="J56" s="383" t="n">
        <f aca="false">IF(6&lt;5,0,IF(MAX(E38:J38)&gt;J43+7+$B$18,1,0))</f>
        <v>0</v>
      </c>
      <c r="K56" s="383" t="n">
        <f aca="false">IF(7&lt;5,0,IF(MAX(F38:K38)&gt;K43+7+$B$18,1,0))</f>
        <v>0</v>
      </c>
      <c r="L56" s="383" t="n">
        <f aca="false">IF(8&lt;5,0,IF(MAX(G38:L38)&gt;L43+7+$B$18,1,0))</f>
        <v>0</v>
      </c>
      <c r="M56" s="383" t="n">
        <f aca="false">IF(9&lt;5,0,IF(MAX(H38:M38)&gt;M43+7+$B$18,1,0))</f>
        <v>0</v>
      </c>
      <c r="N56" s="383" t="n">
        <f aca="false">IF(10&lt;5,0,IF(MAX(I38:N38)&gt;N43+7+$B$18,1,0))</f>
        <v>0</v>
      </c>
      <c r="O56" s="383" t="n">
        <f aca="false">IF(11&lt;5,0,IF(MAX(J38:O38)&gt;O43+7+$B$18,1,0))</f>
        <v>0</v>
      </c>
      <c r="P56" s="383" t="n">
        <f aca="false">IF(12&lt;5,0,IF(MAX(K38:P38)&gt;P43+7+$B$18,1,0))</f>
        <v>0</v>
      </c>
      <c r="Q56" s="383" t="n">
        <f aca="false">IF(13&lt;5,0,IF(MAX(L38:Q38)&gt;Q43+7+$B$18,1,0))</f>
        <v>0</v>
      </c>
      <c r="R56" s="383" t="n">
        <f aca="false">IF(14&lt;5,0,IF(MAX(M38:R38)&gt;R43+7+$B$18,1,0))</f>
        <v>0</v>
      </c>
      <c r="S56" s="383" t="n">
        <f aca="false">IF(15&lt;5,0,IF(MAX(N38:S38)&gt;S43+7+$B$18,1,0))</f>
        <v>0</v>
      </c>
      <c r="T56" s="383" t="n">
        <f aca="false">IF(16&lt;5,0,IF(MAX(O38:T38)&gt;T43+7+$B$18,1,0))</f>
        <v>0</v>
      </c>
      <c r="U56" s="383" t="n">
        <f aca="false">IF(17&lt;5,0,IF(MAX(P38:U38)&gt;U43+7+$B$18,1,0))</f>
        <v>0</v>
      </c>
      <c r="V56" s="383" t="n">
        <f aca="false">IF(18&lt;5,0,IF(MAX(Q38:V38)&gt;V43+7+$B$18,1,0))</f>
        <v>0</v>
      </c>
      <c r="W56" s="383" t="n">
        <f aca="false">IF(19&lt;5,0,IF(MAX(R38:W38)&gt;W43+7+$B$18,1,0))</f>
        <v>0</v>
      </c>
      <c r="X56" s="383" t="n">
        <f aca="false">IF(20&lt;5,0,IF(MAX(S38:X38)&gt;X43+7+$B$18,1,0))</f>
        <v>0</v>
      </c>
      <c r="Y56" s="383" t="n">
        <f aca="false">IF(21&lt;5,0,IF(MAX(T38:Y38)&gt;Y43+7+$B$18,1,0))</f>
        <v>0</v>
      </c>
      <c r="Z56" s="383" t="n">
        <f aca="false">IF(22&lt;5,0,IF(MAX(U38:Z38)&gt;Z43+7+$B$18,1,0))</f>
        <v>0</v>
      </c>
      <c r="AA56" s="383" t="n">
        <f aca="false">IF(23&lt;5,0,IF(MAX(V38:AA38)&gt;AA43+7+$B$18,1,0))</f>
        <v>0</v>
      </c>
      <c r="AB56" s="383" t="n">
        <f aca="false">IF(24&lt;5,0,IF(MAX(W38:AB38)&gt;AB43+7+$B$18,1,0))</f>
        <v>0</v>
      </c>
      <c r="AC56" s="383" t="n">
        <f aca="false">IF(25&lt;5,0,IF(MAX(X38:AC38)&gt;AC43+7+$B$18,1,0))</f>
        <v>0</v>
      </c>
      <c r="AD56" s="383" t="n">
        <f aca="false">IF(26&lt;5,0,IF(MAX(Y38:AD38)&gt;AD43+7+$B$18,1,0))</f>
        <v>0</v>
      </c>
      <c r="AE56" s="383" t="n">
        <f aca="false">IF(27&lt;5,0,IF(MAX(Z38:AE38)&gt;AE43+7+$B$18,1,0))</f>
        <v>0</v>
      </c>
      <c r="AF56" s="383" t="n">
        <f aca="false">IF(28&lt;5,0,IF(MAX(AA38:AF38)&gt;AF43+7+$B$18,1,0))</f>
        <v>0</v>
      </c>
      <c r="AG56" s="383" t="n">
        <f aca="false">IF(29&lt;5,0,IF(MAX(AB38:AG38)&gt;AG43+7+$B$18,1,0))</f>
        <v>0</v>
      </c>
      <c r="AH56" s="383" t="n">
        <f aca="false">IF(30&lt;5,0,IF(MAX(AC38:AH38)&gt;AH43+7+$B$18,1,0))</f>
        <v>0</v>
      </c>
      <c r="AI56" s="383" t="n">
        <f aca="false">IF(31&lt;5,0,IF(MAX(AD38:AI38)&gt;AI43+7+$B$18,1,0))</f>
        <v>0</v>
      </c>
      <c r="AJ56" s="383" t="n">
        <f aca="false">IF(32&lt;5,0,IF(MAX(AE38:AJ38)&gt;AJ43+7+$B$18,1,0))</f>
        <v>0</v>
      </c>
      <c r="AK56" s="383" t="n">
        <f aca="false">IF(33&lt;5,0,IF(MAX(AF38:AK38)&gt;AK43+7+$B$18,1,0))</f>
        <v>0</v>
      </c>
      <c r="AL56" s="383" t="n">
        <f aca="false">IF(34&lt;5,0,IF(MAX(AG38:AL38)&gt;AL43+7+$B$18,1,0))</f>
        <v>0</v>
      </c>
      <c r="AM56" s="383" t="n">
        <f aca="false">IF(35&lt;5,0,IF(MAX(AH38:AM38)&gt;AM43+7+$B$18,1,0))</f>
        <v>0</v>
      </c>
      <c r="AN56" s="383" t="n">
        <f aca="false">IF(36&lt;5,0,IF(MAX(AI38:AN38)&gt;AN43+7+$B$18,1,0))</f>
        <v>0</v>
      </c>
      <c r="AO56" s="383" t="n">
        <f aca="false">IF(37&lt;5,0,IF(MAX(AJ38:AO38)&gt;AO43+7+$B$18,1,0))</f>
        <v>0</v>
      </c>
      <c r="AP56" s="383" t="n">
        <f aca="false">IF(38&lt;5,0,IF(MAX(AK38:AP38)&gt;AP43+7+$B$18,1,0))</f>
        <v>0</v>
      </c>
      <c r="AQ56" s="383" t="n">
        <f aca="false">IF(39&lt;5,0,IF(MAX(AL38:AQ38)&gt;AQ43+7+$B$18,1,0))</f>
        <v>0</v>
      </c>
      <c r="AR56" s="383" t="n">
        <f aca="false">IF(40&lt;5,0,IF(MAX(AM38:AR38)&gt;AR43+7+$B$18,1,0))</f>
        <v>0</v>
      </c>
      <c r="AS56" s="383" t="n">
        <f aca="false">IF(41&lt;5,0,IF(MAX(AN38:AS38)&gt;AS43+7+$B$18,1,0))</f>
        <v>0</v>
      </c>
      <c r="AT56" s="383" t="n">
        <f aca="false">IF(42&lt;5,0,IF(MAX(AO38:AT38)&gt;AT43+7+$B$18,1,0))</f>
        <v>0</v>
      </c>
      <c r="AU56" s="383" t="n">
        <f aca="false">IF(43&lt;5,0,IF(MAX(AP38:AU38)&gt;AU43+7+$B$18,1,0))</f>
        <v>0</v>
      </c>
      <c r="AV56" s="383" t="n">
        <f aca="false">IF(44&lt;5,0,IF(MAX(AQ38:AV38)&gt;AV43+7+$B$18,1,0))</f>
        <v>0</v>
      </c>
      <c r="AW56" s="383" t="n">
        <f aca="false">IF(45&lt;5,0,IF(MAX(AR38:AW38)&gt;AW43+7+$B$18,1,0))</f>
        <v>0</v>
      </c>
      <c r="AX56" s="383" t="n">
        <f aca="false">IF(46&lt;5,0,IF(MAX(AS38:AX38)&gt;AX43+7+$B$18,1,0))</f>
        <v>0</v>
      </c>
      <c r="AY56" s="383" t="n">
        <f aca="false">IF(47&lt;5,0,IF(MAX(AT38:AY38)&gt;AY43+7+$B$18,1,0))</f>
        <v>0</v>
      </c>
      <c r="AZ56" s="383" t="n">
        <f aca="false">IF(48&lt;5,0,IF(MAX(AU38:AZ38)&gt;AZ43+7+$B$18,1,0))</f>
        <v>0</v>
      </c>
      <c r="BA56" s="383" t="n">
        <f aca="false">IF(49&lt;5,0,IF(MAX(AV38:BA38)&gt;BA43+7+$B$18,1,0))</f>
        <v>0</v>
      </c>
      <c r="BB56" s="383" t="n">
        <f aca="false">IF(50&lt;5,0,IF(MAX(AW38:BB38)&gt;BB43+7+$B$18,1,0))</f>
        <v>0</v>
      </c>
      <c r="BC56" s="383" t="n">
        <f aca="false">IF(51&lt;5,0,IF(MAX(AX38:BC38)&gt;BC43+7+$B$18,1,0))</f>
        <v>0</v>
      </c>
      <c r="BD56" s="383" t="n">
        <f aca="false">IF(52&lt;5,0,IF(MAX(AY38:BD38)&gt;BD43+7+$B$18,1,0))</f>
        <v>0</v>
      </c>
      <c r="BE56" s="383" t="n">
        <f aca="false">IF(53&lt;5,0,IF(MAX(AZ38:BE38)&gt;BE43+7+$B$18,1,0))</f>
        <v>0</v>
      </c>
      <c r="BF56" s="383" t="n">
        <f aca="false">IF(54&lt;5,0,IF(MAX(BA38:BF38)&gt;BF43+7+$B$18,1,0))</f>
        <v>0</v>
      </c>
      <c r="BG56" s="383" t="n">
        <f aca="false">IF(55&lt;5,0,IF(MAX(BB38:BG38)&gt;BG43+7+$B$18,1,0))</f>
        <v>0</v>
      </c>
      <c r="BH56" s="383" t="n">
        <f aca="false">IF(56&lt;5,0,IF(MAX(BC38:BH38)&gt;BH43+7+$B$18,1,0))</f>
        <v>0</v>
      </c>
      <c r="BI56" s="383" t="n">
        <f aca="false">IF(57&lt;5,0,IF(MAX(BD38:BI38)&gt;BI43+7+$B$18,1,0))</f>
        <v>0</v>
      </c>
      <c r="BJ56" s="383" t="n">
        <f aca="false">IF(58&lt;5,0,IF(MAX(BE38:BJ38)&gt;BJ43+7+$B$18,1,0))</f>
        <v>0</v>
      </c>
      <c r="BK56" s="383" t="n">
        <f aca="false">IF(59&lt;5,0,IF(MAX(BF38:BK38)&gt;BK43+7+$B$18,1,0))</f>
        <v>0</v>
      </c>
      <c r="BL56" s="383" t="n">
        <f aca="false">IF(60&lt;5,0,IF(MAX(BG38:BL38)&gt;BL43+7+$B$18,1,0))</f>
        <v>0</v>
      </c>
      <c r="BM56" s="383" t="n">
        <f aca="false">IF(61&lt;5,0,IF(MAX(BH38:BM38)&gt;BM43+7+$B$18,1,0))</f>
        <v>0</v>
      </c>
      <c r="BN56" s="383" t="n">
        <f aca="false">IF(62&lt;5,0,IF(MAX(BI38:BN38)&gt;BN43+7+$B$18,1,0))</f>
        <v>0</v>
      </c>
      <c r="BO56" s="383" t="n">
        <f aca="false">IF(63&lt;5,0,IF(MAX(BJ38:BO38)&gt;BO43+7+$B$18,1,0))</f>
        <v>0</v>
      </c>
      <c r="BP56" s="383" t="n">
        <f aca="false">IF(64&lt;5,0,IF(MAX(BK38:BP38)&gt;BP43+7+$B$18,1,0))</f>
        <v>0</v>
      </c>
      <c r="BQ56" s="383" t="n">
        <f aca="false">IF(65&lt;5,0,IF(MAX(BL38:BQ38)&gt;BQ43+7+$B$18,1,0))</f>
        <v>0</v>
      </c>
      <c r="BR56" s="383" t="n">
        <f aca="false">IF(66&lt;5,0,IF(MAX(BM38:BR38)&gt;BR43+7+$B$18,1,0))</f>
        <v>0</v>
      </c>
      <c r="BS56" s="383" t="n">
        <f aca="false">IF(67&lt;5,0,IF(MAX(BN38:BS38)&gt;BS43+7+$B$18,1,0))</f>
        <v>0</v>
      </c>
      <c r="BT56" s="383" t="n">
        <f aca="false">IF(68&lt;5,0,IF(MAX(BO38:BT38)&gt;BT43+7+$B$18,1,0))</f>
        <v>0</v>
      </c>
      <c r="BU56" s="383" t="n">
        <f aca="false">IF(69&lt;5,0,IF(MAX(BP38:BU38)&gt;BU43+7+$B$18,1,0))</f>
        <v>0</v>
      </c>
      <c r="BV56" s="383" t="n">
        <f aca="false">IF(70&lt;5,0,IF(MAX(BQ38:BV38)&gt;BV43+7+$B$18,1,0))</f>
        <v>0</v>
      </c>
      <c r="BW56" s="383" t="n">
        <f aca="false">IF(71&lt;5,0,IF(MAX(BR38:BW38)&gt;BW43+7+$B$18,1,0))</f>
        <v>0</v>
      </c>
      <c r="BX56" s="383" t="n">
        <f aca="false">IF(72&lt;5,0,IF(MAX(BS38:BX38)&gt;BX43+7+$B$18,1,0))</f>
        <v>0</v>
      </c>
      <c r="BY56" s="383" t="n">
        <f aca="false">IF(73&lt;5,0,IF(MAX(BT38:BY38)&gt;BY43+7+$B$18,1,0))</f>
        <v>0</v>
      </c>
      <c r="BZ56" s="383" t="n">
        <f aca="false">IF(74&lt;5,0,IF(MAX(BU38:BZ38)&gt;BZ43+7+$B$18,1,0))</f>
        <v>0</v>
      </c>
      <c r="CA56" s="383" t="n">
        <f aca="false">IF(75&lt;5,0,IF(MAX(BV38:CA38)&gt;CA43+7+$B$18,1,0))</f>
        <v>0</v>
      </c>
      <c r="CB56" s="383" t="n">
        <f aca="false">IF(76&lt;5,0,IF(MAX(BW38:CB38)&gt;CB43+7+$B$18,1,0))</f>
        <v>0</v>
      </c>
      <c r="CC56" s="383" t="n">
        <f aca="false">IF(77&lt;5,0,IF(MAX(BX38:CC38)&gt;CC43+7+$B$18,1,0))</f>
        <v>0</v>
      </c>
      <c r="CD56" s="383" t="n">
        <f aca="false">IF(78&lt;5,0,IF(MAX(BY38:CD38)&gt;CD43+7+$B$18,1,0))</f>
        <v>0</v>
      </c>
      <c r="CE56" s="383" t="n">
        <f aca="false">IF(79&lt;5,0,IF(MAX(BZ38:CE38)&gt;CE43+7+$B$18,1,0))</f>
        <v>0</v>
      </c>
      <c r="CF56" s="383" t="n">
        <f aca="false">IF(80&lt;5,0,IF(MAX(CA38:CF38)&gt;CF43+7+$B$18,1,0))</f>
        <v>0</v>
      </c>
      <c r="CG56" s="383" t="n">
        <f aca="false">IF(81&lt;5,0,IF(MAX(CB38:CG38)&gt;CG43+7+$B$18,1,0))</f>
        <v>0</v>
      </c>
      <c r="CH56" s="383" t="n">
        <f aca="false">IF(82&lt;5,0,IF(MAX(CC38:CH38)&gt;CH43+7+$B$18,1,0))</f>
        <v>0</v>
      </c>
      <c r="CI56" s="383" t="n">
        <f aca="false">IF(83&lt;5,0,IF(MAX(CD38:CI38)&gt;CI43+7+$B$18,1,0))</f>
        <v>0</v>
      </c>
      <c r="CJ56" s="383" t="n">
        <f aca="false">IF(84&lt;5,0,IF(MAX(CE38:CJ38)&gt;CJ43+7+$B$18,1,0))</f>
        <v>0</v>
      </c>
      <c r="CK56" s="383" t="n">
        <f aca="false">IF(85&lt;5,0,IF(MAX(CF38:CK38)&gt;CK43+7+$B$18,1,0))</f>
        <v>0</v>
      </c>
      <c r="CL56" s="383" t="n">
        <f aca="false">IF(86&lt;5,0,IF(MAX(CG38:CL38)&gt;CL43+7+$B$18,1,0))</f>
        <v>0</v>
      </c>
      <c r="CM56" s="383" t="n">
        <f aca="false">IF(87&lt;5,0,IF(MAX(CH38:CM38)&gt;CM43+7+$B$18,1,0))</f>
        <v>0</v>
      </c>
      <c r="CN56" s="383" t="n">
        <f aca="false">IF(88&lt;5,0,IF(MAX(CI38:CN38)&gt;CN43+7+$B$18,1,0))</f>
        <v>0</v>
      </c>
      <c r="CO56" s="383" t="n">
        <f aca="false">IF(89&lt;5,0,IF(MAX(CJ38:CO38)&gt;CO43+7+$B$18,1,0))</f>
        <v>0</v>
      </c>
      <c r="CP56" s="383" t="n">
        <f aca="false">IF(90&lt;5,0,IF(MAX(CK38:CP38)&gt;CP43+7+$B$18,1,0))</f>
        <v>0</v>
      </c>
      <c r="CQ56" s="383" t="n">
        <f aca="false">IF(91&lt;5,0,IF(MAX(CL38:CQ38)&gt;CQ43+7+$B$18,1,0))</f>
        <v>0</v>
      </c>
      <c r="CR56" s="383" t="n">
        <f aca="false">IF(92&lt;5,0,IF(MAX(CM38:CR38)&gt;CR43+7+$B$18,1,0))</f>
        <v>0</v>
      </c>
      <c r="CS56" s="383" t="n">
        <f aca="false">IF(93&lt;5,0,IF(MAX(CN38:CS38)&gt;CS43+7+$B$18,1,0))</f>
        <v>0</v>
      </c>
      <c r="CT56" s="383" t="n">
        <f aca="false">IF(94&lt;5,0,IF(MAX(CO38:CT38)&gt;CT43+7+$B$18,1,0))</f>
        <v>0</v>
      </c>
      <c r="CU56" s="383" t="n">
        <f aca="false">IF(95&lt;5,0,IF(MAX(CP38:CU38)&gt;CU43+7+$B$18,1,0))</f>
        <v>0</v>
      </c>
      <c r="CV56" s="383" t="n">
        <f aca="false">IF(96&lt;5,0,IF(MAX(CQ38:CV38)&gt;CV43+7+$B$18,1,0))</f>
        <v>0</v>
      </c>
      <c r="CW56" s="383" t="n">
        <f aca="false">IF(97&lt;5,0,IF(MAX(CR38:CW38)&gt;CW43+7+$B$18,1,0))</f>
        <v>0</v>
      </c>
      <c r="CX56" s="383" t="n">
        <f aca="false">IF(98&lt;5,0,IF(MAX(CS38:CX38)&gt;CX43+7+$B$18,1,0))</f>
        <v>0</v>
      </c>
      <c r="CY56" s="383" t="n">
        <f aca="false">IF(99&lt;5,0,IF(MAX(CT38:CY38)&gt;CY43+7+$B$18,1,0))</f>
        <v>0</v>
      </c>
      <c r="CZ56" s="383" t="n">
        <f aca="false">IF(100&lt;5,0,IF(MAX(CU38:CZ38)&gt;CZ43+7+$B$18,1,0))</f>
        <v>0</v>
      </c>
      <c r="DA56" s="383" t="n">
        <f aca="false">IF(101&lt;5,0,IF(MAX(CV38:DA38)&gt;DA43+7+$B$18,1,0))</f>
        <v>0</v>
      </c>
      <c r="DB56" s="383" t="n">
        <f aca="false">IF(102&lt;5,0,IF(MAX(CW38:DB38)&gt;DB43+7+$B$18,1,0))</f>
        <v>0</v>
      </c>
      <c r="DC56" s="383" t="n">
        <f aca="false">IF(103&lt;5,0,IF(MAX(CX38:DC38)&gt;DC43+7+$B$18,1,0))</f>
        <v>0</v>
      </c>
      <c r="DD56" s="383" t="n">
        <f aca="false">IF(104&lt;5,0,IF(MAX(CY38:DD38)&gt;DD43+7+$B$18,1,0))</f>
        <v>0</v>
      </c>
      <c r="DE56" s="383" t="n">
        <f aca="false">IF(105&lt;5,0,IF(MAX(CZ38:DE38)&gt;DE43+7+$B$18,1,0))</f>
        <v>0</v>
      </c>
    </row>
    <row r="57" customFormat="false" ht="13.5" hidden="false" customHeight="true" outlineLevel="0" collapsed="false">
      <c r="A57" s="110" t="s">
        <v>1385</v>
      </c>
      <c r="B57" s="211" t="n">
        <f aca="false">$B$27</f>
        <v>125000</v>
      </c>
      <c r="E57" s="383" t="n">
        <f aca="false">IF(1&lt;5,0,IF(MAX(E38:E38)&gt;E43+8+$B$18,1,0))</f>
        <v>0</v>
      </c>
      <c r="F57" s="383" t="n">
        <f aca="false">IF(2&lt;5,0,IF(MAX(E38:F38)&gt;F43+8+$B$18,1,0))</f>
        <v>0</v>
      </c>
      <c r="G57" s="383" t="n">
        <f aca="false">IF(3&lt;5,0,IF(MAX(E38:G38)&gt;G43+8+$B$18,1,0))</f>
        <v>0</v>
      </c>
      <c r="H57" s="383" t="n">
        <f aca="false">IF(4&lt;5,0,IF(MAX(E38:H38)&gt;H43+8+$B$18,1,0))</f>
        <v>0</v>
      </c>
      <c r="I57" s="383" t="n">
        <f aca="false">IF(5&lt;5,0,IF(MAX(E38:I38)&gt;I43+8+$B$18,1,0))</f>
        <v>0</v>
      </c>
      <c r="J57" s="383" t="n">
        <f aca="false">IF(6&lt;5,0,IF(MAX(E38:J38)&gt;J43+8+$B$18,1,0))</f>
        <v>0</v>
      </c>
      <c r="K57" s="383" t="n">
        <f aca="false">IF(7&lt;5,0,IF(MAX(F38:K38)&gt;K43+8+$B$18,1,0))</f>
        <v>0</v>
      </c>
      <c r="L57" s="383" t="n">
        <f aca="false">IF(8&lt;5,0,IF(MAX(G38:L38)&gt;L43+8+$B$18,1,0))</f>
        <v>0</v>
      </c>
      <c r="M57" s="383" t="n">
        <f aca="false">IF(9&lt;5,0,IF(MAX(H38:M38)&gt;M43+8+$B$18,1,0))</f>
        <v>0</v>
      </c>
      <c r="N57" s="383" t="n">
        <f aca="false">IF(10&lt;5,0,IF(MAX(I38:N38)&gt;N43+8+$B$18,1,0))</f>
        <v>0</v>
      </c>
      <c r="O57" s="383" t="n">
        <f aca="false">IF(11&lt;5,0,IF(MAX(J38:O38)&gt;O43+8+$B$18,1,0))</f>
        <v>0</v>
      </c>
      <c r="P57" s="383" t="n">
        <f aca="false">IF(12&lt;5,0,IF(MAX(K38:P38)&gt;P43+8+$B$18,1,0))</f>
        <v>0</v>
      </c>
      <c r="Q57" s="383" t="n">
        <f aca="false">IF(13&lt;5,0,IF(MAX(L38:Q38)&gt;Q43+8+$B$18,1,0))</f>
        <v>0</v>
      </c>
      <c r="R57" s="383" t="n">
        <f aca="false">IF(14&lt;5,0,IF(MAX(M38:R38)&gt;R43+8+$B$18,1,0))</f>
        <v>0</v>
      </c>
      <c r="S57" s="383" t="n">
        <f aca="false">IF(15&lt;5,0,IF(MAX(N38:S38)&gt;S43+8+$B$18,1,0))</f>
        <v>0</v>
      </c>
      <c r="T57" s="383" t="n">
        <f aca="false">IF(16&lt;5,0,IF(MAX(O38:T38)&gt;T43+8+$B$18,1,0))</f>
        <v>0</v>
      </c>
      <c r="U57" s="383" t="n">
        <f aca="false">IF(17&lt;5,0,IF(MAX(P38:U38)&gt;U43+8+$B$18,1,0))</f>
        <v>0</v>
      </c>
      <c r="V57" s="383" t="n">
        <f aca="false">IF(18&lt;5,0,IF(MAX(Q38:V38)&gt;V43+8+$B$18,1,0))</f>
        <v>0</v>
      </c>
      <c r="W57" s="383" t="n">
        <f aca="false">IF(19&lt;5,0,IF(MAX(R38:W38)&gt;W43+8+$B$18,1,0))</f>
        <v>0</v>
      </c>
      <c r="X57" s="383" t="n">
        <f aca="false">IF(20&lt;5,0,IF(MAX(S38:X38)&gt;X43+8+$B$18,1,0))</f>
        <v>0</v>
      </c>
      <c r="Y57" s="383" t="n">
        <f aca="false">IF(21&lt;5,0,IF(MAX(T38:Y38)&gt;Y43+8+$B$18,1,0))</f>
        <v>0</v>
      </c>
      <c r="Z57" s="383" t="n">
        <f aca="false">IF(22&lt;5,0,IF(MAX(U38:Z38)&gt;Z43+8+$B$18,1,0))</f>
        <v>0</v>
      </c>
      <c r="AA57" s="383" t="n">
        <f aca="false">IF(23&lt;5,0,IF(MAX(V38:AA38)&gt;AA43+8+$B$18,1,0))</f>
        <v>0</v>
      </c>
      <c r="AB57" s="383" t="n">
        <f aca="false">IF(24&lt;5,0,IF(MAX(W38:AB38)&gt;AB43+8+$B$18,1,0))</f>
        <v>0</v>
      </c>
      <c r="AC57" s="383" t="n">
        <f aca="false">IF(25&lt;5,0,IF(MAX(X38:AC38)&gt;AC43+8+$B$18,1,0))</f>
        <v>0</v>
      </c>
      <c r="AD57" s="383" t="n">
        <f aca="false">IF(26&lt;5,0,IF(MAX(Y38:AD38)&gt;AD43+8+$B$18,1,0))</f>
        <v>0</v>
      </c>
      <c r="AE57" s="383" t="n">
        <f aca="false">IF(27&lt;5,0,IF(MAX(Z38:AE38)&gt;AE43+8+$B$18,1,0))</f>
        <v>0</v>
      </c>
      <c r="AF57" s="383" t="n">
        <f aca="false">IF(28&lt;5,0,IF(MAX(AA38:AF38)&gt;AF43+8+$B$18,1,0))</f>
        <v>0</v>
      </c>
      <c r="AG57" s="383" t="n">
        <f aca="false">IF(29&lt;5,0,IF(MAX(AB38:AG38)&gt;AG43+8+$B$18,1,0))</f>
        <v>0</v>
      </c>
      <c r="AH57" s="383" t="n">
        <f aca="false">IF(30&lt;5,0,IF(MAX(AC38:AH38)&gt;AH43+8+$B$18,1,0))</f>
        <v>0</v>
      </c>
      <c r="AI57" s="383" t="n">
        <f aca="false">IF(31&lt;5,0,IF(MAX(AD38:AI38)&gt;AI43+8+$B$18,1,0))</f>
        <v>0</v>
      </c>
      <c r="AJ57" s="383" t="n">
        <f aca="false">IF(32&lt;5,0,IF(MAX(AE38:AJ38)&gt;AJ43+8+$B$18,1,0))</f>
        <v>0</v>
      </c>
      <c r="AK57" s="383" t="n">
        <f aca="false">IF(33&lt;5,0,IF(MAX(AF38:AK38)&gt;AK43+8+$B$18,1,0))</f>
        <v>0</v>
      </c>
      <c r="AL57" s="383" t="n">
        <f aca="false">IF(34&lt;5,0,IF(MAX(AG38:AL38)&gt;AL43+8+$B$18,1,0))</f>
        <v>0</v>
      </c>
      <c r="AM57" s="383" t="n">
        <f aca="false">IF(35&lt;5,0,IF(MAX(AH38:AM38)&gt;AM43+8+$B$18,1,0))</f>
        <v>0</v>
      </c>
      <c r="AN57" s="383" t="n">
        <f aca="false">IF(36&lt;5,0,IF(MAX(AI38:AN38)&gt;AN43+8+$B$18,1,0))</f>
        <v>0</v>
      </c>
      <c r="AO57" s="383" t="n">
        <f aca="false">IF(37&lt;5,0,IF(MAX(AJ38:AO38)&gt;AO43+8+$B$18,1,0))</f>
        <v>0</v>
      </c>
      <c r="AP57" s="383" t="n">
        <f aca="false">IF(38&lt;5,0,IF(MAX(AK38:AP38)&gt;AP43+8+$B$18,1,0))</f>
        <v>0</v>
      </c>
      <c r="AQ57" s="383" t="n">
        <f aca="false">IF(39&lt;5,0,IF(MAX(AL38:AQ38)&gt;AQ43+8+$B$18,1,0))</f>
        <v>0</v>
      </c>
      <c r="AR57" s="383" t="n">
        <f aca="false">IF(40&lt;5,0,IF(MAX(AM38:AR38)&gt;AR43+8+$B$18,1,0))</f>
        <v>0</v>
      </c>
      <c r="AS57" s="383" t="n">
        <f aca="false">IF(41&lt;5,0,IF(MAX(AN38:AS38)&gt;AS43+8+$B$18,1,0))</f>
        <v>0</v>
      </c>
      <c r="AT57" s="383" t="n">
        <f aca="false">IF(42&lt;5,0,IF(MAX(AO38:AT38)&gt;AT43+8+$B$18,1,0))</f>
        <v>0</v>
      </c>
      <c r="AU57" s="383" t="n">
        <f aca="false">IF(43&lt;5,0,IF(MAX(AP38:AU38)&gt;AU43+8+$B$18,1,0))</f>
        <v>0</v>
      </c>
      <c r="AV57" s="383" t="n">
        <f aca="false">IF(44&lt;5,0,IF(MAX(AQ38:AV38)&gt;AV43+8+$B$18,1,0))</f>
        <v>0</v>
      </c>
      <c r="AW57" s="383" t="n">
        <f aca="false">IF(45&lt;5,0,IF(MAX(AR38:AW38)&gt;AW43+8+$B$18,1,0))</f>
        <v>0</v>
      </c>
      <c r="AX57" s="383" t="n">
        <f aca="false">IF(46&lt;5,0,IF(MAX(AS38:AX38)&gt;AX43+8+$B$18,1,0))</f>
        <v>0</v>
      </c>
      <c r="AY57" s="383" t="n">
        <f aca="false">IF(47&lt;5,0,IF(MAX(AT38:AY38)&gt;AY43+8+$B$18,1,0))</f>
        <v>0</v>
      </c>
      <c r="AZ57" s="383" t="n">
        <f aca="false">IF(48&lt;5,0,IF(MAX(AU38:AZ38)&gt;AZ43+8+$B$18,1,0))</f>
        <v>0</v>
      </c>
      <c r="BA57" s="383" t="n">
        <f aca="false">IF(49&lt;5,0,IF(MAX(AV38:BA38)&gt;BA43+8+$B$18,1,0))</f>
        <v>0</v>
      </c>
      <c r="BB57" s="383" t="n">
        <f aca="false">IF(50&lt;5,0,IF(MAX(AW38:BB38)&gt;BB43+8+$B$18,1,0))</f>
        <v>0</v>
      </c>
      <c r="BC57" s="383" t="n">
        <f aca="false">IF(51&lt;5,0,IF(MAX(AX38:BC38)&gt;BC43+8+$B$18,1,0))</f>
        <v>0</v>
      </c>
      <c r="BD57" s="383" t="n">
        <f aca="false">IF(52&lt;5,0,IF(MAX(AY38:BD38)&gt;BD43+8+$B$18,1,0))</f>
        <v>0</v>
      </c>
      <c r="BE57" s="383" t="n">
        <f aca="false">IF(53&lt;5,0,IF(MAX(AZ38:BE38)&gt;BE43+8+$B$18,1,0))</f>
        <v>0</v>
      </c>
      <c r="BF57" s="383" t="n">
        <f aca="false">IF(54&lt;5,0,IF(MAX(BA38:BF38)&gt;BF43+8+$B$18,1,0))</f>
        <v>0</v>
      </c>
      <c r="BG57" s="383" t="n">
        <f aca="false">IF(55&lt;5,0,IF(MAX(BB38:BG38)&gt;BG43+8+$B$18,1,0))</f>
        <v>0</v>
      </c>
      <c r="BH57" s="383" t="n">
        <f aca="false">IF(56&lt;5,0,IF(MAX(BC38:BH38)&gt;BH43+8+$B$18,1,0))</f>
        <v>0</v>
      </c>
      <c r="BI57" s="383" t="n">
        <f aca="false">IF(57&lt;5,0,IF(MAX(BD38:BI38)&gt;BI43+8+$B$18,1,0))</f>
        <v>0</v>
      </c>
      <c r="BJ57" s="383" t="n">
        <f aca="false">IF(58&lt;5,0,IF(MAX(BE38:BJ38)&gt;BJ43+8+$B$18,1,0))</f>
        <v>0</v>
      </c>
      <c r="BK57" s="383" t="n">
        <f aca="false">IF(59&lt;5,0,IF(MAX(BF38:BK38)&gt;BK43+8+$B$18,1,0))</f>
        <v>0</v>
      </c>
      <c r="BL57" s="383" t="n">
        <f aca="false">IF(60&lt;5,0,IF(MAX(BG38:BL38)&gt;BL43+8+$B$18,1,0))</f>
        <v>0</v>
      </c>
      <c r="BM57" s="383" t="n">
        <f aca="false">IF(61&lt;5,0,IF(MAX(BH38:BM38)&gt;BM43+8+$B$18,1,0))</f>
        <v>0</v>
      </c>
      <c r="BN57" s="383" t="n">
        <f aca="false">IF(62&lt;5,0,IF(MAX(BI38:BN38)&gt;BN43+8+$B$18,1,0))</f>
        <v>0</v>
      </c>
      <c r="BO57" s="383" t="n">
        <f aca="false">IF(63&lt;5,0,IF(MAX(BJ38:BO38)&gt;BO43+8+$B$18,1,0))</f>
        <v>0</v>
      </c>
      <c r="BP57" s="383" t="n">
        <f aca="false">IF(64&lt;5,0,IF(MAX(BK38:BP38)&gt;BP43+8+$B$18,1,0))</f>
        <v>0</v>
      </c>
      <c r="BQ57" s="383" t="n">
        <f aca="false">IF(65&lt;5,0,IF(MAX(BL38:BQ38)&gt;BQ43+8+$B$18,1,0))</f>
        <v>0</v>
      </c>
      <c r="BR57" s="383" t="n">
        <f aca="false">IF(66&lt;5,0,IF(MAX(BM38:BR38)&gt;BR43+8+$B$18,1,0))</f>
        <v>0</v>
      </c>
      <c r="BS57" s="383" t="n">
        <f aca="false">IF(67&lt;5,0,IF(MAX(BN38:BS38)&gt;BS43+8+$B$18,1,0))</f>
        <v>0</v>
      </c>
      <c r="BT57" s="383" t="n">
        <f aca="false">IF(68&lt;5,0,IF(MAX(BO38:BT38)&gt;BT43+8+$B$18,1,0))</f>
        <v>0</v>
      </c>
      <c r="BU57" s="383" t="n">
        <f aca="false">IF(69&lt;5,0,IF(MAX(BP38:BU38)&gt;BU43+8+$B$18,1,0))</f>
        <v>0</v>
      </c>
      <c r="BV57" s="383" t="n">
        <f aca="false">IF(70&lt;5,0,IF(MAX(BQ38:BV38)&gt;BV43+8+$B$18,1,0))</f>
        <v>0</v>
      </c>
      <c r="BW57" s="383" t="n">
        <f aca="false">IF(71&lt;5,0,IF(MAX(BR38:BW38)&gt;BW43+8+$B$18,1,0))</f>
        <v>0</v>
      </c>
      <c r="BX57" s="383" t="n">
        <f aca="false">IF(72&lt;5,0,IF(MAX(BS38:BX38)&gt;BX43+8+$B$18,1,0))</f>
        <v>0</v>
      </c>
      <c r="BY57" s="383" t="n">
        <f aca="false">IF(73&lt;5,0,IF(MAX(BT38:BY38)&gt;BY43+8+$B$18,1,0))</f>
        <v>0</v>
      </c>
      <c r="BZ57" s="383" t="n">
        <f aca="false">IF(74&lt;5,0,IF(MAX(BU38:BZ38)&gt;BZ43+8+$B$18,1,0))</f>
        <v>0</v>
      </c>
      <c r="CA57" s="383" t="n">
        <f aca="false">IF(75&lt;5,0,IF(MAX(BV38:CA38)&gt;CA43+8+$B$18,1,0))</f>
        <v>0</v>
      </c>
      <c r="CB57" s="383" t="n">
        <f aca="false">IF(76&lt;5,0,IF(MAX(BW38:CB38)&gt;CB43+8+$B$18,1,0))</f>
        <v>0</v>
      </c>
      <c r="CC57" s="383" t="n">
        <f aca="false">IF(77&lt;5,0,IF(MAX(BX38:CC38)&gt;CC43+8+$B$18,1,0))</f>
        <v>0</v>
      </c>
      <c r="CD57" s="383" t="n">
        <f aca="false">IF(78&lt;5,0,IF(MAX(BY38:CD38)&gt;CD43+8+$B$18,1,0))</f>
        <v>0</v>
      </c>
      <c r="CE57" s="383" t="n">
        <f aca="false">IF(79&lt;5,0,IF(MAX(BZ38:CE38)&gt;CE43+8+$B$18,1,0))</f>
        <v>0</v>
      </c>
      <c r="CF57" s="383" t="n">
        <f aca="false">IF(80&lt;5,0,IF(MAX(CA38:CF38)&gt;CF43+8+$B$18,1,0))</f>
        <v>0</v>
      </c>
      <c r="CG57" s="383" t="n">
        <f aca="false">IF(81&lt;5,0,IF(MAX(CB38:CG38)&gt;CG43+8+$B$18,1,0))</f>
        <v>0</v>
      </c>
      <c r="CH57" s="383" t="n">
        <f aca="false">IF(82&lt;5,0,IF(MAX(CC38:CH38)&gt;CH43+8+$B$18,1,0))</f>
        <v>0</v>
      </c>
      <c r="CI57" s="383" t="n">
        <f aca="false">IF(83&lt;5,0,IF(MAX(CD38:CI38)&gt;CI43+8+$B$18,1,0))</f>
        <v>0</v>
      </c>
      <c r="CJ57" s="383" t="n">
        <f aca="false">IF(84&lt;5,0,IF(MAX(CE38:CJ38)&gt;CJ43+8+$B$18,1,0))</f>
        <v>0</v>
      </c>
      <c r="CK57" s="383" t="n">
        <f aca="false">IF(85&lt;5,0,IF(MAX(CF38:CK38)&gt;CK43+8+$B$18,1,0))</f>
        <v>0</v>
      </c>
      <c r="CL57" s="383" t="n">
        <f aca="false">IF(86&lt;5,0,IF(MAX(CG38:CL38)&gt;CL43+8+$B$18,1,0))</f>
        <v>0</v>
      </c>
      <c r="CM57" s="383" t="n">
        <f aca="false">IF(87&lt;5,0,IF(MAX(CH38:CM38)&gt;CM43+8+$B$18,1,0))</f>
        <v>0</v>
      </c>
      <c r="CN57" s="383" t="n">
        <f aca="false">IF(88&lt;5,0,IF(MAX(CI38:CN38)&gt;CN43+8+$B$18,1,0))</f>
        <v>0</v>
      </c>
      <c r="CO57" s="383" t="n">
        <f aca="false">IF(89&lt;5,0,IF(MAX(CJ38:CO38)&gt;CO43+8+$B$18,1,0))</f>
        <v>0</v>
      </c>
      <c r="CP57" s="383" t="n">
        <f aca="false">IF(90&lt;5,0,IF(MAX(CK38:CP38)&gt;CP43+8+$B$18,1,0))</f>
        <v>0</v>
      </c>
      <c r="CQ57" s="383" t="n">
        <f aca="false">IF(91&lt;5,0,IF(MAX(CL38:CQ38)&gt;CQ43+8+$B$18,1,0))</f>
        <v>0</v>
      </c>
      <c r="CR57" s="383" t="n">
        <f aca="false">IF(92&lt;5,0,IF(MAX(CM38:CR38)&gt;CR43+8+$B$18,1,0))</f>
        <v>0</v>
      </c>
      <c r="CS57" s="383" t="n">
        <f aca="false">IF(93&lt;5,0,IF(MAX(CN38:CS38)&gt;CS43+8+$B$18,1,0))</f>
        <v>0</v>
      </c>
      <c r="CT57" s="383" t="n">
        <f aca="false">IF(94&lt;5,0,IF(MAX(CO38:CT38)&gt;CT43+8+$B$18,1,0))</f>
        <v>0</v>
      </c>
      <c r="CU57" s="383" t="n">
        <f aca="false">IF(95&lt;5,0,IF(MAX(CP38:CU38)&gt;CU43+8+$B$18,1,0))</f>
        <v>0</v>
      </c>
      <c r="CV57" s="383" t="n">
        <f aca="false">IF(96&lt;5,0,IF(MAX(CQ38:CV38)&gt;CV43+8+$B$18,1,0))</f>
        <v>0</v>
      </c>
      <c r="CW57" s="383" t="n">
        <f aca="false">IF(97&lt;5,0,IF(MAX(CR38:CW38)&gt;CW43+8+$B$18,1,0))</f>
        <v>0</v>
      </c>
      <c r="CX57" s="383" t="n">
        <f aca="false">IF(98&lt;5,0,IF(MAX(CS38:CX38)&gt;CX43+8+$B$18,1,0))</f>
        <v>0</v>
      </c>
      <c r="CY57" s="383" t="n">
        <f aca="false">IF(99&lt;5,0,IF(MAX(CT38:CY38)&gt;CY43+8+$B$18,1,0))</f>
        <v>0</v>
      </c>
      <c r="CZ57" s="383" t="n">
        <f aca="false">IF(100&lt;5,0,IF(MAX(CU38:CZ38)&gt;CZ43+8+$B$18,1,0))</f>
        <v>0</v>
      </c>
      <c r="DA57" s="383" t="n">
        <f aca="false">IF(101&lt;5,0,IF(MAX(CV38:DA38)&gt;DA43+8+$B$18,1,0))</f>
        <v>0</v>
      </c>
      <c r="DB57" s="383" t="n">
        <f aca="false">IF(102&lt;5,0,IF(MAX(CW38:DB38)&gt;DB43+8+$B$18,1,0))</f>
        <v>0</v>
      </c>
      <c r="DC57" s="383" t="n">
        <f aca="false">IF(103&lt;5,0,IF(MAX(CX38:DC38)&gt;DC43+8+$B$18,1,0))</f>
        <v>0</v>
      </c>
      <c r="DD57" s="383" t="n">
        <f aca="false">IF(104&lt;5,0,IF(MAX(CY38:DD38)&gt;DD43+8+$B$18,1,0))</f>
        <v>0</v>
      </c>
      <c r="DE57" s="383" t="n">
        <f aca="false">IF(105&lt;5,0,IF(MAX(CZ38:DE38)&gt;DE43+8+$B$18,1,0))</f>
        <v>0</v>
      </c>
    </row>
    <row r="58" customFormat="false" ht="13.5" hidden="false" customHeight="true" outlineLevel="0" collapsed="false">
      <c r="A58" s="110" t="s">
        <v>1386</v>
      </c>
      <c r="B58" s="211" t="n">
        <f aca="false">$B$27</f>
        <v>125000</v>
      </c>
      <c r="E58" s="383" t="n">
        <f aca="false">IF(1&lt;5,0,IF(MAX(E38:E38)&gt;E43+9+$B$18,1,0))</f>
        <v>0</v>
      </c>
      <c r="F58" s="383" t="n">
        <f aca="false">IF(2&lt;5,0,IF(MAX(E38:F38)&gt;F43+9+$B$18,1,0))</f>
        <v>0</v>
      </c>
      <c r="G58" s="383" t="n">
        <f aca="false">IF(3&lt;5,0,IF(MAX(E38:G38)&gt;G43+9+$B$18,1,0))</f>
        <v>0</v>
      </c>
      <c r="H58" s="383" t="n">
        <f aca="false">IF(4&lt;5,0,IF(MAX(E38:H38)&gt;H43+9+$B$18,1,0))</f>
        <v>0</v>
      </c>
      <c r="I58" s="383" t="n">
        <f aca="false">IF(5&lt;5,0,IF(MAX(E38:I38)&gt;I43+9+$B$18,1,0))</f>
        <v>0</v>
      </c>
      <c r="J58" s="383" t="n">
        <f aca="false">IF(6&lt;5,0,IF(MAX(E38:J38)&gt;J43+9+$B$18,1,0))</f>
        <v>0</v>
      </c>
      <c r="K58" s="383" t="n">
        <f aca="false">IF(7&lt;5,0,IF(MAX(F38:K38)&gt;K43+9+$B$18,1,0))</f>
        <v>0</v>
      </c>
      <c r="L58" s="383" t="n">
        <f aca="false">IF(8&lt;5,0,IF(MAX(G38:L38)&gt;L43+9+$B$18,1,0))</f>
        <v>0</v>
      </c>
      <c r="M58" s="383" t="n">
        <f aca="false">IF(9&lt;5,0,IF(MAX(H38:M38)&gt;M43+9+$B$18,1,0))</f>
        <v>0</v>
      </c>
      <c r="N58" s="383" t="n">
        <f aca="false">IF(10&lt;5,0,IF(MAX(I38:N38)&gt;N43+9+$B$18,1,0))</f>
        <v>0</v>
      </c>
      <c r="O58" s="383" t="n">
        <f aca="false">IF(11&lt;5,0,IF(MAX(J38:O38)&gt;O43+9+$B$18,1,0))</f>
        <v>0</v>
      </c>
      <c r="P58" s="383" t="n">
        <f aca="false">IF(12&lt;5,0,IF(MAX(K38:P38)&gt;P43+9+$B$18,1,0))</f>
        <v>0</v>
      </c>
      <c r="Q58" s="383" t="n">
        <f aca="false">IF(13&lt;5,0,IF(MAX(L38:Q38)&gt;Q43+9+$B$18,1,0))</f>
        <v>0</v>
      </c>
      <c r="R58" s="383" t="n">
        <f aca="false">IF(14&lt;5,0,IF(MAX(M38:R38)&gt;R43+9+$B$18,1,0))</f>
        <v>0</v>
      </c>
      <c r="S58" s="383" t="n">
        <f aca="false">IF(15&lt;5,0,IF(MAX(N38:S38)&gt;S43+9+$B$18,1,0))</f>
        <v>0</v>
      </c>
      <c r="T58" s="383" t="n">
        <f aca="false">IF(16&lt;5,0,IF(MAX(O38:T38)&gt;T43+9+$B$18,1,0))</f>
        <v>0</v>
      </c>
      <c r="U58" s="383" t="n">
        <f aca="false">IF(17&lt;5,0,IF(MAX(P38:U38)&gt;U43+9+$B$18,1,0))</f>
        <v>0</v>
      </c>
      <c r="V58" s="383" t="n">
        <f aca="false">IF(18&lt;5,0,IF(MAX(Q38:V38)&gt;V43+9+$B$18,1,0))</f>
        <v>0</v>
      </c>
      <c r="W58" s="383" t="n">
        <f aca="false">IF(19&lt;5,0,IF(MAX(R38:W38)&gt;W43+9+$B$18,1,0))</f>
        <v>0</v>
      </c>
      <c r="X58" s="383" t="n">
        <f aca="false">IF(20&lt;5,0,IF(MAX(S38:X38)&gt;X43+9+$B$18,1,0))</f>
        <v>0</v>
      </c>
      <c r="Y58" s="383" t="n">
        <f aca="false">IF(21&lt;5,0,IF(MAX(T38:Y38)&gt;Y43+9+$B$18,1,0))</f>
        <v>0</v>
      </c>
      <c r="Z58" s="383" t="n">
        <f aca="false">IF(22&lt;5,0,IF(MAX(U38:Z38)&gt;Z43+9+$B$18,1,0))</f>
        <v>0</v>
      </c>
      <c r="AA58" s="383" t="n">
        <f aca="false">IF(23&lt;5,0,IF(MAX(V38:AA38)&gt;AA43+9+$B$18,1,0))</f>
        <v>0</v>
      </c>
      <c r="AB58" s="383" t="n">
        <f aca="false">IF(24&lt;5,0,IF(MAX(W38:AB38)&gt;AB43+9+$B$18,1,0))</f>
        <v>0</v>
      </c>
      <c r="AC58" s="383" t="n">
        <f aca="false">IF(25&lt;5,0,IF(MAX(X38:AC38)&gt;AC43+9+$B$18,1,0))</f>
        <v>0</v>
      </c>
      <c r="AD58" s="383" t="n">
        <f aca="false">IF(26&lt;5,0,IF(MAX(Y38:AD38)&gt;AD43+9+$B$18,1,0))</f>
        <v>0</v>
      </c>
      <c r="AE58" s="383" t="n">
        <f aca="false">IF(27&lt;5,0,IF(MAX(Z38:AE38)&gt;AE43+9+$B$18,1,0))</f>
        <v>0</v>
      </c>
      <c r="AF58" s="383" t="n">
        <f aca="false">IF(28&lt;5,0,IF(MAX(AA38:AF38)&gt;AF43+9+$B$18,1,0))</f>
        <v>0</v>
      </c>
      <c r="AG58" s="383" t="n">
        <f aca="false">IF(29&lt;5,0,IF(MAX(AB38:AG38)&gt;AG43+9+$B$18,1,0))</f>
        <v>0</v>
      </c>
      <c r="AH58" s="383" t="n">
        <f aca="false">IF(30&lt;5,0,IF(MAX(AC38:AH38)&gt;AH43+9+$B$18,1,0))</f>
        <v>0</v>
      </c>
      <c r="AI58" s="383" t="n">
        <f aca="false">IF(31&lt;5,0,IF(MAX(AD38:AI38)&gt;AI43+9+$B$18,1,0))</f>
        <v>0</v>
      </c>
      <c r="AJ58" s="383" t="n">
        <f aca="false">IF(32&lt;5,0,IF(MAX(AE38:AJ38)&gt;AJ43+9+$B$18,1,0))</f>
        <v>0</v>
      </c>
      <c r="AK58" s="383" t="n">
        <f aca="false">IF(33&lt;5,0,IF(MAX(AF38:AK38)&gt;AK43+9+$B$18,1,0))</f>
        <v>0</v>
      </c>
      <c r="AL58" s="383" t="n">
        <f aca="false">IF(34&lt;5,0,IF(MAX(AG38:AL38)&gt;AL43+9+$B$18,1,0))</f>
        <v>0</v>
      </c>
      <c r="AM58" s="383" t="n">
        <f aca="false">IF(35&lt;5,0,IF(MAX(AH38:AM38)&gt;AM43+9+$B$18,1,0))</f>
        <v>0</v>
      </c>
      <c r="AN58" s="383" t="n">
        <f aca="false">IF(36&lt;5,0,IF(MAX(AI38:AN38)&gt;AN43+9+$B$18,1,0))</f>
        <v>0</v>
      </c>
      <c r="AO58" s="383" t="n">
        <f aca="false">IF(37&lt;5,0,IF(MAX(AJ38:AO38)&gt;AO43+9+$B$18,1,0))</f>
        <v>0</v>
      </c>
      <c r="AP58" s="383" t="n">
        <f aca="false">IF(38&lt;5,0,IF(MAX(AK38:AP38)&gt;AP43+9+$B$18,1,0))</f>
        <v>0</v>
      </c>
      <c r="AQ58" s="383" t="n">
        <f aca="false">IF(39&lt;5,0,IF(MAX(AL38:AQ38)&gt;AQ43+9+$B$18,1,0))</f>
        <v>0</v>
      </c>
      <c r="AR58" s="383" t="n">
        <f aca="false">IF(40&lt;5,0,IF(MAX(AM38:AR38)&gt;AR43+9+$B$18,1,0))</f>
        <v>0</v>
      </c>
      <c r="AS58" s="383" t="n">
        <f aca="false">IF(41&lt;5,0,IF(MAX(AN38:AS38)&gt;AS43+9+$B$18,1,0))</f>
        <v>0</v>
      </c>
      <c r="AT58" s="383" t="n">
        <f aca="false">IF(42&lt;5,0,IF(MAX(AO38:AT38)&gt;AT43+9+$B$18,1,0))</f>
        <v>0</v>
      </c>
      <c r="AU58" s="383" t="n">
        <f aca="false">IF(43&lt;5,0,IF(MAX(AP38:AU38)&gt;AU43+9+$B$18,1,0))</f>
        <v>0</v>
      </c>
      <c r="AV58" s="383" t="n">
        <f aca="false">IF(44&lt;5,0,IF(MAX(AQ38:AV38)&gt;AV43+9+$B$18,1,0))</f>
        <v>0</v>
      </c>
      <c r="AW58" s="383" t="n">
        <f aca="false">IF(45&lt;5,0,IF(MAX(AR38:AW38)&gt;AW43+9+$B$18,1,0))</f>
        <v>0</v>
      </c>
      <c r="AX58" s="383" t="n">
        <f aca="false">IF(46&lt;5,0,IF(MAX(AS38:AX38)&gt;AX43+9+$B$18,1,0))</f>
        <v>0</v>
      </c>
      <c r="AY58" s="383" t="n">
        <f aca="false">IF(47&lt;5,0,IF(MAX(AT38:AY38)&gt;AY43+9+$B$18,1,0))</f>
        <v>0</v>
      </c>
      <c r="AZ58" s="383" t="n">
        <f aca="false">IF(48&lt;5,0,IF(MAX(AU38:AZ38)&gt;AZ43+9+$B$18,1,0))</f>
        <v>0</v>
      </c>
      <c r="BA58" s="383" t="n">
        <f aca="false">IF(49&lt;5,0,IF(MAX(AV38:BA38)&gt;BA43+9+$B$18,1,0))</f>
        <v>0</v>
      </c>
      <c r="BB58" s="383" t="n">
        <f aca="false">IF(50&lt;5,0,IF(MAX(AW38:BB38)&gt;BB43+9+$B$18,1,0))</f>
        <v>0</v>
      </c>
      <c r="BC58" s="383" t="n">
        <f aca="false">IF(51&lt;5,0,IF(MAX(AX38:BC38)&gt;BC43+9+$B$18,1,0))</f>
        <v>0</v>
      </c>
      <c r="BD58" s="383" t="n">
        <f aca="false">IF(52&lt;5,0,IF(MAX(AY38:BD38)&gt;BD43+9+$B$18,1,0))</f>
        <v>0</v>
      </c>
      <c r="BE58" s="383" t="n">
        <f aca="false">IF(53&lt;5,0,IF(MAX(AZ38:BE38)&gt;BE43+9+$B$18,1,0))</f>
        <v>0</v>
      </c>
      <c r="BF58" s="383" t="n">
        <f aca="false">IF(54&lt;5,0,IF(MAX(BA38:BF38)&gt;BF43+9+$B$18,1,0))</f>
        <v>0</v>
      </c>
      <c r="BG58" s="383" t="n">
        <f aca="false">IF(55&lt;5,0,IF(MAX(BB38:BG38)&gt;BG43+9+$B$18,1,0))</f>
        <v>0</v>
      </c>
      <c r="BH58" s="383" t="n">
        <f aca="false">IF(56&lt;5,0,IF(MAX(BC38:BH38)&gt;BH43+9+$B$18,1,0))</f>
        <v>0</v>
      </c>
      <c r="BI58" s="383" t="n">
        <f aca="false">IF(57&lt;5,0,IF(MAX(BD38:BI38)&gt;BI43+9+$B$18,1,0))</f>
        <v>0</v>
      </c>
      <c r="BJ58" s="383" t="n">
        <f aca="false">IF(58&lt;5,0,IF(MAX(BE38:BJ38)&gt;BJ43+9+$B$18,1,0))</f>
        <v>0</v>
      </c>
      <c r="BK58" s="383" t="n">
        <f aca="false">IF(59&lt;5,0,IF(MAX(BF38:BK38)&gt;BK43+9+$B$18,1,0))</f>
        <v>0</v>
      </c>
      <c r="BL58" s="383" t="n">
        <f aca="false">IF(60&lt;5,0,IF(MAX(BG38:BL38)&gt;BL43+9+$B$18,1,0))</f>
        <v>0</v>
      </c>
      <c r="BM58" s="383" t="n">
        <f aca="false">IF(61&lt;5,0,IF(MAX(BH38:BM38)&gt;BM43+9+$B$18,1,0))</f>
        <v>0</v>
      </c>
      <c r="BN58" s="383" t="n">
        <f aca="false">IF(62&lt;5,0,IF(MAX(BI38:BN38)&gt;BN43+9+$B$18,1,0))</f>
        <v>0</v>
      </c>
      <c r="BO58" s="383" t="n">
        <f aca="false">IF(63&lt;5,0,IF(MAX(BJ38:BO38)&gt;BO43+9+$B$18,1,0))</f>
        <v>0</v>
      </c>
      <c r="BP58" s="383" t="n">
        <f aca="false">IF(64&lt;5,0,IF(MAX(BK38:BP38)&gt;BP43+9+$B$18,1,0))</f>
        <v>0</v>
      </c>
      <c r="BQ58" s="383" t="n">
        <f aca="false">IF(65&lt;5,0,IF(MAX(BL38:BQ38)&gt;BQ43+9+$B$18,1,0))</f>
        <v>0</v>
      </c>
      <c r="BR58" s="383" t="n">
        <f aca="false">IF(66&lt;5,0,IF(MAX(BM38:BR38)&gt;BR43+9+$B$18,1,0))</f>
        <v>0</v>
      </c>
      <c r="BS58" s="383" t="n">
        <f aca="false">IF(67&lt;5,0,IF(MAX(BN38:BS38)&gt;BS43+9+$B$18,1,0))</f>
        <v>0</v>
      </c>
      <c r="BT58" s="383" t="n">
        <f aca="false">IF(68&lt;5,0,IF(MAX(BO38:BT38)&gt;BT43+9+$B$18,1,0))</f>
        <v>0</v>
      </c>
      <c r="BU58" s="383" t="n">
        <f aca="false">IF(69&lt;5,0,IF(MAX(BP38:BU38)&gt;BU43+9+$B$18,1,0))</f>
        <v>0</v>
      </c>
      <c r="BV58" s="383" t="n">
        <f aca="false">IF(70&lt;5,0,IF(MAX(BQ38:BV38)&gt;BV43+9+$B$18,1,0))</f>
        <v>0</v>
      </c>
      <c r="BW58" s="383" t="n">
        <f aca="false">IF(71&lt;5,0,IF(MAX(BR38:BW38)&gt;BW43+9+$B$18,1,0))</f>
        <v>0</v>
      </c>
      <c r="BX58" s="383" t="n">
        <f aca="false">IF(72&lt;5,0,IF(MAX(BS38:BX38)&gt;BX43+9+$B$18,1,0))</f>
        <v>0</v>
      </c>
      <c r="BY58" s="383" t="n">
        <f aca="false">IF(73&lt;5,0,IF(MAX(BT38:BY38)&gt;BY43+9+$B$18,1,0))</f>
        <v>0</v>
      </c>
      <c r="BZ58" s="383" t="n">
        <f aca="false">IF(74&lt;5,0,IF(MAX(BU38:BZ38)&gt;BZ43+9+$B$18,1,0))</f>
        <v>0</v>
      </c>
      <c r="CA58" s="383" t="n">
        <f aca="false">IF(75&lt;5,0,IF(MAX(BV38:CA38)&gt;CA43+9+$B$18,1,0))</f>
        <v>0</v>
      </c>
      <c r="CB58" s="383" t="n">
        <f aca="false">IF(76&lt;5,0,IF(MAX(BW38:CB38)&gt;CB43+9+$B$18,1,0))</f>
        <v>0</v>
      </c>
      <c r="CC58" s="383" t="n">
        <f aca="false">IF(77&lt;5,0,IF(MAX(BX38:CC38)&gt;CC43+9+$B$18,1,0))</f>
        <v>0</v>
      </c>
      <c r="CD58" s="383" t="n">
        <f aca="false">IF(78&lt;5,0,IF(MAX(BY38:CD38)&gt;CD43+9+$B$18,1,0))</f>
        <v>0</v>
      </c>
      <c r="CE58" s="383" t="n">
        <f aca="false">IF(79&lt;5,0,IF(MAX(BZ38:CE38)&gt;CE43+9+$B$18,1,0))</f>
        <v>0</v>
      </c>
      <c r="CF58" s="383" t="n">
        <f aca="false">IF(80&lt;5,0,IF(MAX(CA38:CF38)&gt;CF43+9+$B$18,1,0))</f>
        <v>0</v>
      </c>
      <c r="CG58" s="383" t="n">
        <f aca="false">IF(81&lt;5,0,IF(MAX(CB38:CG38)&gt;CG43+9+$B$18,1,0))</f>
        <v>0</v>
      </c>
      <c r="CH58" s="383" t="n">
        <f aca="false">IF(82&lt;5,0,IF(MAX(CC38:CH38)&gt;CH43+9+$B$18,1,0))</f>
        <v>0</v>
      </c>
      <c r="CI58" s="383" t="n">
        <f aca="false">IF(83&lt;5,0,IF(MAX(CD38:CI38)&gt;CI43+9+$B$18,1,0))</f>
        <v>0</v>
      </c>
      <c r="CJ58" s="383" t="n">
        <f aca="false">IF(84&lt;5,0,IF(MAX(CE38:CJ38)&gt;CJ43+9+$B$18,1,0))</f>
        <v>0</v>
      </c>
      <c r="CK58" s="383" t="n">
        <f aca="false">IF(85&lt;5,0,IF(MAX(CF38:CK38)&gt;CK43+9+$B$18,1,0))</f>
        <v>0</v>
      </c>
      <c r="CL58" s="383" t="n">
        <f aca="false">IF(86&lt;5,0,IF(MAX(CG38:CL38)&gt;CL43+9+$B$18,1,0))</f>
        <v>0</v>
      </c>
      <c r="CM58" s="383" t="n">
        <f aca="false">IF(87&lt;5,0,IF(MAX(CH38:CM38)&gt;CM43+9+$B$18,1,0))</f>
        <v>0</v>
      </c>
      <c r="CN58" s="383" t="n">
        <f aca="false">IF(88&lt;5,0,IF(MAX(CI38:CN38)&gt;CN43+9+$B$18,1,0))</f>
        <v>0</v>
      </c>
      <c r="CO58" s="383" t="n">
        <f aca="false">IF(89&lt;5,0,IF(MAX(CJ38:CO38)&gt;CO43+9+$B$18,1,0))</f>
        <v>0</v>
      </c>
      <c r="CP58" s="383" t="n">
        <f aca="false">IF(90&lt;5,0,IF(MAX(CK38:CP38)&gt;CP43+9+$B$18,1,0))</f>
        <v>0</v>
      </c>
      <c r="CQ58" s="383" t="n">
        <f aca="false">IF(91&lt;5,0,IF(MAX(CL38:CQ38)&gt;CQ43+9+$B$18,1,0))</f>
        <v>0</v>
      </c>
      <c r="CR58" s="383" t="n">
        <f aca="false">IF(92&lt;5,0,IF(MAX(CM38:CR38)&gt;CR43+9+$B$18,1,0))</f>
        <v>0</v>
      </c>
      <c r="CS58" s="383" t="n">
        <f aca="false">IF(93&lt;5,0,IF(MAX(CN38:CS38)&gt;CS43+9+$B$18,1,0))</f>
        <v>0</v>
      </c>
      <c r="CT58" s="383" t="n">
        <f aca="false">IF(94&lt;5,0,IF(MAX(CO38:CT38)&gt;CT43+9+$B$18,1,0))</f>
        <v>0</v>
      </c>
      <c r="CU58" s="383" t="n">
        <f aca="false">IF(95&lt;5,0,IF(MAX(CP38:CU38)&gt;CU43+9+$B$18,1,0))</f>
        <v>0</v>
      </c>
      <c r="CV58" s="383" t="n">
        <f aca="false">IF(96&lt;5,0,IF(MAX(CQ38:CV38)&gt;CV43+9+$B$18,1,0))</f>
        <v>0</v>
      </c>
      <c r="CW58" s="383" t="n">
        <f aca="false">IF(97&lt;5,0,IF(MAX(CR38:CW38)&gt;CW43+9+$B$18,1,0))</f>
        <v>0</v>
      </c>
      <c r="CX58" s="383" t="n">
        <f aca="false">IF(98&lt;5,0,IF(MAX(CS38:CX38)&gt;CX43+9+$B$18,1,0))</f>
        <v>0</v>
      </c>
      <c r="CY58" s="383" t="n">
        <f aca="false">IF(99&lt;5,0,IF(MAX(CT38:CY38)&gt;CY43+9+$B$18,1,0))</f>
        <v>0</v>
      </c>
      <c r="CZ58" s="383" t="n">
        <f aca="false">IF(100&lt;5,0,IF(MAX(CU38:CZ38)&gt;CZ43+9+$B$18,1,0))</f>
        <v>0</v>
      </c>
      <c r="DA58" s="383" t="n">
        <f aca="false">IF(101&lt;5,0,IF(MAX(CV38:DA38)&gt;DA43+9+$B$18,1,0))</f>
        <v>0</v>
      </c>
      <c r="DB58" s="383" t="n">
        <f aca="false">IF(102&lt;5,0,IF(MAX(CW38:DB38)&gt;DB43+9+$B$18,1,0))</f>
        <v>0</v>
      </c>
      <c r="DC58" s="383" t="n">
        <f aca="false">IF(103&lt;5,0,IF(MAX(CX38:DC38)&gt;DC43+9+$B$18,1,0))</f>
        <v>0</v>
      </c>
      <c r="DD58" s="383" t="n">
        <f aca="false">IF(104&lt;5,0,IF(MAX(CY38:DD38)&gt;DD43+9+$B$18,1,0))</f>
        <v>0</v>
      </c>
      <c r="DE58" s="383"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1387</v>
      </c>
      <c r="B61" s="211" t="n">
        <f aca="false">$B$28</f>
        <v>130000</v>
      </c>
      <c r="E61" s="383" t="n">
        <f aca="false">IF(1&lt;5,0,IF(MAX(E39:E39)&gt;E44+0+$B$18,1,0))</f>
        <v>0</v>
      </c>
      <c r="F61" s="383" t="n">
        <f aca="false">IF(2&lt;5,0,IF(MAX(E39:F39)&gt;F44+0+$B$18,1,0))</f>
        <v>0</v>
      </c>
      <c r="G61" s="383" t="n">
        <f aca="false">IF(3&lt;5,0,IF(MAX(E39:G39)&gt;G44+0+$B$18,1,0))</f>
        <v>0</v>
      </c>
      <c r="H61" s="383" t="n">
        <f aca="false">IF(4&lt;5,0,IF(MAX(E39:H39)&gt;H44+0+$B$18,1,0))</f>
        <v>0</v>
      </c>
      <c r="I61" s="383" t="n">
        <f aca="false">IF(5&lt;5,0,IF(MAX(E39:I39)&gt;I44+0+$B$18,1,0))</f>
        <v>1</v>
      </c>
      <c r="J61" s="383" t="n">
        <f aca="false">IF(6&lt;5,0,IF(MAX(E39:J39)&gt;J44+0+$B$18,1,0))</f>
        <v>0</v>
      </c>
      <c r="K61" s="383" t="n">
        <f aca="false">IF(7&lt;5,0,IF(MAX(F39:K39)&gt;K44+0+$B$18,1,0))</f>
        <v>0</v>
      </c>
      <c r="L61" s="383" t="n">
        <f aca="false">IF(8&lt;5,0,IF(MAX(G39:L39)&gt;L44+0+$B$18,1,0))</f>
        <v>0</v>
      </c>
      <c r="M61" s="383" t="n">
        <f aca="false">IF(9&lt;5,0,IF(MAX(H39:M39)&gt;M44+0+$B$18,1,0))</f>
        <v>0</v>
      </c>
      <c r="N61" s="383" t="n">
        <f aca="false">IF(10&lt;5,0,IF(MAX(I39:N39)&gt;N44+0+$B$18,1,0))</f>
        <v>1</v>
      </c>
      <c r="O61" s="383" t="n">
        <f aca="false">IF(11&lt;5,0,IF(MAX(J39:O39)&gt;O44+0+$B$18,1,0))</f>
        <v>1</v>
      </c>
      <c r="P61" s="383" t="n">
        <f aca="false">IF(12&lt;5,0,IF(MAX(K39:P39)&gt;P44+0+$B$18,1,0))</f>
        <v>1</v>
      </c>
      <c r="Q61" s="383" t="n">
        <f aca="false">IF(13&lt;5,0,IF(MAX(L39:Q39)&gt;Q44+0+$B$18,1,0))</f>
        <v>1</v>
      </c>
      <c r="R61" s="383" t="n">
        <f aca="false">IF(14&lt;5,0,IF(MAX(M39:R39)&gt;R44+0+$B$18,1,0))</f>
        <v>1</v>
      </c>
      <c r="S61" s="383" t="n">
        <f aca="false">IF(15&lt;5,0,IF(MAX(N39:S39)&gt;S44+0+$B$18,1,0))</f>
        <v>1</v>
      </c>
      <c r="T61" s="383" t="n">
        <f aca="false">IF(16&lt;5,0,IF(MAX(O39:T39)&gt;T44+0+$B$18,1,0))</f>
        <v>1</v>
      </c>
      <c r="U61" s="383" t="n">
        <f aca="false">IF(17&lt;5,0,IF(MAX(P39:U39)&gt;U44+0+$B$18,1,0))</f>
        <v>1</v>
      </c>
      <c r="V61" s="383" t="n">
        <f aca="false">IF(18&lt;5,0,IF(MAX(Q39:V39)&gt;V44+0+$B$18,1,0))</f>
        <v>1</v>
      </c>
      <c r="W61" s="383" t="n">
        <f aca="false">IF(19&lt;5,0,IF(MAX(R39:W39)&gt;W44+0+$B$18,1,0))</f>
        <v>1</v>
      </c>
      <c r="X61" s="383" t="n">
        <f aca="false">IF(20&lt;5,0,IF(MAX(S39:X39)&gt;X44+0+$B$18,1,0))</f>
        <v>1</v>
      </c>
      <c r="Y61" s="383" t="n">
        <f aca="false">IF(21&lt;5,0,IF(MAX(T39:Y39)&gt;Y44+0+$B$18,1,0))</f>
        <v>1</v>
      </c>
      <c r="Z61" s="383" t="n">
        <f aca="false">IF(22&lt;5,0,IF(MAX(U39:Z39)&gt;Z44+0+$B$18,1,0))</f>
        <v>1</v>
      </c>
      <c r="AA61" s="383" t="n">
        <f aca="false">IF(23&lt;5,0,IF(MAX(V39:AA39)&gt;AA44+0+$B$18,1,0))</f>
        <v>1</v>
      </c>
      <c r="AB61" s="383" t="n">
        <f aca="false">IF(24&lt;5,0,IF(MAX(W39:AB39)&gt;AB44+0+$B$18,1,0))</f>
        <v>1</v>
      </c>
      <c r="AC61" s="383" t="n">
        <f aca="false">IF(25&lt;5,0,IF(MAX(X39:AC39)&gt;AC44+0+$B$18,1,0))</f>
        <v>1</v>
      </c>
      <c r="AD61" s="383" t="n">
        <f aca="false">IF(26&lt;5,0,IF(MAX(Y39:AD39)&gt;AD44+0+$B$18,1,0))</f>
        <v>1</v>
      </c>
      <c r="AE61" s="383" t="n">
        <f aca="false">IF(27&lt;5,0,IF(MAX(Z39:AE39)&gt;AE44+0+$B$18,1,0))</f>
        <v>1</v>
      </c>
      <c r="AF61" s="383" t="n">
        <f aca="false">IF(28&lt;5,0,IF(MAX(AA39:AF39)&gt;AF44+0+$B$18,1,0))</f>
        <v>1</v>
      </c>
      <c r="AG61" s="383" t="n">
        <f aca="false">IF(29&lt;5,0,IF(MAX(AB39:AG39)&gt;AG44+0+$B$18,1,0))</f>
        <v>1</v>
      </c>
      <c r="AH61" s="383" t="n">
        <f aca="false">IF(30&lt;5,0,IF(MAX(AC39:AH39)&gt;AH44+0+$B$18,1,0))</f>
        <v>1</v>
      </c>
      <c r="AI61" s="383" t="n">
        <f aca="false">IF(31&lt;5,0,IF(MAX(AD39:AI39)&gt;AI44+0+$B$18,1,0))</f>
        <v>1</v>
      </c>
      <c r="AJ61" s="383" t="n">
        <f aca="false">IF(32&lt;5,0,IF(MAX(AE39:AJ39)&gt;AJ44+0+$B$18,1,0))</f>
        <v>1</v>
      </c>
      <c r="AK61" s="383" t="n">
        <f aca="false">IF(33&lt;5,0,IF(MAX(AF39:AK39)&gt;AK44+0+$B$18,1,0))</f>
        <v>1</v>
      </c>
      <c r="AL61" s="383" t="n">
        <f aca="false">IF(34&lt;5,0,IF(MAX(AG39:AL39)&gt;AL44+0+$B$18,1,0))</f>
        <v>1</v>
      </c>
      <c r="AM61" s="383" t="n">
        <f aca="false">IF(35&lt;5,0,IF(MAX(AH39:AM39)&gt;AM44+0+$B$18,1,0))</f>
        <v>1</v>
      </c>
      <c r="AN61" s="383" t="n">
        <f aca="false">IF(36&lt;5,0,IF(MAX(AI39:AN39)&gt;AN44+0+$B$18,1,0))</f>
        <v>1</v>
      </c>
      <c r="AO61" s="383" t="n">
        <f aca="false">IF(37&lt;5,0,IF(MAX(AJ39:AO39)&gt;AO44+0+$B$18,1,0))</f>
        <v>1</v>
      </c>
      <c r="AP61" s="383" t="n">
        <f aca="false">IF(38&lt;5,0,IF(MAX(AK39:AP39)&gt;AP44+0+$B$18,1,0))</f>
        <v>1</v>
      </c>
      <c r="AQ61" s="383" t="n">
        <f aca="false">IF(39&lt;5,0,IF(MAX(AL39:AQ39)&gt;AQ44+0+$B$18,1,0))</f>
        <v>0</v>
      </c>
      <c r="AR61" s="383" t="n">
        <f aca="false">IF(40&lt;5,0,IF(MAX(AM39:AR39)&gt;AR44+0+$B$18,1,0))</f>
        <v>0</v>
      </c>
      <c r="AS61" s="383" t="n">
        <f aca="false">IF(41&lt;5,0,IF(MAX(AN39:AS39)&gt;AS44+0+$B$18,1,0))</f>
        <v>0</v>
      </c>
      <c r="AT61" s="383" t="n">
        <f aca="false">IF(42&lt;5,0,IF(MAX(AO39:AT39)&gt;AT44+0+$B$18,1,0))</f>
        <v>0</v>
      </c>
      <c r="AU61" s="383" t="n">
        <f aca="false">IF(43&lt;5,0,IF(MAX(AP39:AU39)&gt;AU44+0+$B$18,1,0))</f>
        <v>0</v>
      </c>
      <c r="AV61" s="383" t="n">
        <f aca="false">IF(44&lt;5,0,IF(MAX(AQ39:AV39)&gt;AV44+0+$B$18,1,0))</f>
        <v>0</v>
      </c>
      <c r="AW61" s="383" t="n">
        <f aca="false">IF(45&lt;5,0,IF(MAX(AR39:AW39)&gt;AW44+0+$B$18,1,0))</f>
        <v>0</v>
      </c>
      <c r="AX61" s="383" t="n">
        <f aca="false">IF(46&lt;5,0,IF(MAX(AS39:AX39)&gt;AX44+0+$B$18,1,0))</f>
        <v>0</v>
      </c>
      <c r="AY61" s="383" t="n">
        <f aca="false">IF(47&lt;5,0,IF(MAX(AT39:AY39)&gt;AY44+0+$B$18,1,0))</f>
        <v>0</v>
      </c>
      <c r="AZ61" s="383" t="n">
        <f aca="false">IF(48&lt;5,0,IF(MAX(AU39:AZ39)&gt;AZ44+0+$B$18,1,0))</f>
        <v>0</v>
      </c>
      <c r="BA61" s="383" t="n">
        <f aca="false">IF(49&lt;5,0,IF(MAX(AV39:BA39)&gt;BA44+0+$B$18,1,0))</f>
        <v>0</v>
      </c>
      <c r="BB61" s="383" t="n">
        <f aca="false">IF(50&lt;5,0,IF(MAX(AW39:BB39)&gt;BB44+0+$B$18,1,0))</f>
        <v>0</v>
      </c>
      <c r="BC61" s="383" t="n">
        <f aca="false">IF(51&lt;5,0,IF(MAX(AX39:BC39)&gt;BC44+0+$B$18,1,0))</f>
        <v>0</v>
      </c>
      <c r="BD61" s="383" t="n">
        <f aca="false">IF(52&lt;5,0,IF(MAX(AY39:BD39)&gt;BD44+0+$B$18,1,0))</f>
        <v>0</v>
      </c>
      <c r="BE61" s="383" t="n">
        <f aca="false">IF(53&lt;5,0,IF(MAX(AZ39:BE39)&gt;BE44+0+$B$18,1,0))</f>
        <v>0</v>
      </c>
      <c r="BF61" s="383" t="n">
        <f aca="false">IF(54&lt;5,0,IF(MAX(BA39:BF39)&gt;BF44+0+$B$18,1,0))</f>
        <v>0</v>
      </c>
      <c r="BG61" s="383" t="n">
        <f aca="false">IF(55&lt;5,0,IF(MAX(BB39:BG39)&gt;BG44+0+$B$18,1,0))</f>
        <v>0</v>
      </c>
      <c r="BH61" s="383" t="n">
        <f aca="false">IF(56&lt;5,0,IF(MAX(BC39:BH39)&gt;BH44+0+$B$18,1,0))</f>
        <v>0</v>
      </c>
      <c r="BI61" s="383" t="n">
        <f aca="false">IF(57&lt;5,0,IF(MAX(BD39:BI39)&gt;BI44+0+$B$18,1,0))</f>
        <v>0</v>
      </c>
      <c r="BJ61" s="383" t="n">
        <f aca="false">IF(58&lt;5,0,IF(MAX(BE39:BJ39)&gt;BJ44+0+$B$18,1,0))</f>
        <v>0</v>
      </c>
      <c r="BK61" s="383" t="n">
        <f aca="false">IF(59&lt;5,0,IF(MAX(BF39:BK39)&gt;BK44+0+$B$18,1,0))</f>
        <v>0</v>
      </c>
      <c r="BL61" s="383" t="n">
        <f aca="false">IF(60&lt;5,0,IF(MAX(BG39:BL39)&gt;BL44+0+$B$18,1,0))</f>
        <v>0</v>
      </c>
      <c r="BM61" s="383" t="n">
        <f aca="false">IF(61&lt;5,0,IF(MAX(BH39:BM39)&gt;BM44+0+$B$18,1,0))</f>
        <v>0</v>
      </c>
      <c r="BN61" s="383" t="n">
        <f aca="false">IF(62&lt;5,0,IF(MAX(BI39:BN39)&gt;BN44+0+$B$18,1,0))</f>
        <v>0</v>
      </c>
      <c r="BO61" s="383" t="n">
        <f aca="false">IF(63&lt;5,0,IF(MAX(BJ39:BO39)&gt;BO44+0+$B$18,1,0))</f>
        <v>0</v>
      </c>
      <c r="BP61" s="383" t="n">
        <f aca="false">IF(64&lt;5,0,IF(MAX(BK39:BP39)&gt;BP44+0+$B$18,1,0))</f>
        <v>0</v>
      </c>
      <c r="BQ61" s="383" t="n">
        <f aca="false">IF(65&lt;5,0,IF(MAX(BL39:BQ39)&gt;BQ44+0+$B$18,1,0))</f>
        <v>0</v>
      </c>
      <c r="BR61" s="383" t="n">
        <f aca="false">IF(66&lt;5,0,IF(MAX(BM39:BR39)&gt;BR44+0+$B$18,1,0))</f>
        <v>0</v>
      </c>
      <c r="BS61" s="383" t="n">
        <f aca="false">IF(67&lt;5,0,IF(MAX(BN39:BS39)&gt;BS44+0+$B$18,1,0))</f>
        <v>0</v>
      </c>
      <c r="BT61" s="383" t="n">
        <f aca="false">IF(68&lt;5,0,IF(MAX(BO39:BT39)&gt;BT44+0+$B$18,1,0))</f>
        <v>0</v>
      </c>
      <c r="BU61" s="383" t="n">
        <f aca="false">IF(69&lt;5,0,IF(MAX(BP39:BU39)&gt;BU44+0+$B$18,1,0))</f>
        <v>0</v>
      </c>
      <c r="BV61" s="383" t="n">
        <f aca="false">IF(70&lt;5,0,IF(MAX(BQ39:BV39)&gt;BV44+0+$B$18,1,0))</f>
        <v>0</v>
      </c>
      <c r="BW61" s="383" t="n">
        <f aca="false">IF(71&lt;5,0,IF(MAX(BR39:BW39)&gt;BW44+0+$B$18,1,0))</f>
        <v>0</v>
      </c>
      <c r="BX61" s="383" t="n">
        <f aca="false">IF(72&lt;5,0,IF(MAX(BS39:BX39)&gt;BX44+0+$B$18,1,0))</f>
        <v>0</v>
      </c>
      <c r="BY61" s="383" t="n">
        <f aca="false">IF(73&lt;5,0,IF(MAX(BT39:BY39)&gt;BY44+0+$B$18,1,0))</f>
        <v>0</v>
      </c>
      <c r="BZ61" s="383" t="n">
        <f aca="false">IF(74&lt;5,0,IF(MAX(BU39:BZ39)&gt;BZ44+0+$B$18,1,0))</f>
        <v>0</v>
      </c>
      <c r="CA61" s="383" t="n">
        <f aca="false">IF(75&lt;5,0,IF(MAX(BV39:CA39)&gt;CA44+0+$B$18,1,0))</f>
        <v>0</v>
      </c>
      <c r="CB61" s="383" t="n">
        <f aca="false">IF(76&lt;5,0,IF(MAX(BW39:CB39)&gt;CB44+0+$B$18,1,0))</f>
        <v>0</v>
      </c>
      <c r="CC61" s="383" t="n">
        <f aca="false">IF(77&lt;5,0,IF(MAX(BX39:CC39)&gt;CC44+0+$B$18,1,0))</f>
        <v>0</v>
      </c>
      <c r="CD61" s="383" t="n">
        <f aca="false">IF(78&lt;5,0,IF(MAX(BY39:CD39)&gt;CD44+0+$B$18,1,0))</f>
        <v>0</v>
      </c>
      <c r="CE61" s="383" t="n">
        <f aca="false">IF(79&lt;5,0,IF(MAX(BZ39:CE39)&gt;CE44+0+$B$18,1,0))</f>
        <v>0</v>
      </c>
      <c r="CF61" s="383" t="n">
        <f aca="false">IF(80&lt;5,0,IF(MAX(CA39:CF39)&gt;CF44+0+$B$18,1,0))</f>
        <v>0</v>
      </c>
      <c r="CG61" s="383" t="n">
        <f aca="false">IF(81&lt;5,0,IF(MAX(CB39:CG39)&gt;CG44+0+$B$18,1,0))</f>
        <v>0</v>
      </c>
      <c r="CH61" s="383" t="n">
        <f aca="false">IF(82&lt;5,0,IF(MAX(CC39:CH39)&gt;CH44+0+$B$18,1,0))</f>
        <v>0</v>
      </c>
      <c r="CI61" s="383" t="n">
        <f aca="false">IF(83&lt;5,0,IF(MAX(CD39:CI39)&gt;CI44+0+$B$18,1,0))</f>
        <v>0</v>
      </c>
      <c r="CJ61" s="383" t="n">
        <f aca="false">IF(84&lt;5,0,IF(MAX(CE39:CJ39)&gt;CJ44+0+$B$18,1,0))</f>
        <v>0</v>
      </c>
      <c r="CK61" s="383" t="n">
        <f aca="false">IF(85&lt;5,0,IF(MAX(CF39:CK39)&gt;CK44+0+$B$18,1,0))</f>
        <v>0</v>
      </c>
      <c r="CL61" s="383" t="n">
        <f aca="false">IF(86&lt;5,0,IF(MAX(CG39:CL39)&gt;CL44+0+$B$18,1,0))</f>
        <v>0</v>
      </c>
      <c r="CM61" s="383" t="n">
        <f aca="false">IF(87&lt;5,0,IF(MAX(CH39:CM39)&gt;CM44+0+$B$18,1,0))</f>
        <v>0</v>
      </c>
      <c r="CN61" s="383" t="n">
        <f aca="false">IF(88&lt;5,0,IF(MAX(CI39:CN39)&gt;CN44+0+$B$18,1,0))</f>
        <v>0</v>
      </c>
      <c r="CO61" s="383" t="n">
        <f aca="false">IF(89&lt;5,0,IF(MAX(CJ39:CO39)&gt;CO44+0+$B$18,1,0))</f>
        <v>0</v>
      </c>
      <c r="CP61" s="383" t="n">
        <f aca="false">IF(90&lt;5,0,IF(MAX(CK39:CP39)&gt;CP44+0+$B$18,1,0))</f>
        <v>0</v>
      </c>
      <c r="CQ61" s="383" t="n">
        <f aca="false">IF(91&lt;5,0,IF(MAX(CL39:CQ39)&gt;CQ44+0+$B$18,1,0))</f>
        <v>0</v>
      </c>
      <c r="CR61" s="383" t="n">
        <f aca="false">IF(92&lt;5,0,IF(MAX(CM39:CR39)&gt;CR44+0+$B$18,1,0))</f>
        <v>0</v>
      </c>
      <c r="CS61" s="383" t="n">
        <f aca="false">IF(93&lt;5,0,IF(MAX(CN39:CS39)&gt;CS44+0+$B$18,1,0))</f>
        <v>0</v>
      </c>
      <c r="CT61" s="383" t="n">
        <f aca="false">IF(94&lt;5,0,IF(MAX(CO39:CT39)&gt;CT44+0+$B$18,1,0))</f>
        <v>0</v>
      </c>
      <c r="CU61" s="383" t="n">
        <f aca="false">IF(95&lt;5,0,IF(MAX(CP39:CU39)&gt;CU44+0+$B$18,1,0))</f>
        <v>0</v>
      </c>
      <c r="CV61" s="383" t="n">
        <f aca="false">IF(96&lt;5,0,IF(MAX(CQ39:CV39)&gt;CV44+0+$B$18,1,0))</f>
        <v>0</v>
      </c>
      <c r="CW61" s="383" t="n">
        <f aca="false">IF(97&lt;5,0,IF(MAX(CR39:CW39)&gt;CW44+0+$B$18,1,0))</f>
        <v>0</v>
      </c>
      <c r="CX61" s="383" t="n">
        <f aca="false">IF(98&lt;5,0,IF(MAX(CS39:CX39)&gt;CX44+0+$B$18,1,0))</f>
        <v>0</v>
      </c>
      <c r="CY61" s="383" t="n">
        <f aca="false">IF(99&lt;5,0,IF(MAX(CT39:CY39)&gt;CY44+0+$B$18,1,0))</f>
        <v>0</v>
      </c>
      <c r="CZ61" s="383" t="n">
        <f aca="false">IF(100&lt;5,0,IF(MAX(CU39:CZ39)&gt;CZ44+0+$B$18,1,0))</f>
        <v>0</v>
      </c>
      <c r="DA61" s="383" t="n">
        <f aca="false">IF(101&lt;5,0,IF(MAX(CV39:DA39)&gt;DA44+0+$B$18,1,0))</f>
        <v>0</v>
      </c>
      <c r="DB61" s="383" t="n">
        <f aca="false">IF(102&lt;5,0,IF(MAX(CW39:DB39)&gt;DB44+0+$B$18,1,0))</f>
        <v>0</v>
      </c>
      <c r="DC61" s="383" t="n">
        <f aca="false">IF(103&lt;5,0,IF(MAX(CX39:DC39)&gt;DC44+0+$B$18,1,0))</f>
        <v>0</v>
      </c>
      <c r="DD61" s="383" t="n">
        <f aca="false">IF(104&lt;5,0,IF(MAX(CY39:DD39)&gt;DD44+0+$B$18,1,0))</f>
        <v>0</v>
      </c>
      <c r="DE61" s="383" t="n">
        <f aca="false">IF(105&lt;5,0,IF(MAX(CZ39:DE39)&gt;DE44+0+$B$18,1,0))</f>
        <v>0</v>
      </c>
    </row>
    <row r="62" customFormat="false" ht="13.5" hidden="false" customHeight="true" outlineLevel="0" collapsed="false">
      <c r="A62" s="110" t="s">
        <v>1388</v>
      </c>
      <c r="B62" s="211" t="n">
        <f aca="false">$B$28</f>
        <v>130000</v>
      </c>
      <c r="E62" s="383" t="n">
        <f aca="false">IF(1&lt;5,0,IF(MAX(E39:E39)&gt;E44+1+$B$18,1,0))</f>
        <v>0</v>
      </c>
      <c r="F62" s="383" t="n">
        <f aca="false">IF(2&lt;5,0,IF(MAX(E39:F39)&gt;F44+1+$B$18,1,0))</f>
        <v>0</v>
      </c>
      <c r="G62" s="383" t="n">
        <f aca="false">IF(3&lt;5,0,IF(MAX(E39:G39)&gt;G44+1+$B$18,1,0))</f>
        <v>0</v>
      </c>
      <c r="H62" s="383" t="n">
        <f aca="false">IF(4&lt;5,0,IF(MAX(E39:H39)&gt;H44+1+$B$18,1,0))</f>
        <v>0</v>
      </c>
      <c r="I62" s="383" t="n">
        <f aca="false">IF(5&lt;5,0,IF(MAX(E39:I39)&gt;I44+1+$B$18,1,0))</f>
        <v>0</v>
      </c>
      <c r="J62" s="383" t="n">
        <f aca="false">IF(6&lt;5,0,IF(MAX(E39:J39)&gt;J44+1+$B$18,1,0))</f>
        <v>0</v>
      </c>
      <c r="K62" s="383" t="n">
        <f aca="false">IF(7&lt;5,0,IF(MAX(F39:K39)&gt;K44+1+$B$18,1,0))</f>
        <v>0</v>
      </c>
      <c r="L62" s="383" t="n">
        <f aca="false">IF(8&lt;5,0,IF(MAX(G39:L39)&gt;L44+1+$B$18,1,0))</f>
        <v>0</v>
      </c>
      <c r="M62" s="383" t="n">
        <f aca="false">IF(9&lt;5,0,IF(MAX(H39:M39)&gt;M44+1+$B$18,1,0))</f>
        <v>0</v>
      </c>
      <c r="N62" s="383" t="n">
        <f aca="false">IF(10&lt;5,0,IF(MAX(I39:N39)&gt;N44+1+$B$18,1,0))</f>
        <v>0</v>
      </c>
      <c r="O62" s="383" t="n">
        <f aca="false">IF(11&lt;5,0,IF(MAX(J39:O39)&gt;O44+1+$B$18,1,0))</f>
        <v>0</v>
      </c>
      <c r="P62" s="383" t="n">
        <f aca="false">IF(12&lt;5,0,IF(MAX(K39:P39)&gt;P44+1+$B$18,1,0))</f>
        <v>0</v>
      </c>
      <c r="Q62" s="383" t="n">
        <f aca="false">IF(13&lt;5,0,IF(MAX(L39:Q39)&gt;Q44+1+$B$18,1,0))</f>
        <v>0</v>
      </c>
      <c r="R62" s="383" t="n">
        <f aca="false">IF(14&lt;5,0,IF(MAX(M39:R39)&gt;R44+1+$B$18,1,0))</f>
        <v>1</v>
      </c>
      <c r="S62" s="383" t="n">
        <f aca="false">IF(15&lt;5,0,IF(MAX(N39:S39)&gt;S44+1+$B$18,1,0))</f>
        <v>1</v>
      </c>
      <c r="T62" s="383" t="n">
        <f aca="false">IF(16&lt;5,0,IF(MAX(O39:T39)&gt;T44+1+$B$18,1,0))</f>
        <v>1</v>
      </c>
      <c r="U62" s="383" t="n">
        <f aca="false">IF(17&lt;5,0,IF(MAX(P39:U39)&gt;U44+1+$B$18,1,0))</f>
        <v>1</v>
      </c>
      <c r="V62" s="383" t="n">
        <f aca="false">IF(18&lt;5,0,IF(MAX(Q39:V39)&gt;V44+1+$B$18,1,0))</f>
        <v>1</v>
      </c>
      <c r="W62" s="383" t="n">
        <f aca="false">IF(19&lt;5,0,IF(MAX(R39:W39)&gt;W44+1+$B$18,1,0))</f>
        <v>1</v>
      </c>
      <c r="X62" s="383" t="n">
        <f aca="false">IF(20&lt;5,0,IF(MAX(S39:X39)&gt;X44+1+$B$18,1,0))</f>
        <v>1</v>
      </c>
      <c r="Y62" s="383" t="n">
        <f aca="false">IF(21&lt;5,0,IF(MAX(T39:Y39)&gt;Y44+1+$B$18,1,0))</f>
        <v>1</v>
      </c>
      <c r="Z62" s="383" t="n">
        <f aca="false">IF(22&lt;5,0,IF(MAX(U39:Z39)&gt;Z44+1+$B$18,1,0))</f>
        <v>1</v>
      </c>
      <c r="AA62" s="383" t="n">
        <f aca="false">IF(23&lt;5,0,IF(MAX(V39:AA39)&gt;AA44+1+$B$18,1,0))</f>
        <v>1</v>
      </c>
      <c r="AB62" s="383" t="n">
        <f aca="false">IF(24&lt;5,0,IF(MAX(W39:AB39)&gt;AB44+1+$B$18,1,0))</f>
        <v>1</v>
      </c>
      <c r="AC62" s="383" t="n">
        <f aca="false">IF(25&lt;5,0,IF(MAX(X39:AC39)&gt;AC44+1+$B$18,1,0))</f>
        <v>1</v>
      </c>
      <c r="AD62" s="383" t="n">
        <f aca="false">IF(26&lt;5,0,IF(MAX(Y39:AD39)&gt;AD44+1+$B$18,1,0))</f>
        <v>1</v>
      </c>
      <c r="AE62" s="383" t="n">
        <f aca="false">IF(27&lt;5,0,IF(MAX(Z39:AE39)&gt;AE44+1+$B$18,1,0))</f>
        <v>1</v>
      </c>
      <c r="AF62" s="383" t="n">
        <f aca="false">IF(28&lt;5,0,IF(MAX(AA39:AF39)&gt;AF44+1+$B$18,1,0))</f>
        <v>1</v>
      </c>
      <c r="AG62" s="383" t="n">
        <f aca="false">IF(29&lt;5,0,IF(MAX(AB39:AG39)&gt;AG44+1+$B$18,1,0))</f>
        <v>1</v>
      </c>
      <c r="AH62" s="383" t="n">
        <f aca="false">IF(30&lt;5,0,IF(MAX(AC39:AH39)&gt;AH44+1+$B$18,1,0))</f>
        <v>1</v>
      </c>
      <c r="AI62" s="383" t="n">
        <f aca="false">IF(31&lt;5,0,IF(MAX(AD39:AI39)&gt;AI44+1+$B$18,1,0))</f>
        <v>1</v>
      </c>
      <c r="AJ62" s="383" t="n">
        <f aca="false">IF(32&lt;5,0,IF(MAX(AE39:AJ39)&gt;AJ44+1+$B$18,1,0))</f>
        <v>1</v>
      </c>
      <c r="AK62" s="383" t="n">
        <f aca="false">IF(33&lt;5,0,IF(MAX(AF39:AK39)&gt;AK44+1+$B$18,1,0))</f>
        <v>1</v>
      </c>
      <c r="AL62" s="383" t="n">
        <f aca="false">IF(34&lt;5,0,IF(MAX(AG39:AL39)&gt;AL44+1+$B$18,1,0))</f>
        <v>1</v>
      </c>
      <c r="AM62" s="383" t="n">
        <f aca="false">IF(35&lt;5,0,IF(MAX(AH39:AM39)&gt;AM44+1+$B$18,1,0))</f>
        <v>0</v>
      </c>
      <c r="AN62" s="383" t="n">
        <f aca="false">IF(36&lt;5,0,IF(MAX(AI39:AN39)&gt;AN44+1+$B$18,1,0))</f>
        <v>0</v>
      </c>
      <c r="AO62" s="383" t="n">
        <f aca="false">IF(37&lt;5,0,IF(MAX(AJ39:AO39)&gt;AO44+1+$B$18,1,0))</f>
        <v>0</v>
      </c>
      <c r="AP62" s="383" t="n">
        <f aca="false">IF(38&lt;5,0,IF(MAX(AK39:AP39)&gt;AP44+1+$B$18,1,0))</f>
        <v>0</v>
      </c>
      <c r="AQ62" s="383" t="n">
        <f aca="false">IF(39&lt;5,0,IF(MAX(AL39:AQ39)&gt;AQ44+1+$B$18,1,0))</f>
        <v>0</v>
      </c>
      <c r="AR62" s="383" t="n">
        <f aca="false">IF(40&lt;5,0,IF(MAX(AM39:AR39)&gt;AR44+1+$B$18,1,0))</f>
        <v>0</v>
      </c>
      <c r="AS62" s="383" t="n">
        <f aca="false">IF(41&lt;5,0,IF(MAX(AN39:AS39)&gt;AS44+1+$B$18,1,0))</f>
        <v>0</v>
      </c>
      <c r="AT62" s="383" t="n">
        <f aca="false">IF(42&lt;5,0,IF(MAX(AO39:AT39)&gt;AT44+1+$B$18,1,0))</f>
        <v>0</v>
      </c>
      <c r="AU62" s="383" t="n">
        <f aca="false">IF(43&lt;5,0,IF(MAX(AP39:AU39)&gt;AU44+1+$B$18,1,0))</f>
        <v>0</v>
      </c>
      <c r="AV62" s="383" t="n">
        <f aca="false">IF(44&lt;5,0,IF(MAX(AQ39:AV39)&gt;AV44+1+$B$18,1,0))</f>
        <v>0</v>
      </c>
      <c r="AW62" s="383" t="n">
        <f aca="false">IF(45&lt;5,0,IF(MAX(AR39:AW39)&gt;AW44+1+$B$18,1,0))</f>
        <v>0</v>
      </c>
      <c r="AX62" s="383" t="n">
        <f aca="false">IF(46&lt;5,0,IF(MAX(AS39:AX39)&gt;AX44+1+$B$18,1,0))</f>
        <v>0</v>
      </c>
      <c r="AY62" s="383" t="n">
        <f aca="false">IF(47&lt;5,0,IF(MAX(AT39:AY39)&gt;AY44+1+$B$18,1,0))</f>
        <v>0</v>
      </c>
      <c r="AZ62" s="383" t="n">
        <f aca="false">IF(48&lt;5,0,IF(MAX(AU39:AZ39)&gt;AZ44+1+$B$18,1,0))</f>
        <v>0</v>
      </c>
      <c r="BA62" s="383" t="n">
        <f aca="false">IF(49&lt;5,0,IF(MAX(AV39:BA39)&gt;BA44+1+$B$18,1,0))</f>
        <v>0</v>
      </c>
      <c r="BB62" s="383" t="n">
        <f aca="false">IF(50&lt;5,0,IF(MAX(AW39:BB39)&gt;BB44+1+$B$18,1,0))</f>
        <v>0</v>
      </c>
      <c r="BC62" s="383" t="n">
        <f aca="false">IF(51&lt;5,0,IF(MAX(AX39:BC39)&gt;BC44+1+$B$18,1,0))</f>
        <v>0</v>
      </c>
      <c r="BD62" s="383" t="n">
        <f aca="false">IF(52&lt;5,0,IF(MAX(AY39:BD39)&gt;BD44+1+$B$18,1,0))</f>
        <v>0</v>
      </c>
      <c r="BE62" s="383" t="n">
        <f aca="false">IF(53&lt;5,0,IF(MAX(AZ39:BE39)&gt;BE44+1+$B$18,1,0))</f>
        <v>0</v>
      </c>
      <c r="BF62" s="383" t="n">
        <f aca="false">IF(54&lt;5,0,IF(MAX(BA39:BF39)&gt;BF44+1+$B$18,1,0))</f>
        <v>0</v>
      </c>
      <c r="BG62" s="383" t="n">
        <f aca="false">IF(55&lt;5,0,IF(MAX(BB39:BG39)&gt;BG44+1+$B$18,1,0))</f>
        <v>0</v>
      </c>
      <c r="BH62" s="383" t="n">
        <f aca="false">IF(56&lt;5,0,IF(MAX(BC39:BH39)&gt;BH44+1+$B$18,1,0))</f>
        <v>0</v>
      </c>
      <c r="BI62" s="383" t="n">
        <f aca="false">IF(57&lt;5,0,IF(MAX(BD39:BI39)&gt;BI44+1+$B$18,1,0))</f>
        <v>0</v>
      </c>
      <c r="BJ62" s="383" t="n">
        <f aca="false">IF(58&lt;5,0,IF(MAX(BE39:BJ39)&gt;BJ44+1+$B$18,1,0))</f>
        <v>0</v>
      </c>
      <c r="BK62" s="383" t="n">
        <f aca="false">IF(59&lt;5,0,IF(MAX(BF39:BK39)&gt;BK44+1+$B$18,1,0))</f>
        <v>0</v>
      </c>
      <c r="BL62" s="383" t="n">
        <f aca="false">IF(60&lt;5,0,IF(MAX(BG39:BL39)&gt;BL44+1+$B$18,1,0))</f>
        <v>0</v>
      </c>
      <c r="BM62" s="383" t="n">
        <f aca="false">IF(61&lt;5,0,IF(MAX(BH39:BM39)&gt;BM44+1+$B$18,1,0))</f>
        <v>0</v>
      </c>
      <c r="BN62" s="383" t="n">
        <f aca="false">IF(62&lt;5,0,IF(MAX(BI39:BN39)&gt;BN44+1+$B$18,1,0))</f>
        <v>0</v>
      </c>
      <c r="BO62" s="383" t="n">
        <f aca="false">IF(63&lt;5,0,IF(MAX(BJ39:BO39)&gt;BO44+1+$B$18,1,0))</f>
        <v>0</v>
      </c>
      <c r="BP62" s="383" t="n">
        <f aca="false">IF(64&lt;5,0,IF(MAX(BK39:BP39)&gt;BP44+1+$B$18,1,0))</f>
        <v>0</v>
      </c>
      <c r="BQ62" s="383" t="n">
        <f aca="false">IF(65&lt;5,0,IF(MAX(BL39:BQ39)&gt;BQ44+1+$B$18,1,0))</f>
        <v>0</v>
      </c>
      <c r="BR62" s="383" t="n">
        <f aca="false">IF(66&lt;5,0,IF(MAX(BM39:BR39)&gt;BR44+1+$B$18,1,0))</f>
        <v>0</v>
      </c>
      <c r="BS62" s="383" t="n">
        <f aca="false">IF(67&lt;5,0,IF(MAX(BN39:BS39)&gt;BS44+1+$B$18,1,0))</f>
        <v>0</v>
      </c>
      <c r="BT62" s="383" t="n">
        <f aca="false">IF(68&lt;5,0,IF(MAX(BO39:BT39)&gt;BT44+1+$B$18,1,0))</f>
        <v>0</v>
      </c>
      <c r="BU62" s="383" t="n">
        <f aca="false">IF(69&lt;5,0,IF(MAX(BP39:BU39)&gt;BU44+1+$B$18,1,0))</f>
        <v>0</v>
      </c>
      <c r="BV62" s="383" t="n">
        <f aca="false">IF(70&lt;5,0,IF(MAX(BQ39:BV39)&gt;BV44+1+$B$18,1,0))</f>
        <v>0</v>
      </c>
      <c r="BW62" s="383" t="n">
        <f aca="false">IF(71&lt;5,0,IF(MAX(BR39:BW39)&gt;BW44+1+$B$18,1,0))</f>
        <v>0</v>
      </c>
      <c r="BX62" s="383" t="n">
        <f aca="false">IF(72&lt;5,0,IF(MAX(BS39:BX39)&gt;BX44+1+$B$18,1,0))</f>
        <v>0</v>
      </c>
      <c r="BY62" s="383" t="n">
        <f aca="false">IF(73&lt;5,0,IF(MAX(BT39:BY39)&gt;BY44+1+$B$18,1,0))</f>
        <v>0</v>
      </c>
      <c r="BZ62" s="383" t="n">
        <f aca="false">IF(74&lt;5,0,IF(MAX(BU39:BZ39)&gt;BZ44+1+$B$18,1,0))</f>
        <v>0</v>
      </c>
      <c r="CA62" s="383" t="n">
        <f aca="false">IF(75&lt;5,0,IF(MAX(BV39:CA39)&gt;CA44+1+$B$18,1,0))</f>
        <v>0</v>
      </c>
      <c r="CB62" s="383" t="n">
        <f aca="false">IF(76&lt;5,0,IF(MAX(BW39:CB39)&gt;CB44+1+$B$18,1,0))</f>
        <v>0</v>
      </c>
      <c r="CC62" s="383" t="n">
        <f aca="false">IF(77&lt;5,0,IF(MAX(BX39:CC39)&gt;CC44+1+$B$18,1,0))</f>
        <v>0</v>
      </c>
      <c r="CD62" s="383" t="n">
        <f aca="false">IF(78&lt;5,0,IF(MAX(BY39:CD39)&gt;CD44+1+$B$18,1,0))</f>
        <v>0</v>
      </c>
      <c r="CE62" s="383" t="n">
        <f aca="false">IF(79&lt;5,0,IF(MAX(BZ39:CE39)&gt;CE44+1+$B$18,1,0))</f>
        <v>0</v>
      </c>
      <c r="CF62" s="383" t="n">
        <f aca="false">IF(80&lt;5,0,IF(MAX(CA39:CF39)&gt;CF44+1+$B$18,1,0))</f>
        <v>0</v>
      </c>
      <c r="CG62" s="383" t="n">
        <f aca="false">IF(81&lt;5,0,IF(MAX(CB39:CG39)&gt;CG44+1+$B$18,1,0))</f>
        <v>0</v>
      </c>
      <c r="CH62" s="383" t="n">
        <f aca="false">IF(82&lt;5,0,IF(MAX(CC39:CH39)&gt;CH44+1+$B$18,1,0))</f>
        <v>0</v>
      </c>
      <c r="CI62" s="383" t="n">
        <f aca="false">IF(83&lt;5,0,IF(MAX(CD39:CI39)&gt;CI44+1+$B$18,1,0))</f>
        <v>0</v>
      </c>
      <c r="CJ62" s="383" t="n">
        <f aca="false">IF(84&lt;5,0,IF(MAX(CE39:CJ39)&gt;CJ44+1+$B$18,1,0))</f>
        <v>0</v>
      </c>
      <c r="CK62" s="383" t="n">
        <f aca="false">IF(85&lt;5,0,IF(MAX(CF39:CK39)&gt;CK44+1+$B$18,1,0))</f>
        <v>0</v>
      </c>
      <c r="CL62" s="383" t="n">
        <f aca="false">IF(86&lt;5,0,IF(MAX(CG39:CL39)&gt;CL44+1+$B$18,1,0))</f>
        <v>0</v>
      </c>
      <c r="CM62" s="383" t="n">
        <f aca="false">IF(87&lt;5,0,IF(MAX(CH39:CM39)&gt;CM44+1+$B$18,1,0))</f>
        <v>0</v>
      </c>
      <c r="CN62" s="383" t="n">
        <f aca="false">IF(88&lt;5,0,IF(MAX(CI39:CN39)&gt;CN44+1+$B$18,1,0))</f>
        <v>0</v>
      </c>
      <c r="CO62" s="383" t="n">
        <f aca="false">IF(89&lt;5,0,IF(MAX(CJ39:CO39)&gt;CO44+1+$B$18,1,0))</f>
        <v>0</v>
      </c>
      <c r="CP62" s="383" t="n">
        <f aca="false">IF(90&lt;5,0,IF(MAX(CK39:CP39)&gt;CP44+1+$B$18,1,0))</f>
        <v>0</v>
      </c>
      <c r="CQ62" s="383" t="n">
        <f aca="false">IF(91&lt;5,0,IF(MAX(CL39:CQ39)&gt;CQ44+1+$B$18,1,0))</f>
        <v>0</v>
      </c>
      <c r="CR62" s="383" t="n">
        <f aca="false">IF(92&lt;5,0,IF(MAX(CM39:CR39)&gt;CR44+1+$B$18,1,0))</f>
        <v>0</v>
      </c>
      <c r="CS62" s="383" t="n">
        <f aca="false">IF(93&lt;5,0,IF(MAX(CN39:CS39)&gt;CS44+1+$B$18,1,0))</f>
        <v>0</v>
      </c>
      <c r="CT62" s="383" t="n">
        <f aca="false">IF(94&lt;5,0,IF(MAX(CO39:CT39)&gt;CT44+1+$B$18,1,0))</f>
        <v>0</v>
      </c>
      <c r="CU62" s="383" t="n">
        <f aca="false">IF(95&lt;5,0,IF(MAX(CP39:CU39)&gt;CU44+1+$B$18,1,0))</f>
        <v>0</v>
      </c>
      <c r="CV62" s="383" t="n">
        <f aca="false">IF(96&lt;5,0,IF(MAX(CQ39:CV39)&gt;CV44+1+$B$18,1,0))</f>
        <v>0</v>
      </c>
      <c r="CW62" s="383" t="n">
        <f aca="false">IF(97&lt;5,0,IF(MAX(CR39:CW39)&gt;CW44+1+$B$18,1,0))</f>
        <v>0</v>
      </c>
      <c r="CX62" s="383" t="n">
        <f aca="false">IF(98&lt;5,0,IF(MAX(CS39:CX39)&gt;CX44+1+$B$18,1,0))</f>
        <v>0</v>
      </c>
      <c r="CY62" s="383" t="n">
        <f aca="false">IF(99&lt;5,0,IF(MAX(CT39:CY39)&gt;CY44+1+$B$18,1,0))</f>
        <v>0</v>
      </c>
      <c r="CZ62" s="383" t="n">
        <f aca="false">IF(100&lt;5,0,IF(MAX(CU39:CZ39)&gt;CZ44+1+$B$18,1,0))</f>
        <v>0</v>
      </c>
      <c r="DA62" s="383" t="n">
        <f aca="false">IF(101&lt;5,0,IF(MAX(CV39:DA39)&gt;DA44+1+$B$18,1,0))</f>
        <v>0</v>
      </c>
      <c r="DB62" s="383" t="n">
        <f aca="false">IF(102&lt;5,0,IF(MAX(CW39:DB39)&gt;DB44+1+$B$18,1,0))</f>
        <v>0</v>
      </c>
      <c r="DC62" s="383" t="n">
        <f aca="false">IF(103&lt;5,0,IF(MAX(CX39:DC39)&gt;DC44+1+$B$18,1,0))</f>
        <v>0</v>
      </c>
      <c r="DD62" s="383" t="n">
        <f aca="false">IF(104&lt;5,0,IF(MAX(CY39:DD39)&gt;DD44+1+$B$18,1,0))</f>
        <v>0</v>
      </c>
      <c r="DE62" s="383" t="n">
        <f aca="false">IF(105&lt;5,0,IF(MAX(CZ39:DE39)&gt;DE44+1+$B$18,1,0))</f>
        <v>0</v>
      </c>
    </row>
    <row r="63" customFormat="false" ht="13.5" hidden="false" customHeight="true" outlineLevel="0" collapsed="false">
      <c r="A63" s="110" t="s">
        <v>1389</v>
      </c>
      <c r="B63" s="211" t="n">
        <f aca="false">$B$28</f>
        <v>130000</v>
      </c>
      <c r="E63" s="383" t="n">
        <f aca="false">IF(1&lt;5,0,IF(MAX(E39:E39)&gt;E44+2+$B$18,1,0))</f>
        <v>0</v>
      </c>
      <c r="F63" s="383" t="n">
        <f aca="false">IF(2&lt;5,0,IF(MAX(E39:F39)&gt;F44+2+$B$18,1,0))</f>
        <v>0</v>
      </c>
      <c r="G63" s="383" t="n">
        <f aca="false">IF(3&lt;5,0,IF(MAX(E39:G39)&gt;G44+2+$B$18,1,0))</f>
        <v>0</v>
      </c>
      <c r="H63" s="383" t="n">
        <f aca="false">IF(4&lt;5,0,IF(MAX(E39:H39)&gt;H44+2+$B$18,1,0))</f>
        <v>0</v>
      </c>
      <c r="I63" s="383" t="n">
        <f aca="false">IF(5&lt;5,0,IF(MAX(E39:I39)&gt;I44+2+$B$18,1,0))</f>
        <v>0</v>
      </c>
      <c r="J63" s="383" t="n">
        <f aca="false">IF(6&lt;5,0,IF(MAX(E39:J39)&gt;J44+2+$B$18,1,0))</f>
        <v>0</v>
      </c>
      <c r="K63" s="383" t="n">
        <f aca="false">IF(7&lt;5,0,IF(MAX(F39:K39)&gt;K44+2+$B$18,1,0))</f>
        <v>0</v>
      </c>
      <c r="L63" s="383" t="n">
        <f aca="false">IF(8&lt;5,0,IF(MAX(G39:L39)&gt;L44+2+$B$18,1,0))</f>
        <v>0</v>
      </c>
      <c r="M63" s="383" t="n">
        <f aca="false">IF(9&lt;5,0,IF(MAX(H39:M39)&gt;M44+2+$B$18,1,0))</f>
        <v>0</v>
      </c>
      <c r="N63" s="383" t="n">
        <f aca="false">IF(10&lt;5,0,IF(MAX(I39:N39)&gt;N44+2+$B$18,1,0))</f>
        <v>0</v>
      </c>
      <c r="O63" s="383" t="n">
        <f aca="false">IF(11&lt;5,0,IF(MAX(J39:O39)&gt;O44+2+$B$18,1,0))</f>
        <v>0</v>
      </c>
      <c r="P63" s="383" t="n">
        <f aca="false">IF(12&lt;5,0,IF(MAX(K39:P39)&gt;P44+2+$B$18,1,0))</f>
        <v>0</v>
      </c>
      <c r="Q63" s="383" t="n">
        <f aca="false">IF(13&lt;5,0,IF(MAX(L39:Q39)&gt;Q44+2+$B$18,1,0))</f>
        <v>0</v>
      </c>
      <c r="R63" s="383" t="n">
        <f aca="false">IF(14&lt;5,0,IF(MAX(M39:R39)&gt;R44+2+$B$18,1,0))</f>
        <v>0</v>
      </c>
      <c r="S63" s="383" t="n">
        <f aca="false">IF(15&lt;5,0,IF(MAX(N39:S39)&gt;S44+2+$B$18,1,0))</f>
        <v>0</v>
      </c>
      <c r="T63" s="383" t="n">
        <f aca="false">IF(16&lt;5,0,IF(MAX(O39:T39)&gt;T44+2+$B$18,1,0))</f>
        <v>0</v>
      </c>
      <c r="U63" s="383" t="n">
        <f aca="false">IF(17&lt;5,0,IF(MAX(P39:U39)&gt;U44+2+$B$18,1,0))</f>
        <v>0</v>
      </c>
      <c r="V63" s="383" t="n">
        <f aca="false">IF(18&lt;5,0,IF(MAX(Q39:V39)&gt;V44+2+$B$18,1,0))</f>
        <v>0</v>
      </c>
      <c r="W63" s="383" t="n">
        <f aca="false">IF(19&lt;5,0,IF(MAX(R39:W39)&gt;W44+2+$B$18,1,0))</f>
        <v>0</v>
      </c>
      <c r="X63" s="383" t="n">
        <f aca="false">IF(20&lt;5,0,IF(MAX(S39:X39)&gt;X44+2+$B$18,1,0))</f>
        <v>0</v>
      </c>
      <c r="Y63" s="383" t="n">
        <f aca="false">IF(21&lt;5,0,IF(MAX(T39:Y39)&gt;Y44+2+$B$18,1,0))</f>
        <v>0</v>
      </c>
      <c r="Z63" s="383" t="n">
        <f aca="false">IF(22&lt;5,0,IF(MAX(U39:Z39)&gt;Z44+2+$B$18,1,0))</f>
        <v>0</v>
      </c>
      <c r="AA63" s="383" t="n">
        <f aca="false">IF(23&lt;5,0,IF(MAX(V39:AA39)&gt;AA44+2+$B$18,1,0))</f>
        <v>0</v>
      </c>
      <c r="AB63" s="383" t="n">
        <f aca="false">IF(24&lt;5,0,IF(MAX(W39:AB39)&gt;AB44+2+$B$18,1,0))</f>
        <v>0</v>
      </c>
      <c r="AC63" s="383" t="n">
        <f aca="false">IF(25&lt;5,0,IF(MAX(X39:AC39)&gt;AC44+2+$B$18,1,0))</f>
        <v>0</v>
      </c>
      <c r="AD63" s="383" t="n">
        <f aca="false">IF(26&lt;5,0,IF(MAX(Y39:AD39)&gt;AD44+2+$B$18,1,0))</f>
        <v>0</v>
      </c>
      <c r="AE63" s="383" t="n">
        <f aca="false">IF(27&lt;5,0,IF(MAX(Z39:AE39)&gt;AE44+2+$B$18,1,0))</f>
        <v>0</v>
      </c>
      <c r="AF63" s="383" t="n">
        <f aca="false">IF(28&lt;5,0,IF(MAX(AA39:AF39)&gt;AF44+2+$B$18,1,0))</f>
        <v>0</v>
      </c>
      <c r="AG63" s="383" t="n">
        <f aca="false">IF(29&lt;5,0,IF(MAX(AB39:AG39)&gt;AG44+2+$B$18,1,0))</f>
        <v>0</v>
      </c>
      <c r="AH63" s="383" t="n">
        <f aca="false">IF(30&lt;5,0,IF(MAX(AC39:AH39)&gt;AH44+2+$B$18,1,0))</f>
        <v>0</v>
      </c>
      <c r="AI63" s="383" t="n">
        <f aca="false">IF(31&lt;5,0,IF(MAX(AD39:AI39)&gt;AI44+2+$B$18,1,0))</f>
        <v>0</v>
      </c>
      <c r="AJ63" s="383" t="n">
        <f aca="false">IF(32&lt;5,0,IF(MAX(AE39:AJ39)&gt;AJ44+2+$B$18,1,0))</f>
        <v>0</v>
      </c>
      <c r="AK63" s="383" t="n">
        <f aca="false">IF(33&lt;5,0,IF(MAX(AF39:AK39)&gt;AK44+2+$B$18,1,0))</f>
        <v>0</v>
      </c>
      <c r="AL63" s="383" t="n">
        <f aca="false">IF(34&lt;5,0,IF(MAX(AG39:AL39)&gt;AL44+2+$B$18,1,0))</f>
        <v>0</v>
      </c>
      <c r="AM63" s="383" t="n">
        <f aca="false">IF(35&lt;5,0,IF(MAX(AH39:AM39)&gt;AM44+2+$B$18,1,0))</f>
        <v>0</v>
      </c>
      <c r="AN63" s="383" t="n">
        <f aca="false">IF(36&lt;5,0,IF(MAX(AI39:AN39)&gt;AN44+2+$B$18,1,0))</f>
        <v>0</v>
      </c>
      <c r="AO63" s="383" t="n">
        <f aca="false">IF(37&lt;5,0,IF(MAX(AJ39:AO39)&gt;AO44+2+$B$18,1,0))</f>
        <v>0</v>
      </c>
      <c r="AP63" s="383" t="n">
        <f aca="false">IF(38&lt;5,0,IF(MAX(AK39:AP39)&gt;AP44+2+$B$18,1,0))</f>
        <v>0</v>
      </c>
      <c r="AQ63" s="383" t="n">
        <f aca="false">IF(39&lt;5,0,IF(MAX(AL39:AQ39)&gt;AQ44+2+$B$18,1,0))</f>
        <v>0</v>
      </c>
      <c r="AR63" s="383" t="n">
        <f aca="false">IF(40&lt;5,0,IF(MAX(AM39:AR39)&gt;AR44+2+$B$18,1,0))</f>
        <v>0</v>
      </c>
      <c r="AS63" s="383" t="n">
        <f aca="false">IF(41&lt;5,0,IF(MAX(AN39:AS39)&gt;AS44+2+$B$18,1,0))</f>
        <v>0</v>
      </c>
      <c r="AT63" s="383" t="n">
        <f aca="false">IF(42&lt;5,0,IF(MAX(AO39:AT39)&gt;AT44+2+$B$18,1,0))</f>
        <v>0</v>
      </c>
      <c r="AU63" s="383" t="n">
        <f aca="false">IF(43&lt;5,0,IF(MAX(AP39:AU39)&gt;AU44+2+$B$18,1,0))</f>
        <v>0</v>
      </c>
      <c r="AV63" s="383" t="n">
        <f aca="false">IF(44&lt;5,0,IF(MAX(AQ39:AV39)&gt;AV44+2+$B$18,1,0))</f>
        <v>0</v>
      </c>
      <c r="AW63" s="383" t="n">
        <f aca="false">IF(45&lt;5,0,IF(MAX(AR39:AW39)&gt;AW44+2+$B$18,1,0))</f>
        <v>0</v>
      </c>
      <c r="AX63" s="383" t="n">
        <f aca="false">IF(46&lt;5,0,IF(MAX(AS39:AX39)&gt;AX44+2+$B$18,1,0))</f>
        <v>0</v>
      </c>
      <c r="AY63" s="383" t="n">
        <f aca="false">IF(47&lt;5,0,IF(MAX(AT39:AY39)&gt;AY44+2+$B$18,1,0))</f>
        <v>0</v>
      </c>
      <c r="AZ63" s="383" t="n">
        <f aca="false">IF(48&lt;5,0,IF(MAX(AU39:AZ39)&gt;AZ44+2+$B$18,1,0))</f>
        <v>0</v>
      </c>
      <c r="BA63" s="383" t="n">
        <f aca="false">IF(49&lt;5,0,IF(MAX(AV39:BA39)&gt;BA44+2+$B$18,1,0))</f>
        <v>0</v>
      </c>
      <c r="BB63" s="383" t="n">
        <f aca="false">IF(50&lt;5,0,IF(MAX(AW39:BB39)&gt;BB44+2+$B$18,1,0))</f>
        <v>0</v>
      </c>
      <c r="BC63" s="383" t="n">
        <f aca="false">IF(51&lt;5,0,IF(MAX(AX39:BC39)&gt;BC44+2+$B$18,1,0))</f>
        <v>0</v>
      </c>
      <c r="BD63" s="383" t="n">
        <f aca="false">IF(52&lt;5,0,IF(MAX(AY39:BD39)&gt;BD44+2+$B$18,1,0))</f>
        <v>0</v>
      </c>
      <c r="BE63" s="383" t="n">
        <f aca="false">IF(53&lt;5,0,IF(MAX(AZ39:BE39)&gt;BE44+2+$B$18,1,0))</f>
        <v>0</v>
      </c>
      <c r="BF63" s="383" t="n">
        <f aca="false">IF(54&lt;5,0,IF(MAX(BA39:BF39)&gt;BF44+2+$B$18,1,0))</f>
        <v>0</v>
      </c>
      <c r="BG63" s="383" t="n">
        <f aca="false">IF(55&lt;5,0,IF(MAX(BB39:BG39)&gt;BG44+2+$B$18,1,0))</f>
        <v>0</v>
      </c>
      <c r="BH63" s="383" t="n">
        <f aca="false">IF(56&lt;5,0,IF(MAX(BC39:BH39)&gt;BH44+2+$B$18,1,0))</f>
        <v>0</v>
      </c>
      <c r="BI63" s="383" t="n">
        <f aca="false">IF(57&lt;5,0,IF(MAX(BD39:BI39)&gt;BI44+2+$B$18,1,0))</f>
        <v>0</v>
      </c>
      <c r="BJ63" s="383" t="n">
        <f aca="false">IF(58&lt;5,0,IF(MAX(BE39:BJ39)&gt;BJ44+2+$B$18,1,0))</f>
        <v>0</v>
      </c>
      <c r="BK63" s="383" t="n">
        <f aca="false">IF(59&lt;5,0,IF(MAX(BF39:BK39)&gt;BK44+2+$B$18,1,0))</f>
        <v>0</v>
      </c>
      <c r="BL63" s="383" t="n">
        <f aca="false">IF(60&lt;5,0,IF(MAX(BG39:BL39)&gt;BL44+2+$B$18,1,0))</f>
        <v>0</v>
      </c>
      <c r="BM63" s="383" t="n">
        <f aca="false">IF(61&lt;5,0,IF(MAX(BH39:BM39)&gt;BM44+2+$B$18,1,0))</f>
        <v>0</v>
      </c>
      <c r="BN63" s="383" t="n">
        <f aca="false">IF(62&lt;5,0,IF(MAX(BI39:BN39)&gt;BN44+2+$B$18,1,0))</f>
        <v>0</v>
      </c>
      <c r="BO63" s="383" t="n">
        <f aca="false">IF(63&lt;5,0,IF(MAX(BJ39:BO39)&gt;BO44+2+$B$18,1,0))</f>
        <v>0</v>
      </c>
      <c r="BP63" s="383" t="n">
        <f aca="false">IF(64&lt;5,0,IF(MAX(BK39:BP39)&gt;BP44+2+$B$18,1,0))</f>
        <v>0</v>
      </c>
      <c r="BQ63" s="383" t="n">
        <f aca="false">IF(65&lt;5,0,IF(MAX(BL39:BQ39)&gt;BQ44+2+$B$18,1,0))</f>
        <v>0</v>
      </c>
      <c r="BR63" s="383" t="n">
        <f aca="false">IF(66&lt;5,0,IF(MAX(BM39:BR39)&gt;BR44+2+$B$18,1,0))</f>
        <v>0</v>
      </c>
      <c r="BS63" s="383" t="n">
        <f aca="false">IF(67&lt;5,0,IF(MAX(BN39:BS39)&gt;BS44+2+$B$18,1,0))</f>
        <v>0</v>
      </c>
      <c r="BT63" s="383" t="n">
        <f aca="false">IF(68&lt;5,0,IF(MAX(BO39:BT39)&gt;BT44+2+$B$18,1,0))</f>
        <v>0</v>
      </c>
      <c r="BU63" s="383" t="n">
        <f aca="false">IF(69&lt;5,0,IF(MAX(BP39:BU39)&gt;BU44+2+$B$18,1,0))</f>
        <v>0</v>
      </c>
      <c r="BV63" s="383" t="n">
        <f aca="false">IF(70&lt;5,0,IF(MAX(BQ39:BV39)&gt;BV44+2+$B$18,1,0))</f>
        <v>0</v>
      </c>
      <c r="BW63" s="383" t="n">
        <f aca="false">IF(71&lt;5,0,IF(MAX(BR39:BW39)&gt;BW44+2+$B$18,1,0))</f>
        <v>0</v>
      </c>
      <c r="BX63" s="383" t="n">
        <f aca="false">IF(72&lt;5,0,IF(MAX(BS39:BX39)&gt;BX44+2+$B$18,1,0))</f>
        <v>0</v>
      </c>
      <c r="BY63" s="383" t="n">
        <f aca="false">IF(73&lt;5,0,IF(MAX(BT39:BY39)&gt;BY44+2+$B$18,1,0))</f>
        <v>0</v>
      </c>
      <c r="BZ63" s="383" t="n">
        <f aca="false">IF(74&lt;5,0,IF(MAX(BU39:BZ39)&gt;BZ44+2+$B$18,1,0))</f>
        <v>0</v>
      </c>
      <c r="CA63" s="383" t="n">
        <f aca="false">IF(75&lt;5,0,IF(MAX(BV39:CA39)&gt;CA44+2+$B$18,1,0))</f>
        <v>0</v>
      </c>
      <c r="CB63" s="383" t="n">
        <f aca="false">IF(76&lt;5,0,IF(MAX(BW39:CB39)&gt;CB44+2+$B$18,1,0))</f>
        <v>0</v>
      </c>
      <c r="CC63" s="383" t="n">
        <f aca="false">IF(77&lt;5,0,IF(MAX(BX39:CC39)&gt;CC44+2+$B$18,1,0))</f>
        <v>0</v>
      </c>
      <c r="CD63" s="383" t="n">
        <f aca="false">IF(78&lt;5,0,IF(MAX(BY39:CD39)&gt;CD44+2+$B$18,1,0))</f>
        <v>0</v>
      </c>
      <c r="CE63" s="383" t="n">
        <f aca="false">IF(79&lt;5,0,IF(MAX(BZ39:CE39)&gt;CE44+2+$B$18,1,0))</f>
        <v>0</v>
      </c>
      <c r="CF63" s="383" t="n">
        <f aca="false">IF(80&lt;5,0,IF(MAX(CA39:CF39)&gt;CF44+2+$B$18,1,0))</f>
        <v>0</v>
      </c>
      <c r="CG63" s="383" t="n">
        <f aca="false">IF(81&lt;5,0,IF(MAX(CB39:CG39)&gt;CG44+2+$B$18,1,0))</f>
        <v>0</v>
      </c>
      <c r="CH63" s="383" t="n">
        <f aca="false">IF(82&lt;5,0,IF(MAX(CC39:CH39)&gt;CH44+2+$B$18,1,0))</f>
        <v>0</v>
      </c>
      <c r="CI63" s="383" t="n">
        <f aca="false">IF(83&lt;5,0,IF(MAX(CD39:CI39)&gt;CI44+2+$B$18,1,0))</f>
        <v>0</v>
      </c>
      <c r="CJ63" s="383" t="n">
        <f aca="false">IF(84&lt;5,0,IF(MAX(CE39:CJ39)&gt;CJ44+2+$B$18,1,0))</f>
        <v>0</v>
      </c>
      <c r="CK63" s="383" t="n">
        <f aca="false">IF(85&lt;5,0,IF(MAX(CF39:CK39)&gt;CK44+2+$B$18,1,0))</f>
        <v>0</v>
      </c>
      <c r="CL63" s="383" t="n">
        <f aca="false">IF(86&lt;5,0,IF(MAX(CG39:CL39)&gt;CL44+2+$B$18,1,0))</f>
        <v>0</v>
      </c>
      <c r="CM63" s="383" t="n">
        <f aca="false">IF(87&lt;5,0,IF(MAX(CH39:CM39)&gt;CM44+2+$B$18,1,0))</f>
        <v>0</v>
      </c>
      <c r="CN63" s="383" t="n">
        <f aca="false">IF(88&lt;5,0,IF(MAX(CI39:CN39)&gt;CN44+2+$B$18,1,0))</f>
        <v>0</v>
      </c>
      <c r="CO63" s="383" t="n">
        <f aca="false">IF(89&lt;5,0,IF(MAX(CJ39:CO39)&gt;CO44+2+$B$18,1,0))</f>
        <v>0</v>
      </c>
      <c r="CP63" s="383" t="n">
        <f aca="false">IF(90&lt;5,0,IF(MAX(CK39:CP39)&gt;CP44+2+$B$18,1,0))</f>
        <v>0</v>
      </c>
      <c r="CQ63" s="383" t="n">
        <f aca="false">IF(91&lt;5,0,IF(MAX(CL39:CQ39)&gt;CQ44+2+$B$18,1,0))</f>
        <v>0</v>
      </c>
      <c r="CR63" s="383" t="n">
        <f aca="false">IF(92&lt;5,0,IF(MAX(CM39:CR39)&gt;CR44+2+$B$18,1,0))</f>
        <v>0</v>
      </c>
      <c r="CS63" s="383" t="n">
        <f aca="false">IF(93&lt;5,0,IF(MAX(CN39:CS39)&gt;CS44+2+$B$18,1,0))</f>
        <v>0</v>
      </c>
      <c r="CT63" s="383" t="n">
        <f aca="false">IF(94&lt;5,0,IF(MAX(CO39:CT39)&gt;CT44+2+$B$18,1,0))</f>
        <v>0</v>
      </c>
      <c r="CU63" s="383" t="n">
        <f aca="false">IF(95&lt;5,0,IF(MAX(CP39:CU39)&gt;CU44+2+$B$18,1,0))</f>
        <v>0</v>
      </c>
      <c r="CV63" s="383" t="n">
        <f aca="false">IF(96&lt;5,0,IF(MAX(CQ39:CV39)&gt;CV44+2+$B$18,1,0))</f>
        <v>0</v>
      </c>
      <c r="CW63" s="383" t="n">
        <f aca="false">IF(97&lt;5,0,IF(MAX(CR39:CW39)&gt;CW44+2+$B$18,1,0))</f>
        <v>0</v>
      </c>
      <c r="CX63" s="383" t="n">
        <f aca="false">IF(98&lt;5,0,IF(MAX(CS39:CX39)&gt;CX44+2+$B$18,1,0))</f>
        <v>0</v>
      </c>
      <c r="CY63" s="383" t="n">
        <f aca="false">IF(99&lt;5,0,IF(MAX(CT39:CY39)&gt;CY44+2+$B$18,1,0))</f>
        <v>0</v>
      </c>
      <c r="CZ63" s="383" t="n">
        <f aca="false">IF(100&lt;5,0,IF(MAX(CU39:CZ39)&gt;CZ44+2+$B$18,1,0))</f>
        <v>0</v>
      </c>
      <c r="DA63" s="383" t="n">
        <f aca="false">IF(101&lt;5,0,IF(MAX(CV39:DA39)&gt;DA44+2+$B$18,1,0))</f>
        <v>0</v>
      </c>
      <c r="DB63" s="383" t="n">
        <f aca="false">IF(102&lt;5,0,IF(MAX(CW39:DB39)&gt;DB44+2+$B$18,1,0))</f>
        <v>0</v>
      </c>
      <c r="DC63" s="383" t="n">
        <f aca="false">IF(103&lt;5,0,IF(MAX(CX39:DC39)&gt;DC44+2+$B$18,1,0))</f>
        <v>0</v>
      </c>
      <c r="DD63" s="383" t="n">
        <f aca="false">IF(104&lt;5,0,IF(MAX(CY39:DD39)&gt;DD44+2+$B$18,1,0))</f>
        <v>0</v>
      </c>
      <c r="DE63" s="383" t="n">
        <f aca="false">IF(105&lt;5,0,IF(MAX(CZ39:DE39)&gt;DE44+2+$B$18,1,0))</f>
        <v>0</v>
      </c>
    </row>
    <row r="64" customFormat="false" ht="13.5" hidden="false" customHeight="true" outlineLevel="0" collapsed="false">
      <c r="A64" s="110" t="s">
        <v>1390</v>
      </c>
      <c r="B64" s="211" t="n">
        <f aca="false">$B$28</f>
        <v>130000</v>
      </c>
      <c r="E64" s="383" t="n">
        <f aca="false">IF(1&lt;5,0,IF(MAX(E39:E39)&gt;E44+3+$B$18,1,0))</f>
        <v>0</v>
      </c>
      <c r="F64" s="383" t="n">
        <f aca="false">IF(2&lt;5,0,IF(MAX(E39:F39)&gt;F44+3+$B$18,1,0))</f>
        <v>0</v>
      </c>
      <c r="G64" s="383" t="n">
        <f aca="false">IF(3&lt;5,0,IF(MAX(E39:G39)&gt;G44+3+$B$18,1,0))</f>
        <v>0</v>
      </c>
      <c r="H64" s="383" t="n">
        <f aca="false">IF(4&lt;5,0,IF(MAX(E39:H39)&gt;H44+3+$B$18,1,0))</f>
        <v>0</v>
      </c>
      <c r="I64" s="383" t="n">
        <f aca="false">IF(5&lt;5,0,IF(MAX(E39:I39)&gt;I44+3+$B$18,1,0))</f>
        <v>0</v>
      </c>
      <c r="J64" s="383" t="n">
        <f aca="false">IF(6&lt;5,0,IF(MAX(E39:J39)&gt;J44+3+$B$18,1,0))</f>
        <v>0</v>
      </c>
      <c r="K64" s="383" t="n">
        <f aca="false">IF(7&lt;5,0,IF(MAX(F39:K39)&gt;K44+3+$B$18,1,0))</f>
        <v>0</v>
      </c>
      <c r="L64" s="383" t="n">
        <f aca="false">IF(8&lt;5,0,IF(MAX(G39:L39)&gt;L44+3+$B$18,1,0))</f>
        <v>0</v>
      </c>
      <c r="M64" s="383" t="n">
        <f aca="false">IF(9&lt;5,0,IF(MAX(H39:M39)&gt;M44+3+$B$18,1,0))</f>
        <v>0</v>
      </c>
      <c r="N64" s="383" t="n">
        <f aca="false">IF(10&lt;5,0,IF(MAX(I39:N39)&gt;N44+3+$B$18,1,0))</f>
        <v>0</v>
      </c>
      <c r="O64" s="383" t="n">
        <f aca="false">IF(11&lt;5,0,IF(MAX(J39:O39)&gt;O44+3+$B$18,1,0))</f>
        <v>0</v>
      </c>
      <c r="P64" s="383" t="n">
        <f aca="false">IF(12&lt;5,0,IF(MAX(K39:P39)&gt;P44+3+$B$18,1,0))</f>
        <v>0</v>
      </c>
      <c r="Q64" s="383" t="n">
        <f aca="false">IF(13&lt;5,0,IF(MAX(L39:Q39)&gt;Q44+3+$B$18,1,0))</f>
        <v>0</v>
      </c>
      <c r="R64" s="383" t="n">
        <f aca="false">IF(14&lt;5,0,IF(MAX(M39:R39)&gt;R44+3+$B$18,1,0))</f>
        <v>0</v>
      </c>
      <c r="S64" s="383" t="n">
        <f aca="false">IF(15&lt;5,0,IF(MAX(N39:S39)&gt;S44+3+$B$18,1,0))</f>
        <v>0</v>
      </c>
      <c r="T64" s="383" t="n">
        <f aca="false">IF(16&lt;5,0,IF(MAX(O39:T39)&gt;T44+3+$B$18,1,0))</f>
        <v>0</v>
      </c>
      <c r="U64" s="383" t="n">
        <f aca="false">IF(17&lt;5,0,IF(MAX(P39:U39)&gt;U44+3+$B$18,1,0))</f>
        <v>0</v>
      </c>
      <c r="V64" s="383" t="n">
        <f aca="false">IF(18&lt;5,0,IF(MAX(Q39:V39)&gt;V44+3+$B$18,1,0))</f>
        <v>0</v>
      </c>
      <c r="W64" s="383" t="n">
        <f aca="false">IF(19&lt;5,0,IF(MAX(R39:W39)&gt;W44+3+$B$18,1,0))</f>
        <v>0</v>
      </c>
      <c r="X64" s="383" t="n">
        <f aca="false">IF(20&lt;5,0,IF(MAX(S39:X39)&gt;X44+3+$B$18,1,0))</f>
        <v>0</v>
      </c>
      <c r="Y64" s="383" t="n">
        <f aca="false">IF(21&lt;5,0,IF(MAX(T39:Y39)&gt;Y44+3+$B$18,1,0))</f>
        <v>0</v>
      </c>
      <c r="Z64" s="383" t="n">
        <f aca="false">IF(22&lt;5,0,IF(MAX(U39:Z39)&gt;Z44+3+$B$18,1,0))</f>
        <v>0</v>
      </c>
      <c r="AA64" s="383" t="n">
        <f aca="false">IF(23&lt;5,0,IF(MAX(V39:AA39)&gt;AA44+3+$B$18,1,0))</f>
        <v>0</v>
      </c>
      <c r="AB64" s="383" t="n">
        <f aca="false">IF(24&lt;5,0,IF(MAX(W39:AB39)&gt;AB44+3+$B$18,1,0))</f>
        <v>0</v>
      </c>
      <c r="AC64" s="383" t="n">
        <f aca="false">IF(25&lt;5,0,IF(MAX(X39:AC39)&gt;AC44+3+$B$18,1,0))</f>
        <v>0</v>
      </c>
      <c r="AD64" s="383" t="n">
        <f aca="false">IF(26&lt;5,0,IF(MAX(Y39:AD39)&gt;AD44+3+$B$18,1,0))</f>
        <v>0</v>
      </c>
      <c r="AE64" s="383" t="n">
        <f aca="false">IF(27&lt;5,0,IF(MAX(Z39:AE39)&gt;AE44+3+$B$18,1,0))</f>
        <v>0</v>
      </c>
      <c r="AF64" s="383" t="n">
        <f aca="false">IF(28&lt;5,0,IF(MAX(AA39:AF39)&gt;AF44+3+$B$18,1,0))</f>
        <v>0</v>
      </c>
      <c r="AG64" s="383" t="n">
        <f aca="false">IF(29&lt;5,0,IF(MAX(AB39:AG39)&gt;AG44+3+$B$18,1,0))</f>
        <v>0</v>
      </c>
      <c r="AH64" s="383" t="n">
        <f aca="false">IF(30&lt;5,0,IF(MAX(AC39:AH39)&gt;AH44+3+$B$18,1,0))</f>
        <v>0</v>
      </c>
      <c r="AI64" s="383" t="n">
        <f aca="false">IF(31&lt;5,0,IF(MAX(AD39:AI39)&gt;AI44+3+$B$18,1,0))</f>
        <v>0</v>
      </c>
      <c r="AJ64" s="383" t="n">
        <f aca="false">IF(32&lt;5,0,IF(MAX(AE39:AJ39)&gt;AJ44+3+$B$18,1,0))</f>
        <v>0</v>
      </c>
      <c r="AK64" s="383" t="n">
        <f aca="false">IF(33&lt;5,0,IF(MAX(AF39:AK39)&gt;AK44+3+$B$18,1,0))</f>
        <v>0</v>
      </c>
      <c r="AL64" s="383" t="n">
        <f aca="false">IF(34&lt;5,0,IF(MAX(AG39:AL39)&gt;AL44+3+$B$18,1,0))</f>
        <v>0</v>
      </c>
      <c r="AM64" s="383" t="n">
        <f aca="false">IF(35&lt;5,0,IF(MAX(AH39:AM39)&gt;AM44+3+$B$18,1,0))</f>
        <v>0</v>
      </c>
      <c r="AN64" s="383" t="n">
        <f aca="false">IF(36&lt;5,0,IF(MAX(AI39:AN39)&gt;AN44+3+$B$18,1,0))</f>
        <v>0</v>
      </c>
      <c r="AO64" s="383" t="n">
        <f aca="false">IF(37&lt;5,0,IF(MAX(AJ39:AO39)&gt;AO44+3+$B$18,1,0))</f>
        <v>0</v>
      </c>
      <c r="AP64" s="383" t="n">
        <f aca="false">IF(38&lt;5,0,IF(MAX(AK39:AP39)&gt;AP44+3+$B$18,1,0))</f>
        <v>0</v>
      </c>
      <c r="AQ64" s="383" t="n">
        <f aca="false">IF(39&lt;5,0,IF(MAX(AL39:AQ39)&gt;AQ44+3+$B$18,1,0))</f>
        <v>0</v>
      </c>
      <c r="AR64" s="383" t="n">
        <f aca="false">IF(40&lt;5,0,IF(MAX(AM39:AR39)&gt;AR44+3+$B$18,1,0))</f>
        <v>0</v>
      </c>
      <c r="AS64" s="383" t="n">
        <f aca="false">IF(41&lt;5,0,IF(MAX(AN39:AS39)&gt;AS44+3+$B$18,1,0))</f>
        <v>0</v>
      </c>
      <c r="AT64" s="383" t="n">
        <f aca="false">IF(42&lt;5,0,IF(MAX(AO39:AT39)&gt;AT44+3+$B$18,1,0))</f>
        <v>0</v>
      </c>
      <c r="AU64" s="383" t="n">
        <f aca="false">IF(43&lt;5,0,IF(MAX(AP39:AU39)&gt;AU44+3+$B$18,1,0))</f>
        <v>0</v>
      </c>
      <c r="AV64" s="383" t="n">
        <f aca="false">IF(44&lt;5,0,IF(MAX(AQ39:AV39)&gt;AV44+3+$B$18,1,0))</f>
        <v>0</v>
      </c>
      <c r="AW64" s="383" t="n">
        <f aca="false">IF(45&lt;5,0,IF(MAX(AR39:AW39)&gt;AW44+3+$B$18,1,0))</f>
        <v>0</v>
      </c>
      <c r="AX64" s="383" t="n">
        <f aca="false">IF(46&lt;5,0,IF(MAX(AS39:AX39)&gt;AX44+3+$B$18,1,0))</f>
        <v>0</v>
      </c>
      <c r="AY64" s="383" t="n">
        <f aca="false">IF(47&lt;5,0,IF(MAX(AT39:AY39)&gt;AY44+3+$B$18,1,0))</f>
        <v>0</v>
      </c>
      <c r="AZ64" s="383" t="n">
        <f aca="false">IF(48&lt;5,0,IF(MAX(AU39:AZ39)&gt;AZ44+3+$B$18,1,0))</f>
        <v>0</v>
      </c>
      <c r="BA64" s="383" t="n">
        <f aca="false">IF(49&lt;5,0,IF(MAX(AV39:BA39)&gt;BA44+3+$B$18,1,0))</f>
        <v>0</v>
      </c>
      <c r="BB64" s="383" t="n">
        <f aca="false">IF(50&lt;5,0,IF(MAX(AW39:BB39)&gt;BB44+3+$B$18,1,0))</f>
        <v>0</v>
      </c>
      <c r="BC64" s="383" t="n">
        <f aca="false">IF(51&lt;5,0,IF(MAX(AX39:BC39)&gt;BC44+3+$B$18,1,0))</f>
        <v>0</v>
      </c>
      <c r="BD64" s="383" t="n">
        <f aca="false">IF(52&lt;5,0,IF(MAX(AY39:BD39)&gt;BD44+3+$B$18,1,0))</f>
        <v>0</v>
      </c>
      <c r="BE64" s="383" t="n">
        <f aca="false">IF(53&lt;5,0,IF(MAX(AZ39:BE39)&gt;BE44+3+$B$18,1,0))</f>
        <v>0</v>
      </c>
      <c r="BF64" s="383" t="n">
        <f aca="false">IF(54&lt;5,0,IF(MAX(BA39:BF39)&gt;BF44+3+$B$18,1,0))</f>
        <v>0</v>
      </c>
      <c r="BG64" s="383" t="n">
        <f aca="false">IF(55&lt;5,0,IF(MAX(BB39:BG39)&gt;BG44+3+$B$18,1,0))</f>
        <v>0</v>
      </c>
      <c r="BH64" s="383" t="n">
        <f aca="false">IF(56&lt;5,0,IF(MAX(BC39:BH39)&gt;BH44+3+$B$18,1,0))</f>
        <v>0</v>
      </c>
      <c r="BI64" s="383" t="n">
        <f aca="false">IF(57&lt;5,0,IF(MAX(BD39:BI39)&gt;BI44+3+$B$18,1,0))</f>
        <v>0</v>
      </c>
      <c r="BJ64" s="383" t="n">
        <f aca="false">IF(58&lt;5,0,IF(MAX(BE39:BJ39)&gt;BJ44+3+$B$18,1,0))</f>
        <v>0</v>
      </c>
      <c r="BK64" s="383" t="n">
        <f aca="false">IF(59&lt;5,0,IF(MAX(BF39:BK39)&gt;BK44+3+$B$18,1,0))</f>
        <v>0</v>
      </c>
      <c r="BL64" s="383" t="n">
        <f aca="false">IF(60&lt;5,0,IF(MAX(BG39:BL39)&gt;BL44+3+$B$18,1,0))</f>
        <v>0</v>
      </c>
      <c r="BM64" s="383" t="n">
        <f aca="false">IF(61&lt;5,0,IF(MAX(BH39:BM39)&gt;BM44+3+$B$18,1,0))</f>
        <v>0</v>
      </c>
      <c r="BN64" s="383" t="n">
        <f aca="false">IF(62&lt;5,0,IF(MAX(BI39:BN39)&gt;BN44+3+$B$18,1,0))</f>
        <v>0</v>
      </c>
      <c r="BO64" s="383" t="n">
        <f aca="false">IF(63&lt;5,0,IF(MAX(BJ39:BO39)&gt;BO44+3+$B$18,1,0))</f>
        <v>0</v>
      </c>
      <c r="BP64" s="383" t="n">
        <f aca="false">IF(64&lt;5,0,IF(MAX(BK39:BP39)&gt;BP44+3+$B$18,1,0))</f>
        <v>0</v>
      </c>
      <c r="BQ64" s="383" t="n">
        <f aca="false">IF(65&lt;5,0,IF(MAX(BL39:BQ39)&gt;BQ44+3+$B$18,1,0))</f>
        <v>0</v>
      </c>
      <c r="BR64" s="383" t="n">
        <f aca="false">IF(66&lt;5,0,IF(MAX(BM39:BR39)&gt;BR44+3+$B$18,1,0))</f>
        <v>0</v>
      </c>
      <c r="BS64" s="383" t="n">
        <f aca="false">IF(67&lt;5,0,IF(MAX(BN39:BS39)&gt;BS44+3+$B$18,1,0))</f>
        <v>0</v>
      </c>
      <c r="BT64" s="383" t="n">
        <f aca="false">IF(68&lt;5,0,IF(MAX(BO39:BT39)&gt;BT44+3+$B$18,1,0))</f>
        <v>0</v>
      </c>
      <c r="BU64" s="383" t="n">
        <f aca="false">IF(69&lt;5,0,IF(MAX(BP39:BU39)&gt;BU44+3+$B$18,1,0))</f>
        <v>0</v>
      </c>
      <c r="BV64" s="383" t="n">
        <f aca="false">IF(70&lt;5,0,IF(MAX(BQ39:BV39)&gt;BV44+3+$B$18,1,0))</f>
        <v>0</v>
      </c>
      <c r="BW64" s="383" t="n">
        <f aca="false">IF(71&lt;5,0,IF(MAX(BR39:BW39)&gt;BW44+3+$B$18,1,0))</f>
        <v>0</v>
      </c>
      <c r="BX64" s="383" t="n">
        <f aca="false">IF(72&lt;5,0,IF(MAX(BS39:BX39)&gt;BX44+3+$B$18,1,0))</f>
        <v>0</v>
      </c>
      <c r="BY64" s="383" t="n">
        <f aca="false">IF(73&lt;5,0,IF(MAX(BT39:BY39)&gt;BY44+3+$B$18,1,0))</f>
        <v>0</v>
      </c>
      <c r="BZ64" s="383" t="n">
        <f aca="false">IF(74&lt;5,0,IF(MAX(BU39:BZ39)&gt;BZ44+3+$B$18,1,0))</f>
        <v>0</v>
      </c>
      <c r="CA64" s="383" t="n">
        <f aca="false">IF(75&lt;5,0,IF(MAX(BV39:CA39)&gt;CA44+3+$B$18,1,0))</f>
        <v>0</v>
      </c>
      <c r="CB64" s="383" t="n">
        <f aca="false">IF(76&lt;5,0,IF(MAX(BW39:CB39)&gt;CB44+3+$B$18,1,0))</f>
        <v>0</v>
      </c>
      <c r="CC64" s="383" t="n">
        <f aca="false">IF(77&lt;5,0,IF(MAX(BX39:CC39)&gt;CC44+3+$B$18,1,0))</f>
        <v>0</v>
      </c>
      <c r="CD64" s="383" t="n">
        <f aca="false">IF(78&lt;5,0,IF(MAX(BY39:CD39)&gt;CD44+3+$B$18,1,0))</f>
        <v>0</v>
      </c>
      <c r="CE64" s="383" t="n">
        <f aca="false">IF(79&lt;5,0,IF(MAX(BZ39:CE39)&gt;CE44+3+$B$18,1,0))</f>
        <v>0</v>
      </c>
      <c r="CF64" s="383" t="n">
        <f aca="false">IF(80&lt;5,0,IF(MAX(CA39:CF39)&gt;CF44+3+$B$18,1,0))</f>
        <v>0</v>
      </c>
      <c r="CG64" s="383" t="n">
        <f aca="false">IF(81&lt;5,0,IF(MAX(CB39:CG39)&gt;CG44+3+$B$18,1,0))</f>
        <v>0</v>
      </c>
      <c r="CH64" s="383" t="n">
        <f aca="false">IF(82&lt;5,0,IF(MAX(CC39:CH39)&gt;CH44+3+$B$18,1,0))</f>
        <v>0</v>
      </c>
      <c r="CI64" s="383" t="n">
        <f aca="false">IF(83&lt;5,0,IF(MAX(CD39:CI39)&gt;CI44+3+$B$18,1,0))</f>
        <v>0</v>
      </c>
      <c r="CJ64" s="383" t="n">
        <f aca="false">IF(84&lt;5,0,IF(MAX(CE39:CJ39)&gt;CJ44+3+$B$18,1,0))</f>
        <v>0</v>
      </c>
      <c r="CK64" s="383" t="n">
        <f aca="false">IF(85&lt;5,0,IF(MAX(CF39:CK39)&gt;CK44+3+$B$18,1,0))</f>
        <v>0</v>
      </c>
      <c r="CL64" s="383" t="n">
        <f aca="false">IF(86&lt;5,0,IF(MAX(CG39:CL39)&gt;CL44+3+$B$18,1,0))</f>
        <v>0</v>
      </c>
      <c r="CM64" s="383" t="n">
        <f aca="false">IF(87&lt;5,0,IF(MAX(CH39:CM39)&gt;CM44+3+$B$18,1,0))</f>
        <v>0</v>
      </c>
      <c r="CN64" s="383" t="n">
        <f aca="false">IF(88&lt;5,0,IF(MAX(CI39:CN39)&gt;CN44+3+$B$18,1,0))</f>
        <v>0</v>
      </c>
      <c r="CO64" s="383" t="n">
        <f aca="false">IF(89&lt;5,0,IF(MAX(CJ39:CO39)&gt;CO44+3+$B$18,1,0))</f>
        <v>0</v>
      </c>
      <c r="CP64" s="383" t="n">
        <f aca="false">IF(90&lt;5,0,IF(MAX(CK39:CP39)&gt;CP44+3+$B$18,1,0))</f>
        <v>0</v>
      </c>
      <c r="CQ64" s="383" t="n">
        <f aca="false">IF(91&lt;5,0,IF(MAX(CL39:CQ39)&gt;CQ44+3+$B$18,1,0))</f>
        <v>0</v>
      </c>
      <c r="CR64" s="383" t="n">
        <f aca="false">IF(92&lt;5,0,IF(MAX(CM39:CR39)&gt;CR44+3+$B$18,1,0))</f>
        <v>0</v>
      </c>
      <c r="CS64" s="383" t="n">
        <f aca="false">IF(93&lt;5,0,IF(MAX(CN39:CS39)&gt;CS44+3+$B$18,1,0))</f>
        <v>0</v>
      </c>
      <c r="CT64" s="383" t="n">
        <f aca="false">IF(94&lt;5,0,IF(MAX(CO39:CT39)&gt;CT44+3+$B$18,1,0))</f>
        <v>0</v>
      </c>
      <c r="CU64" s="383" t="n">
        <f aca="false">IF(95&lt;5,0,IF(MAX(CP39:CU39)&gt;CU44+3+$B$18,1,0))</f>
        <v>0</v>
      </c>
      <c r="CV64" s="383" t="n">
        <f aca="false">IF(96&lt;5,0,IF(MAX(CQ39:CV39)&gt;CV44+3+$B$18,1,0))</f>
        <v>0</v>
      </c>
      <c r="CW64" s="383" t="n">
        <f aca="false">IF(97&lt;5,0,IF(MAX(CR39:CW39)&gt;CW44+3+$B$18,1,0))</f>
        <v>0</v>
      </c>
      <c r="CX64" s="383" t="n">
        <f aca="false">IF(98&lt;5,0,IF(MAX(CS39:CX39)&gt;CX44+3+$B$18,1,0))</f>
        <v>0</v>
      </c>
      <c r="CY64" s="383" t="n">
        <f aca="false">IF(99&lt;5,0,IF(MAX(CT39:CY39)&gt;CY44+3+$B$18,1,0))</f>
        <v>0</v>
      </c>
      <c r="CZ64" s="383" t="n">
        <f aca="false">IF(100&lt;5,0,IF(MAX(CU39:CZ39)&gt;CZ44+3+$B$18,1,0))</f>
        <v>0</v>
      </c>
      <c r="DA64" s="383" t="n">
        <f aca="false">IF(101&lt;5,0,IF(MAX(CV39:DA39)&gt;DA44+3+$B$18,1,0))</f>
        <v>0</v>
      </c>
      <c r="DB64" s="383" t="n">
        <f aca="false">IF(102&lt;5,0,IF(MAX(CW39:DB39)&gt;DB44+3+$B$18,1,0))</f>
        <v>0</v>
      </c>
      <c r="DC64" s="383" t="n">
        <f aca="false">IF(103&lt;5,0,IF(MAX(CX39:DC39)&gt;DC44+3+$B$18,1,0))</f>
        <v>0</v>
      </c>
      <c r="DD64" s="383" t="n">
        <f aca="false">IF(104&lt;5,0,IF(MAX(CY39:DD39)&gt;DD44+3+$B$18,1,0))</f>
        <v>0</v>
      </c>
      <c r="DE64" s="383" t="n">
        <f aca="false">IF(105&lt;5,0,IF(MAX(CZ39:DE39)&gt;DE44+3+$B$18,1,0))</f>
        <v>0</v>
      </c>
    </row>
    <row r="65" customFormat="false" ht="13.5" hidden="false" customHeight="true" outlineLevel="0" collapsed="false">
      <c r="A65" s="110" t="s">
        <v>1391</v>
      </c>
      <c r="B65" s="211" t="n">
        <f aca="false">$B$28</f>
        <v>130000</v>
      </c>
      <c r="E65" s="383" t="n">
        <f aca="false">IF(1&lt;5,0,IF(MAX(E39:E39)&gt;E44+4+$B$18,1,0))</f>
        <v>0</v>
      </c>
      <c r="F65" s="383" t="n">
        <f aca="false">IF(2&lt;5,0,IF(MAX(E39:F39)&gt;F44+4+$B$18,1,0))</f>
        <v>0</v>
      </c>
      <c r="G65" s="383" t="n">
        <f aca="false">IF(3&lt;5,0,IF(MAX(E39:G39)&gt;G44+4+$B$18,1,0))</f>
        <v>0</v>
      </c>
      <c r="H65" s="383" t="n">
        <f aca="false">IF(4&lt;5,0,IF(MAX(E39:H39)&gt;H44+4+$B$18,1,0))</f>
        <v>0</v>
      </c>
      <c r="I65" s="383" t="n">
        <f aca="false">IF(5&lt;5,0,IF(MAX(E39:I39)&gt;I44+4+$B$18,1,0))</f>
        <v>0</v>
      </c>
      <c r="J65" s="383" t="n">
        <f aca="false">IF(6&lt;5,0,IF(MAX(E39:J39)&gt;J44+4+$B$18,1,0))</f>
        <v>0</v>
      </c>
      <c r="K65" s="383" t="n">
        <f aca="false">IF(7&lt;5,0,IF(MAX(F39:K39)&gt;K44+4+$B$18,1,0))</f>
        <v>0</v>
      </c>
      <c r="L65" s="383" t="n">
        <f aca="false">IF(8&lt;5,0,IF(MAX(G39:L39)&gt;L44+4+$B$18,1,0))</f>
        <v>0</v>
      </c>
      <c r="M65" s="383" t="n">
        <f aca="false">IF(9&lt;5,0,IF(MAX(H39:M39)&gt;M44+4+$B$18,1,0))</f>
        <v>0</v>
      </c>
      <c r="N65" s="383" t="n">
        <f aca="false">IF(10&lt;5,0,IF(MAX(I39:N39)&gt;N44+4+$B$18,1,0))</f>
        <v>0</v>
      </c>
      <c r="O65" s="383" t="n">
        <f aca="false">IF(11&lt;5,0,IF(MAX(J39:O39)&gt;O44+4+$B$18,1,0))</f>
        <v>0</v>
      </c>
      <c r="P65" s="383" t="n">
        <f aca="false">IF(12&lt;5,0,IF(MAX(K39:P39)&gt;P44+4+$B$18,1,0))</f>
        <v>0</v>
      </c>
      <c r="Q65" s="383" t="n">
        <f aca="false">IF(13&lt;5,0,IF(MAX(L39:Q39)&gt;Q44+4+$B$18,1,0))</f>
        <v>0</v>
      </c>
      <c r="R65" s="383" t="n">
        <f aca="false">IF(14&lt;5,0,IF(MAX(M39:R39)&gt;R44+4+$B$18,1,0))</f>
        <v>0</v>
      </c>
      <c r="S65" s="383" t="n">
        <f aca="false">IF(15&lt;5,0,IF(MAX(N39:S39)&gt;S44+4+$B$18,1,0))</f>
        <v>0</v>
      </c>
      <c r="T65" s="383" t="n">
        <f aca="false">IF(16&lt;5,0,IF(MAX(O39:T39)&gt;T44+4+$B$18,1,0))</f>
        <v>0</v>
      </c>
      <c r="U65" s="383" t="n">
        <f aca="false">IF(17&lt;5,0,IF(MAX(P39:U39)&gt;U44+4+$B$18,1,0))</f>
        <v>0</v>
      </c>
      <c r="V65" s="383" t="n">
        <f aca="false">IF(18&lt;5,0,IF(MAX(Q39:V39)&gt;V44+4+$B$18,1,0))</f>
        <v>0</v>
      </c>
      <c r="W65" s="383" t="n">
        <f aca="false">IF(19&lt;5,0,IF(MAX(R39:W39)&gt;W44+4+$B$18,1,0))</f>
        <v>0</v>
      </c>
      <c r="X65" s="383" t="n">
        <f aca="false">IF(20&lt;5,0,IF(MAX(S39:X39)&gt;X44+4+$B$18,1,0))</f>
        <v>0</v>
      </c>
      <c r="Y65" s="383" t="n">
        <f aca="false">IF(21&lt;5,0,IF(MAX(T39:Y39)&gt;Y44+4+$B$18,1,0))</f>
        <v>0</v>
      </c>
      <c r="Z65" s="383" t="n">
        <f aca="false">IF(22&lt;5,0,IF(MAX(U39:Z39)&gt;Z44+4+$B$18,1,0))</f>
        <v>0</v>
      </c>
      <c r="AA65" s="383" t="n">
        <f aca="false">IF(23&lt;5,0,IF(MAX(V39:AA39)&gt;AA44+4+$B$18,1,0))</f>
        <v>0</v>
      </c>
      <c r="AB65" s="383" t="n">
        <f aca="false">IF(24&lt;5,0,IF(MAX(W39:AB39)&gt;AB44+4+$B$18,1,0))</f>
        <v>0</v>
      </c>
      <c r="AC65" s="383" t="n">
        <f aca="false">IF(25&lt;5,0,IF(MAX(X39:AC39)&gt;AC44+4+$B$18,1,0))</f>
        <v>0</v>
      </c>
      <c r="AD65" s="383" t="n">
        <f aca="false">IF(26&lt;5,0,IF(MAX(Y39:AD39)&gt;AD44+4+$B$18,1,0))</f>
        <v>0</v>
      </c>
      <c r="AE65" s="383" t="n">
        <f aca="false">IF(27&lt;5,0,IF(MAX(Z39:AE39)&gt;AE44+4+$B$18,1,0))</f>
        <v>0</v>
      </c>
      <c r="AF65" s="383" t="n">
        <f aca="false">IF(28&lt;5,0,IF(MAX(AA39:AF39)&gt;AF44+4+$B$18,1,0))</f>
        <v>0</v>
      </c>
      <c r="AG65" s="383" t="n">
        <f aca="false">IF(29&lt;5,0,IF(MAX(AB39:AG39)&gt;AG44+4+$B$18,1,0))</f>
        <v>0</v>
      </c>
      <c r="AH65" s="383" t="n">
        <f aca="false">IF(30&lt;5,0,IF(MAX(AC39:AH39)&gt;AH44+4+$B$18,1,0))</f>
        <v>0</v>
      </c>
      <c r="AI65" s="383" t="n">
        <f aca="false">IF(31&lt;5,0,IF(MAX(AD39:AI39)&gt;AI44+4+$B$18,1,0))</f>
        <v>0</v>
      </c>
      <c r="AJ65" s="383" t="n">
        <f aca="false">IF(32&lt;5,0,IF(MAX(AE39:AJ39)&gt;AJ44+4+$B$18,1,0))</f>
        <v>0</v>
      </c>
      <c r="AK65" s="383" t="n">
        <f aca="false">IF(33&lt;5,0,IF(MAX(AF39:AK39)&gt;AK44+4+$B$18,1,0))</f>
        <v>0</v>
      </c>
      <c r="AL65" s="383" t="n">
        <f aca="false">IF(34&lt;5,0,IF(MAX(AG39:AL39)&gt;AL44+4+$B$18,1,0))</f>
        <v>0</v>
      </c>
      <c r="AM65" s="383" t="n">
        <f aca="false">IF(35&lt;5,0,IF(MAX(AH39:AM39)&gt;AM44+4+$B$18,1,0))</f>
        <v>0</v>
      </c>
      <c r="AN65" s="383" t="n">
        <f aca="false">IF(36&lt;5,0,IF(MAX(AI39:AN39)&gt;AN44+4+$B$18,1,0))</f>
        <v>0</v>
      </c>
      <c r="AO65" s="383" t="n">
        <f aca="false">IF(37&lt;5,0,IF(MAX(AJ39:AO39)&gt;AO44+4+$B$18,1,0))</f>
        <v>0</v>
      </c>
      <c r="AP65" s="383" t="n">
        <f aca="false">IF(38&lt;5,0,IF(MAX(AK39:AP39)&gt;AP44+4+$B$18,1,0))</f>
        <v>0</v>
      </c>
      <c r="AQ65" s="383" t="n">
        <f aca="false">IF(39&lt;5,0,IF(MAX(AL39:AQ39)&gt;AQ44+4+$B$18,1,0))</f>
        <v>0</v>
      </c>
      <c r="AR65" s="383" t="n">
        <f aca="false">IF(40&lt;5,0,IF(MAX(AM39:AR39)&gt;AR44+4+$B$18,1,0))</f>
        <v>0</v>
      </c>
      <c r="AS65" s="383" t="n">
        <f aca="false">IF(41&lt;5,0,IF(MAX(AN39:AS39)&gt;AS44+4+$B$18,1,0))</f>
        <v>0</v>
      </c>
      <c r="AT65" s="383" t="n">
        <f aca="false">IF(42&lt;5,0,IF(MAX(AO39:AT39)&gt;AT44+4+$B$18,1,0))</f>
        <v>0</v>
      </c>
      <c r="AU65" s="383" t="n">
        <f aca="false">IF(43&lt;5,0,IF(MAX(AP39:AU39)&gt;AU44+4+$B$18,1,0))</f>
        <v>0</v>
      </c>
      <c r="AV65" s="383" t="n">
        <f aca="false">IF(44&lt;5,0,IF(MAX(AQ39:AV39)&gt;AV44+4+$B$18,1,0))</f>
        <v>0</v>
      </c>
      <c r="AW65" s="383" t="n">
        <f aca="false">IF(45&lt;5,0,IF(MAX(AR39:AW39)&gt;AW44+4+$B$18,1,0))</f>
        <v>0</v>
      </c>
      <c r="AX65" s="383" t="n">
        <f aca="false">IF(46&lt;5,0,IF(MAX(AS39:AX39)&gt;AX44+4+$B$18,1,0))</f>
        <v>0</v>
      </c>
      <c r="AY65" s="383" t="n">
        <f aca="false">IF(47&lt;5,0,IF(MAX(AT39:AY39)&gt;AY44+4+$B$18,1,0))</f>
        <v>0</v>
      </c>
      <c r="AZ65" s="383" t="n">
        <f aca="false">IF(48&lt;5,0,IF(MAX(AU39:AZ39)&gt;AZ44+4+$B$18,1,0))</f>
        <v>0</v>
      </c>
      <c r="BA65" s="383" t="n">
        <f aca="false">IF(49&lt;5,0,IF(MAX(AV39:BA39)&gt;BA44+4+$B$18,1,0))</f>
        <v>0</v>
      </c>
      <c r="BB65" s="383" t="n">
        <f aca="false">IF(50&lt;5,0,IF(MAX(AW39:BB39)&gt;BB44+4+$B$18,1,0))</f>
        <v>0</v>
      </c>
      <c r="BC65" s="383" t="n">
        <f aca="false">IF(51&lt;5,0,IF(MAX(AX39:BC39)&gt;BC44+4+$B$18,1,0))</f>
        <v>0</v>
      </c>
      <c r="BD65" s="383" t="n">
        <f aca="false">IF(52&lt;5,0,IF(MAX(AY39:BD39)&gt;BD44+4+$B$18,1,0))</f>
        <v>0</v>
      </c>
      <c r="BE65" s="383" t="n">
        <f aca="false">IF(53&lt;5,0,IF(MAX(AZ39:BE39)&gt;BE44+4+$B$18,1,0))</f>
        <v>0</v>
      </c>
      <c r="BF65" s="383" t="n">
        <f aca="false">IF(54&lt;5,0,IF(MAX(BA39:BF39)&gt;BF44+4+$B$18,1,0))</f>
        <v>0</v>
      </c>
      <c r="BG65" s="383" t="n">
        <f aca="false">IF(55&lt;5,0,IF(MAX(BB39:BG39)&gt;BG44+4+$B$18,1,0))</f>
        <v>0</v>
      </c>
      <c r="BH65" s="383" t="n">
        <f aca="false">IF(56&lt;5,0,IF(MAX(BC39:BH39)&gt;BH44+4+$B$18,1,0))</f>
        <v>0</v>
      </c>
      <c r="BI65" s="383" t="n">
        <f aca="false">IF(57&lt;5,0,IF(MAX(BD39:BI39)&gt;BI44+4+$B$18,1,0))</f>
        <v>0</v>
      </c>
      <c r="BJ65" s="383" t="n">
        <f aca="false">IF(58&lt;5,0,IF(MAX(BE39:BJ39)&gt;BJ44+4+$B$18,1,0))</f>
        <v>0</v>
      </c>
      <c r="BK65" s="383" t="n">
        <f aca="false">IF(59&lt;5,0,IF(MAX(BF39:BK39)&gt;BK44+4+$B$18,1,0))</f>
        <v>0</v>
      </c>
      <c r="BL65" s="383" t="n">
        <f aca="false">IF(60&lt;5,0,IF(MAX(BG39:BL39)&gt;BL44+4+$B$18,1,0))</f>
        <v>0</v>
      </c>
      <c r="BM65" s="383" t="n">
        <f aca="false">IF(61&lt;5,0,IF(MAX(BH39:BM39)&gt;BM44+4+$B$18,1,0))</f>
        <v>0</v>
      </c>
      <c r="BN65" s="383" t="n">
        <f aca="false">IF(62&lt;5,0,IF(MAX(BI39:BN39)&gt;BN44+4+$B$18,1,0))</f>
        <v>0</v>
      </c>
      <c r="BO65" s="383" t="n">
        <f aca="false">IF(63&lt;5,0,IF(MAX(BJ39:BO39)&gt;BO44+4+$B$18,1,0))</f>
        <v>0</v>
      </c>
      <c r="BP65" s="383" t="n">
        <f aca="false">IF(64&lt;5,0,IF(MAX(BK39:BP39)&gt;BP44+4+$B$18,1,0))</f>
        <v>0</v>
      </c>
      <c r="BQ65" s="383" t="n">
        <f aca="false">IF(65&lt;5,0,IF(MAX(BL39:BQ39)&gt;BQ44+4+$B$18,1,0))</f>
        <v>0</v>
      </c>
      <c r="BR65" s="383" t="n">
        <f aca="false">IF(66&lt;5,0,IF(MAX(BM39:BR39)&gt;BR44+4+$B$18,1,0))</f>
        <v>0</v>
      </c>
      <c r="BS65" s="383" t="n">
        <f aca="false">IF(67&lt;5,0,IF(MAX(BN39:BS39)&gt;BS44+4+$B$18,1,0))</f>
        <v>0</v>
      </c>
      <c r="BT65" s="383" t="n">
        <f aca="false">IF(68&lt;5,0,IF(MAX(BO39:BT39)&gt;BT44+4+$B$18,1,0))</f>
        <v>0</v>
      </c>
      <c r="BU65" s="383" t="n">
        <f aca="false">IF(69&lt;5,0,IF(MAX(BP39:BU39)&gt;BU44+4+$B$18,1,0))</f>
        <v>0</v>
      </c>
      <c r="BV65" s="383" t="n">
        <f aca="false">IF(70&lt;5,0,IF(MAX(BQ39:BV39)&gt;BV44+4+$B$18,1,0))</f>
        <v>0</v>
      </c>
      <c r="BW65" s="383" t="n">
        <f aca="false">IF(71&lt;5,0,IF(MAX(BR39:BW39)&gt;BW44+4+$B$18,1,0))</f>
        <v>0</v>
      </c>
      <c r="BX65" s="383" t="n">
        <f aca="false">IF(72&lt;5,0,IF(MAX(BS39:BX39)&gt;BX44+4+$B$18,1,0))</f>
        <v>0</v>
      </c>
      <c r="BY65" s="383" t="n">
        <f aca="false">IF(73&lt;5,0,IF(MAX(BT39:BY39)&gt;BY44+4+$B$18,1,0))</f>
        <v>0</v>
      </c>
      <c r="BZ65" s="383" t="n">
        <f aca="false">IF(74&lt;5,0,IF(MAX(BU39:BZ39)&gt;BZ44+4+$B$18,1,0))</f>
        <v>0</v>
      </c>
      <c r="CA65" s="383" t="n">
        <f aca="false">IF(75&lt;5,0,IF(MAX(BV39:CA39)&gt;CA44+4+$B$18,1,0))</f>
        <v>0</v>
      </c>
      <c r="CB65" s="383" t="n">
        <f aca="false">IF(76&lt;5,0,IF(MAX(BW39:CB39)&gt;CB44+4+$B$18,1,0))</f>
        <v>0</v>
      </c>
      <c r="CC65" s="383" t="n">
        <f aca="false">IF(77&lt;5,0,IF(MAX(BX39:CC39)&gt;CC44+4+$B$18,1,0))</f>
        <v>0</v>
      </c>
      <c r="CD65" s="383" t="n">
        <f aca="false">IF(78&lt;5,0,IF(MAX(BY39:CD39)&gt;CD44+4+$B$18,1,0))</f>
        <v>0</v>
      </c>
      <c r="CE65" s="383" t="n">
        <f aca="false">IF(79&lt;5,0,IF(MAX(BZ39:CE39)&gt;CE44+4+$B$18,1,0))</f>
        <v>0</v>
      </c>
      <c r="CF65" s="383" t="n">
        <f aca="false">IF(80&lt;5,0,IF(MAX(CA39:CF39)&gt;CF44+4+$B$18,1,0))</f>
        <v>0</v>
      </c>
      <c r="CG65" s="383" t="n">
        <f aca="false">IF(81&lt;5,0,IF(MAX(CB39:CG39)&gt;CG44+4+$B$18,1,0))</f>
        <v>0</v>
      </c>
      <c r="CH65" s="383" t="n">
        <f aca="false">IF(82&lt;5,0,IF(MAX(CC39:CH39)&gt;CH44+4+$B$18,1,0))</f>
        <v>0</v>
      </c>
      <c r="CI65" s="383" t="n">
        <f aca="false">IF(83&lt;5,0,IF(MAX(CD39:CI39)&gt;CI44+4+$B$18,1,0))</f>
        <v>0</v>
      </c>
      <c r="CJ65" s="383" t="n">
        <f aca="false">IF(84&lt;5,0,IF(MAX(CE39:CJ39)&gt;CJ44+4+$B$18,1,0))</f>
        <v>0</v>
      </c>
      <c r="CK65" s="383" t="n">
        <f aca="false">IF(85&lt;5,0,IF(MAX(CF39:CK39)&gt;CK44+4+$B$18,1,0))</f>
        <v>0</v>
      </c>
      <c r="CL65" s="383" t="n">
        <f aca="false">IF(86&lt;5,0,IF(MAX(CG39:CL39)&gt;CL44+4+$B$18,1,0))</f>
        <v>0</v>
      </c>
      <c r="CM65" s="383" t="n">
        <f aca="false">IF(87&lt;5,0,IF(MAX(CH39:CM39)&gt;CM44+4+$B$18,1,0))</f>
        <v>0</v>
      </c>
      <c r="CN65" s="383" t="n">
        <f aca="false">IF(88&lt;5,0,IF(MAX(CI39:CN39)&gt;CN44+4+$B$18,1,0))</f>
        <v>0</v>
      </c>
      <c r="CO65" s="383" t="n">
        <f aca="false">IF(89&lt;5,0,IF(MAX(CJ39:CO39)&gt;CO44+4+$B$18,1,0))</f>
        <v>0</v>
      </c>
      <c r="CP65" s="383" t="n">
        <f aca="false">IF(90&lt;5,0,IF(MAX(CK39:CP39)&gt;CP44+4+$B$18,1,0))</f>
        <v>0</v>
      </c>
      <c r="CQ65" s="383" t="n">
        <f aca="false">IF(91&lt;5,0,IF(MAX(CL39:CQ39)&gt;CQ44+4+$B$18,1,0))</f>
        <v>0</v>
      </c>
      <c r="CR65" s="383" t="n">
        <f aca="false">IF(92&lt;5,0,IF(MAX(CM39:CR39)&gt;CR44+4+$B$18,1,0))</f>
        <v>0</v>
      </c>
      <c r="CS65" s="383" t="n">
        <f aca="false">IF(93&lt;5,0,IF(MAX(CN39:CS39)&gt;CS44+4+$B$18,1,0))</f>
        <v>0</v>
      </c>
      <c r="CT65" s="383" t="n">
        <f aca="false">IF(94&lt;5,0,IF(MAX(CO39:CT39)&gt;CT44+4+$B$18,1,0))</f>
        <v>0</v>
      </c>
      <c r="CU65" s="383" t="n">
        <f aca="false">IF(95&lt;5,0,IF(MAX(CP39:CU39)&gt;CU44+4+$B$18,1,0))</f>
        <v>0</v>
      </c>
      <c r="CV65" s="383" t="n">
        <f aca="false">IF(96&lt;5,0,IF(MAX(CQ39:CV39)&gt;CV44+4+$B$18,1,0))</f>
        <v>0</v>
      </c>
      <c r="CW65" s="383" t="n">
        <f aca="false">IF(97&lt;5,0,IF(MAX(CR39:CW39)&gt;CW44+4+$B$18,1,0))</f>
        <v>0</v>
      </c>
      <c r="CX65" s="383" t="n">
        <f aca="false">IF(98&lt;5,0,IF(MAX(CS39:CX39)&gt;CX44+4+$B$18,1,0))</f>
        <v>0</v>
      </c>
      <c r="CY65" s="383" t="n">
        <f aca="false">IF(99&lt;5,0,IF(MAX(CT39:CY39)&gt;CY44+4+$B$18,1,0))</f>
        <v>0</v>
      </c>
      <c r="CZ65" s="383" t="n">
        <f aca="false">IF(100&lt;5,0,IF(MAX(CU39:CZ39)&gt;CZ44+4+$B$18,1,0))</f>
        <v>0</v>
      </c>
      <c r="DA65" s="383" t="n">
        <f aca="false">IF(101&lt;5,0,IF(MAX(CV39:DA39)&gt;DA44+4+$B$18,1,0))</f>
        <v>0</v>
      </c>
      <c r="DB65" s="383" t="n">
        <f aca="false">IF(102&lt;5,0,IF(MAX(CW39:DB39)&gt;DB44+4+$B$18,1,0))</f>
        <v>0</v>
      </c>
      <c r="DC65" s="383" t="n">
        <f aca="false">IF(103&lt;5,0,IF(MAX(CX39:DC39)&gt;DC44+4+$B$18,1,0))</f>
        <v>0</v>
      </c>
      <c r="DD65" s="383" t="n">
        <f aca="false">IF(104&lt;5,0,IF(MAX(CY39:DD39)&gt;DD44+4+$B$18,1,0))</f>
        <v>0</v>
      </c>
      <c r="DE65" s="383" t="n">
        <f aca="false">IF(105&lt;5,0,IF(MAX(CZ39:DE39)&gt;DE44+4+$B$18,1,0))</f>
        <v>0</v>
      </c>
    </row>
    <row r="66" customFormat="false" ht="13.5" hidden="false" customHeight="true" outlineLevel="0" collapsed="false">
      <c r="A66" s="110" t="s">
        <v>1392</v>
      </c>
      <c r="B66" s="211" t="n">
        <f aca="false">$B$28</f>
        <v>130000</v>
      </c>
      <c r="E66" s="383" t="n">
        <f aca="false">IF(1&lt;5,0,IF(MAX(E39:E39)&gt;E44+5+$B$18,1,0))</f>
        <v>0</v>
      </c>
      <c r="F66" s="383" t="n">
        <f aca="false">IF(2&lt;5,0,IF(MAX(E39:F39)&gt;F44+5+$B$18,1,0))</f>
        <v>0</v>
      </c>
      <c r="G66" s="383" t="n">
        <f aca="false">IF(3&lt;5,0,IF(MAX(E39:G39)&gt;G44+5+$B$18,1,0))</f>
        <v>0</v>
      </c>
      <c r="H66" s="383" t="n">
        <f aca="false">IF(4&lt;5,0,IF(MAX(E39:H39)&gt;H44+5+$B$18,1,0))</f>
        <v>0</v>
      </c>
      <c r="I66" s="383" t="n">
        <f aca="false">IF(5&lt;5,0,IF(MAX(E39:I39)&gt;I44+5+$B$18,1,0))</f>
        <v>0</v>
      </c>
      <c r="J66" s="383" t="n">
        <f aca="false">IF(6&lt;5,0,IF(MAX(E39:J39)&gt;J44+5+$B$18,1,0))</f>
        <v>0</v>
      </c>
      <c r="K66" s="383" t="n">
        <f aca="false">IF(7&lt;5,0,IF(MAX(F39:K39)&gt;K44+5+$B$18,1,0))</f>
        <v>0</v>
      </c>
      <c r="L66" s="383" t="n">
        <f aca="false">IF(8&lt;5,0,IF(MAX(G39:L39)&gt;L44+5+$B$18,1,0))</f>
        <v>0</v>
      </c>
      <c r="M66" s="383" t="n">
        <f aca="false">IF(9&lt;5,0,IF(MAX(H39:M39)&gt;M44+5+$B$18,1,0))</f>
        <v>0</v>
      </c>
      <c r="N66" s="383" t="n">
        <f aca="false">IF(10&lt;5,0,IF(MAX(I39:N39)&gt;N44+5+$B$18,1,0))</f>
        <v>0</v>
      </c>
      <c r="O66" s="383" t="n">
        <f aca="false">IF(11&lt;5,0,IF(MAX(J39:O39)&gt;O44+5+$B$18,1,0))</f>
        <v>0</v>
      </c>
      <c r="P66" s="383" t="n">
        <f aca="false">IF(12&lt;5,0,IF(MAX(K39:P39)&gt;P44+5+$B$18,1,0))</f>
        <v>0</v>
      </c>
      <c r="Q66" s="383" t="n">
        <f aca="false">IF(13&lt;5,0,IF(MAX(L39:Q39)&gt;Q44+5+$B$18,1,0))</f>
        <v>0</v>
      </c>
      <c r="R66" s="383" t="n">
        <f aca="false">IF(14&lt;5,0,IF(MAX(M39:R39)&gt;R44+5+$B$18,1,0))</f>
        <v>0</v>
      </c>
      <c r="S66" s="383" t="n">
        <f aca="false">IF(15&lt;5,0,IF(MAX(N39:S39)&gt;S44+5+$B$18,1,0))</f>
        <v>0</v>
      </c>
      <c r="T66" s="383" t="n">
        <f aca="false">IF(16&lt;5,0,IF(MAX(O39:T39)&gt;T44+5+$B$18,1,0))</f>
        <v>0</v>
      </c>
      <c r="U66" s="383" t="n">
        <f aca="false">IF(17&lt;5,0,IF(MAX(P39:U39)&gt;U44+5+$B$18,1,0))</f>
        <v>0</v>
      </c>
      <c r="V66" s="383" t="n">
        <f aca="false">IF(18&lt;5,0,IF(MAX(Q39:V39)&gt;V44+5+$B$18,1,0))</f>
        <v>0</v>
      </c>
      <c r="W66" s="383" t="n">
        <f aca="false">IF(19&lt;5,0,IF(MAX(R39:W39)&gt;W44+5+$B$18,1,0))</f>
        <v>0</v>
      </c>
      <c r="X66" s="383" t="n">
        <f aca="false">IF(20&lt;5,0,IF(MAX(S39:X39)&gt;X44+5+$B$18,1,0))</f>
        <v>0</v>
      </c>
      <c r="Y66" s="383" t="n">
        <f aca="false">IF(21&lt;5,0,IF(MAX(T39:Y39)&gt;Y44+5+$B$18,1,0))</f>
        <v>0</v>
      </c>
      <c r="Z66" s="383" t="n">
        <f aca="false">IF(22&lt;5,0,IF(MAX(U39:Z39)&gt;Z44+5+$B$18,1,0))</f>
        <v>0</v>
      </c>
      <c r="AA66" s="383" t="n">
        <f aca="false">IF(23&lt;5,0,IF(MAX(V39:AA39)&gt;AA44+5+$B$18,1,0))</f>
        <v>0</v>
      </c>
      <c r="AB66" s="383" t="n">
        <f aca="false">IF(24&lt;5,0,IF(MAX(W39:AB39)&gt;AB44+5+$B$18,1,0))</f>
        <v>0</v>
      </c>
      <c r="AC66" s="383" t="n">
        <f aca="false">IF(25&lt;5,0,IF(MAX(X39:AC39)&gt;AC44+5+$B$18,1,0))</f>
        <v>0</v>
      </c>
      <c r="AD66" s="383" t="n">
        <f aca="false">IF(26&lt;5,0,IF(MAX(Y39:AD39)&gt;AD44+5+$B$18,1,0))</f>
        <v>0</v>
      </c>
      <c r="AE66" s="383" t="n">
        <f aca="false">IF(27&lt;5,0,IF(MAX(Z39:AE39)&gt;AE44+5+$B$18,1,0))</f>
        <v>0</v>
      </c>
      <c r="AF66" s="383" t="n">
        <f aca="false">IF(28&lt;5,0,IF(MAX(AA39:AF39)&gt;AF44+5+$B$18,1,0))</f>
        <v>0</v>
      </c>
      <c r="AG66" s="383" t="n">
        <f aca="false">IF(29&lt;5,0,IF(MAX(AB39:AG39)&gt;AG44+5+$B$18,1,0))</f>
        <v>0</v>
      </c>
      <c r="AH66" s="383" t="n">
        <f aca="false">IF(30&lt;5,0,IF(MAX(AC39:AH39)&gt;AH44+5+$B$18,1,0))</f>
        <v>0</v>
      </c>
      <c r="AI66" s="383" t="n">
        <f aca="false">IF(31&lt;5,0,IF(MAX(AD39:AI39)&gt;AI44+5+$B$18,1,0))</f>
        <v>0</v>
      </c>
      <c r="AJ66" s="383" t="n">
        <f aca="false">IF(32&lt;5,0,IF(MAX(AE39:AJ39)&gt;AJ44+5+$B$18,1,0))</f>
        <v>0</v>
      </c>
      <c r="AK66" s="383" t="n">
        <f aca="false">IF(33&lt;5,0,IF(MAX(AF39:AK39)&gt;AK44+5+$B$18,1,0))</f>
        <v>0</v>
      </c>
      <c r="AL66" s="383" t="n">
        <f aca="false">IF(34&lt;5,0,IF(MAX(AG39:AL39)&gt;AL44+5+$B$18,1,0))</f>
        <v>0</v>
      </c>
      <c r="AM66" s="383" t="n">
        <f aca="false">IF(35&lt;5,0,IF(MAX(AH39:AM39)&gt;AM44+5+$B$18,1,0))</f>
        <v>0</v>
      </c>
      <c r="AN66" s="383" t="n">
        <f aca="false">IF(36&lt;5,0,IF(MAX(AI39:AN39)&gt;AN44+5+$B$18,1,0))</f>
        <v>0</v>
      </c>
      <c r="AO66" s="383" t="n">
        <f aca="false">IF(37&lt;5,0,IF(MAX(AJ39:AO39)&gt;AO44+5+$B$18,1,0))</f>
        <v>0</v>
      </c>
      <c r="AP66" s="383" t="n">
        <f aca="false">IF(38&lt;5,0,IF(MAX(AK39:AP39)&gt;AP44+5+$B$18,1,0))</f>
        <v>0</v>
      </c>
      <c r="AQ66" s="383" t="n">
        <f aca="false">IF(39&lt;5,0,IF(MAX(AL39:AQ39)&gt;AQ44+5+$B$18,1,0))</f>
        <v>0</v>
      </c>
      <c r="AR66" s="383" t="n">
        <f aca="false">IF(40&lt;5,0,IF(MAX(AM39:AR39)&gt;AR44+5+$B$18,1,0))</f>
        <v>0</v>
      </c>
      <c r="AS66" s="383" t="n">
        <f aca="false">IF(41&lt;5,0,IF(MAX(AN39:AS39)&gt;AS44+5+$B$18,1,0))</f>
        <v>0</v>
      </c>
      <c r="AT66" s="383" t="n">
        <f aca="false">IF(42&lt;5,0,IF(MAX(AO39:AT39)&gt;AT44+5+$B$18,1,0))</f>
        <v>0</v>
      </c>
      <c r="AU66" s="383" t="n">
        <f aca="false">IF(43&lt;5,0,IF(MAX(AP39:AU39)&gt;AU44+5+$B$18,1,0))</f>
        <v>0</v>
      </c>
      <c r="AV66" s="383" t="n">
        <f aca="false">IF(44&lt;5,0,IF(MAX(AQ39:AV39)&gt;AV44+5+$B$18,1,0))</f>
        <v>0</v>
      </c>
      <c r="AW66" s="383" t="n">
        <f aca="false">IF(45&lt;5,0,IF(MAX(AR39:AW39)&gt;AW44+5+$B$18,1,0))</f>
        <v>0</v>
      </c>
      <c r="AX66" s="383" t="n">
        <f aca="false">IF(46&lt;5,0,IF(MAX(AS39:AX39)&gt;AX44+5+$B$18,1,0))</f>
        <v>0</v>
      </c>
      <c r="AY66" s="383" t="n">
        <f aca="false">IF(47&lt;5,0,IF(MAX(AT39:AY39)&gt;AY44+5+$B$18,1,0))</f>
        <v>0</v>
      </c>
      <c r="AZ66" s="383" t="n">
        <f aca="false">IF(48&lt;5,0,IF(MAX(AU39:AZ39)&gt;AZ44+5+$B$18,1,0))</f>
        <v>0</v>
      </c>
      <c r="BA66" s="383" t="n">
        <f aca="false">IF(49&lt;5,0,IF(MAX(AV39:BA39)&gt;BA44+5+$B$18,1,0))</f>
        <v>0</v>
      </c>
      <c r="BB66" s="383" t="n">
        <f aca="false">IF(50&lt;5,0,IF(MAX(AW39:BB39)&gt;BB44+5+$B$18,1,0))</f>
        <v>0</v>
      </c>
      <c r="BC66" s="383" t="n">
        <f aca="false">IF(51&lt;5,0,IF(MAX(AX39:BC39)&gt;BC44+5+$B$18,1,0))</f>
        <v>0</v>
      </c>
      <c r="BD66" s="383" t="n">
        <f aca="false">IF(52&lt;5,0,IF(MAX(AY39:BD39)&gt;BD44+5+$B$18,1,0))</f>
        <v>0</v>
      </c>
      <c r="BE66" s="383" t="n">
        <f aca="false">IF(53&lt;5,0,IF(MAX(AZ39:BE39)&gt;BE44+5+$B$18,1,0))</f>
        <v>0</v>
      </c>
      <c r="BF66" s="383" t="n">
        <f aca="false">IF(54&lt;5,0,IF(MAX(BA39:BF39)&gt;BF44+5+$B$18,1,0))</f>
        <v>0</v>
      </c>
      <c r="BG66" s="383" t="n">
        <f aca="false">IF(55&lt;5,0,IF(MAX(BB39:BG39)&gt;BG44+5+$B$18,1,0))</f>
        <v>0</v>
      </c>
      <c r="BH66" s="383" t="n">
        <f aca="false">IF(56&lt;5,0,IF(MAX(BC39:BH39)&gt;BH44+5+$B$18,1,0))</f>
        <v>0</v>
      </c>
      <c r="BI66" s="383" t="n">
        <f aca="false">IF(57&lt;5,0,IF(MAX(BD39:BI39)&gt;BI44+5+$B$18,1,0))</f>
        <v>0</v>
      </c>
      <c r="BJ66" s="383" t="n">
        <f aca="false">IF(58&lt;5,0,IF(MAX(BE39:BJ39)&gt;BJ44+5+$B$18,1,0))</f>
        <v>0</v>
      </c>
      <c r="BK66" s="383" t="n">
        <f aca="false">IF(59&lt;5,0,IF(MAX(BF39:BK39)&gt;BK44+5+$B$18,1,0))</f>
        <v>0</v>
      </c>
      <c r="BL66" s="383" t="n">
        <f aca="false">IF(60&lt;5,0,IF(MAX(BG39:BL39)&gt;BL44+5+$B$18,1,0))</f>
        <v>0</v>
      </c>
      <c r="BM66" s="383" t="n">
        <f aca="false">IF(61&lt;5,0,IF(MAX(BH39:BM39)&gt;BM44+5+$B$18,1,0))</f>
        <v>0</v>
      </c>
      <c r="BN66" s="383" t="n">
        <f aca="false">IF(62&lt;5,0,IF(MAX(BI39:BN39)&gt;BN44+5+$B$18,1,0))</f>
        <v>0</v>
      </c>
      <c r="BO66" s="383" t="n">
        <f aca="false">IF(63&lt;5,0,IF(MAX(BJ39:BO39)&gt;BO44+5+$B$18,1,0))</f>
        <v>0</v>
      </c>
      <c r="BP66" s="383" t="n">
        <f aca="false">IF(64&lt;5,0,IF(MAX(BK39:BP39)&gt;BP44+5+$B$18,1,0))</f>
        <v>0</v>
      </c>
      <c r="BQ66" s="383" t="n">
        <f aca="false">IF(65&lt;5,0,IF(MAX(BL39:BQ39)&gt;BQ44+5+$B$18,1,0))</f>
        <v>0</v>
      </c>
      <c r="BR66" s="383" t="n">
        <f aca="false">IF(66&lt;5,0,IF(MAX(BM39:BR39)&gt;BR44+5+$B$18,1,0))</f>
        <v>0</v>
      </c>
      <c r="BS66" s="383" t="n">
        <f aca="false">IF(67&lt;5,0,IF(MAX(BN39:BS39)&gt;BS44+5+$B$18,1,0))</f>
        <v>0</v>
      </c>
      <c r="BT66" s="383" t="n">
        <f aca="false">IF(68&lt;5,0,IF(MAX(BO39:BT39)&gt;BT44+5+$B$18,1,0))</f>
        <v>0</v>
      </c>
      <c r="BU66" s="383" t="n">
        <f aca="false">IF(69&lt;5,0,IF(MAX(BP39:BU39)&gt;BU44+5+$B$18,1,0))</f>
        <v>0</v>
      </c>
      <c r="BV66" s="383" t="n">
        <f aca="false">IF(70&lt;5,0,IF(MAX(BQ39:BV39)&gt;BV44+5+$B$18,1,0))</f>
        <v>0</v>
      </c>
      <c r="BW66" s="383" t="n">
        <f aca="false">IF(71&lt;5,0,IF(MAX(BR39:BW39)&gt;BW44+5+$B$18,1,0))</f>
        <v>0</v>
      </c>
      <c r="BX66" s="383" t="n">
        <f aca="false">IF(72&lt;5,0,IF(MAX(BS39:BX39)&gt;BX44+5+$B$18,1,0))</f>
        <v>0</v>
      </c>
      <c r="BY66" s="383" t="n">
        <f aca="false">IF(73&lt;5,0,IF(MAX(BT39:BY39)&gt;BY44+5+$B$18,1,0))</f>
        <v>0</v>
      </c>
      <c r="BZ66" s="383" t="n">
        <f aca="false">IF(74&lt;5,0,IF(MAX(BU39:BZ39)&gt;BZ44+5+$B$18,1,0))</f>
        <v>0</v>
      </c>
      <c r="CA66" s="383" t="n">
        <f aca="false">IF(75&lt;5,0,IF(MAX(BV39:CA39)&gt;CA44+5+$B$18,1,0))</f>
        <v>0</v>
      </c>
      <c r="CB66" s="383" t="n">
        <f aca="false">IF(76&lt;5,0,IF(MAX(BW39:CB39)&gt;CB44+5+$B$18,1,0))</f>
        <v>0</v>
      </c>
      <c r="CC66" s="383" t="n">
        <f aca="false">IF(77&lt;5,0,IF(MAX(BX39:CC39)&gt;CC44+5+$B$18,1,0))</f>
        <v>0</v>
      </c>
      <c r="CD66" s="383" t="n">
        <f aca="false">IF(78&lt;5,0,IF(MAX(BY39:CD39)&gt;CD44+5+$B$18,1,0))</f>
        <v>0</v>
      </c>
      <c r="CE66" s="383" t="n">
        <f aca="false">IF(79&lt;5,0,IF(MAX(BZ39:CE39)&gt;CE44+5+$B$18,1,0))</f>
        <v>0</v>
      </c>
      <c r="CF66" s="383" t="n">
        <f aca="false">IF(80&lt;5,0,IF(MAX(CA39:CF39)&gt;CF44+5+$B$18,1,0))</f>
        <v>0</v>
      </c>
      <c r="CG66" s="383" t="n">
        <f aca="false">IF(81&lt;5,0,IF(MAX(CB39:CG39)&gt;CG44+5+$B$18,1,0))</f>
        <v>0</v>
      </c>
      <c r="CH66" s="383" t="n">
        <f aca="false">IF(82&lt;5,0,IF(MAX(CC39:CH39)&gt;CH44+5+$B$18,1,0))</f>
        <v>0</v>
      </c>
      <c r="CI66" s="383" t="n">
        <f aca="false">IF(83&lt;5,0,IF(MAX(CD39:CI39)&gt;CI44+5+$B$18,1,0))</f>
        <v>0</v>
      </c>
      <c r="CJ66" s="383" t="n">
        <f aca="false">IF(84&lt;5,0,IF(MAX(CE39:CJ39)&gt;CJ44+5+$B$18,1,0))</f>
        <v>0</v>
      </c>
      <c r="CK66" s="383" t="n">
        <f aca="false">IF(85&lt;5,0,IF(MAX(CF39:CK39)&gt;CK44+5+$B$18,1,0))</f>
        <v>0</v>
      </c>
      <c r="CL66" s="383" t="n">
        <f aca="false">IF(86&lt;5,0,IF(MAX(CG39:CL39)&gt;CL44+5+$B$18,1,0))</f>
        <v>0</v>
      </c>
      <c r="CM66" s="383" t="n">
        <f aca="false">IF(87&lt;5,0,IF(MAX(CH39:CM39)&gt;CM44+5+$B$18,1,0))</f>
        <v>0</v>
      </c>
      <c r="CN66" s="383" t="n">
        <f aca="false">IF(88&lt;5,0,IF(MAX(CI39:CN39)&gt;CN44+5+$B$18,1,0))</f>
        <v>0</v>
      </c>
      <c r="CO66" s="383" t="n">
        <f aca="false">IF(89&lt;5,0,IF(MAX(CJ39:CO39)&gt;CO44+5+$B$18,1,0))</f>
        <v>0</v>
      </c>
      <c r="CP66" s="383" t="n">
        <f aca="false">IF(90&lt;5,0,IF(MAX(CK39:CP39)&gt;CP44+5+$B$18,1,0))</f>
        <v>0</v>
      </c>
      <c r="CQ66" s="383" t="n">
        <f aca="false">IF(91&lt;5,0,IF(MAX(CL39:CQ39)&gt;CQ44+5+$B$18,1,0))</f>
        <v>0</v>
      </c>
      <c r="CR66" s="383" t="n">
        <f aca="false">IF(92&lt;5,0,IF(MAX(CM39:CR39)&gt;CR44+5+$B$18,1,0))</f>
        <v>0</v>
      </c>
      <c r="CS66" s="383" t="n">
        <f aca="false">IF(93&lt;5,0,IF(MAX(CN39:CS39)&gt;CS44+5+$B$18,1,0))</f>
        <v>0</v>
      </c>
      <c r="CT66" s="383" t="n">
        <f aca="false">IF(94&lt;5,0,IF(MAX(CO39:CT39)&gt;CT44+5+$B$18,1,0))</f>
        <v>0</v>
      </c>
      <c r="CU66" s="383" t="n">
        <f aca="false">IF(95&lt;5,0,IF(MAX(CP39:CU39)&gt;CU44+5+$B$18,1,0))</f>
        <v>0</v>
      </c>
      <c r="CV66" s="383" t="n">
        <f aca="false">IF(96&lt;5,0,IF(MAX(CQ39:CV39)&gt;CV44+5+$B$18,1,0))</f>
        <v>0</v>
      </c>
      <c r="CW66" s="383" t="n">
        <f aca="false">IF(97&lt;5,0,IF(MAX(CR39:CW39)&gt;CW44+5+$B$18,1,0))</f>
        <v>0</v>
      </c>
      <c r="CX66" s="383" t="n">
        <f aca="false">IF(98&lt;5,0,IF(MAX(CS39:CX39)&gt;CX44+5+$B$18,1,0))</f>
        <v>0</v>
      </c>
      <c r="CY66" s="383" t="n">
        <f aca="false">IF(99&lt;5,0,IF(MAX(CT39:CY39)&gt;CY44+5+$B$18,1,0))</f>
        <v>0</v>
      </c>
      <c r="CZ66" s="383" t="n">
        <f aca="false">IF(100&lt;5,0,IF(MAX(CU39:CZ39)&gt;CZ44+5+$B$18,1,0))</f>
        <v>0</v>
      </c>
      <c r="DA66" s="383" t="n">
        <f aca="false">IF(101&lt;5,0,IF(MAX(CV39:DA39)&gt;DA44+5+$B$18,1,0))</f>
        <v>0</v>
      </c>
      <c r="DB66" s="383" t="n">
        <f aca="false">IF(102&lt;5,0,IF(MAX(CW39:DB39)&gt;DB44+5+$B$18,1,0))</f>
        <v>0</v>
      </c>
      <c r="DC66" s="383" t="n">
        <f aca="false">IF(103&lt;5,0,IF(MAX(CX39:DC39)&gt;DC44+5+$B$18,1,0))</f>
        <v>0</v>
      </c>
      <c r="DD66" s="383" t="n">
        <f aca="false">IF(104&lt;5,0,IF(MAX(CY39:DD39)&gt;DD44+5+$B$18,1,0))</f>
        <v>0</v>
      </c>
      <c r="DE66" s="383" t="n">
        <f aca="false">IF(105&lt;5,0,IF(MAX(CZ39:DE39)&gt;DE44+5+$B$18,1,0))</f>
        <v>0</v>
      </c>
    </row>
    <row r="67" customFormat="false" ht="13.5" hidden="false" customHeight="true" outlineLevel="0" collapsed="false">
      <c r="A67" s="110" t="s">
        <v>1393</v>
      </c>
      <c r="B67" s="211" t="n">
        <f aca="false">$B$28</f>
        <v>130000</v>
      </c>
      <c r="E67" s="383" t="n">
        <f aca="false">IF(1&lt;5,0,IF(MAX(E39:E39)&gt;E44+6+$B$18,1,0))</f>
        <v>0</v>
      </c>
      <c r="F67" s="383" t="n">
        <f aca="false">IF(2&lt;5,0,IF(MAX(E39:F39)&gt;F44+6+$B$18,1,0))</f>
        <v>0</v>
      </c>
      <c r="G67" s="383" t="n">
        <f aca="false">IF(3&lt;5,0,IF(MAX(E39:G39)&gt;G44+6+$B$18,1,0))</f>
        <v>0</v>
      </c>
      <c r="H67" s="383" t="n">
        <f aca="false">IF(4&lt;5,0,IF(MAX(E39:H39)&gt;H44+6+$B$18,1,0))</f>
        <v>0</v>
      </c>
      <c r="I67" s="383" t="n">
        <f aca="false">IF(5&lt;5,0,IF(MAX(E39:I39)&gt;I44+6+$B$18,1,0))</f>
        <v>0</v>
      </c>
      <c r="J67" s="383" t="n">
        <f aca="false">IF(6&lt;5,0,IF(MAX(E39:J39)&gt;J44+6+$B$18,1,0))</f>
        <v>0</v>
      </c>
      <c r="K67" s="383" t="n">
        <f aca="false">IF(7&lt;5,0,IF(MAX(F39:K39)&gt;K44+6+$B$18,1,0))</f>
        <v>0</v>
      </c>
      <c r="L67" s="383" t="n">
        <f aca="false">IF(8&lt;5,0,IF(MAX(G39:L39)&gt;L44+6+$B$18,1,0))</f>
        <v>0</v>
      </c>
      <c r="M67" s="383" t="n">
        <f aca="false">IF(9&lt;5,0,IF(MAX(H39:M39)&gt;M44+6+$B$18,1,0))</f>
        <v>0</v>
      </c>
      <c r="N67" s="383" t="n">
        <f aca="false">IF(10&lt;5,0,IF(MAX(I39:N39)&gt;N44+6+$B$18,1,0))</f>
        <v>0</v>
      </c>
      <c r="O67" s="383" t="n">
        <f aca="false">IF(11&lt;5,0,IF(MAX(J39:O39)&gt;O44+6+$B$18,1,0))</f>
        <v>0</v>
      </c>
      <c r="P67" s="383" t="n">
        <f aca="false">IF(12&lt;5,0,IF(MAX(K39:P39)&gt;P44+6+$B$18,1,0))</f>
        <v>0</v>
      </c>
      <c r="Q67" s="383" t="n">
        <f aca="false">IF(13&lt;5,0,IF(MAX(L39:Q39)&gt;Q44+6+$B$18,1,0))</f>
        <v>0</v>
      </c>
      <c r="R67" s="383" t="n">
        <f aca="false">IF(14&lt;5,0,IF(MAX(M39:R39)&gt;R44+6+$B$18,1,0))</f>
        <v>0</v>
      </c>
      <c r="S67" s="383" t="n">
        <f aca="false">IF(15&lt;5,0,IF(MAX(N39:S39)&gt;S44+6+$B$18,1,0))</f>
        <v>0</v>
      </c>
      <c r="T67" s="383" t="n">
        <f aca="false">IF(16&lt;5,0,IF(MAX(O39:T39)&gt;T44+6+$B$18,1,0))</f>
        <v>0</v>
      </c>
      <c r="U67" s="383" t="n">
        <f aca="false">IF(17&lt;5,0,IF(MAX(P39:U39)&gt;U44+6+$B$18,1,0))</f>
        <v>0</v>
      </c>
      <c r="V67" s="383" t="n">
        <f aca="false">IF(18&lt;5,0,IF(MAX(Q39:V39)&gt;V44+6+$B$18,1,0))</f>
        <v>0</v>
      </c>
      <c r="W67" s="383" t="n">
        <f aca="false">IF(19&lt;5,0,IF(MAX(R39:W39)&gt;W44+6+$B$18,1,0))</f>
        <v>0</v>
      </c>
      <c r="X67" s="383" t="n">
        <f aca="false">IF(20&lt;5,0,IF(MAX(S39:X39)&gt;X44+6+$B$18,1,0))</f>
        <v>0</v>
      </c>
      <c r="Y67" s="383" t="n">
        <f aca="false">IF(21&lt;5,0,IF(MAX(T39:Y39)&gt;Y44+6+$B$18,1,0))</f>
        <v>0</v>
      </c>
      <c r="Z67" s="383" t="n">
        <f aca="false">IF(22&lt;5,0,IF(MAX(U39:Z39)&gt;Z44+6+$B$18,1,0))</f>
        <v>0</v>
      </c>
      <c r="AA67" s="383" t="n">
        <f aca="false">IF(23&lt;5,0,IF(MAX(V39:AA39)&gt;AA44+6+$B$18,1,0))</f>
        <v>0</v>
      </c>
      <c r="AB67" s="383" t="n">
        <f aca="false">IF(24&lt;5,0,IF(MAX(W39:AB39)&gt;AB44+6+$B$18,1,0))</f>
        <v>0</v>
      </c>
      <c r="AC67" s="383" t="n">
        <f aca="false">IF(25&lt;5,0,IF(MAX(X39:AC39)&gt;AC44+6+$B$18,1,0))</f>
        <v>0</v>
      </c>
      <c r="AD67" s="383" t="n">
        <f aca="false">IF(26&lt;5,0,IF(MAX(Y39:AD39)&gt;AD44+6+$B$18,1,0))</f>
        <v>0</v>
      </c>
      <c r="AE67" s="383" t="n">
        <f aca="false">IF(27&lt;5,0,IF(MAX(Z39:AE39)&gt;AE44+6+$B$18,1,0))</f>
        <v>0</v>
      </c>
      <c r="AF67" s="383" t="n">
        <f aca="false">IF(28&lt;5,0,IF(MAX(AA39:AF39)&gt;AF44+6+$B$18,1,0))</f>
        <v>0</v>
      </c>
      <c r="AG67" s="383" t="n">
        <f aca="false">IF(29&lt;5,0,IF(MAX(AB39:AG39)&gt;AG44+6+$B$18,1,0))</f>
        <v>0</v>
      </c>
      <c r="AH67" s="383" t="n">
        <f aca="false">IF(30&lt;5,0,IF(MAX(AC39:AH39)&gt;AH44+6+$B$18,1,0))</f>
        <v>0</v>
      </c>
      <c r="AI67" s="383" t="n">
        <f aca="false">IF(31&lt;5,0,IF(MAX(AD39:AI39)&gt;AI44+6+$B$18,1,0))</f>
        <v>0</v>
      </c>
      <c r="AJ67" s="383" t="n">
        <f aca="false">IF(32&lt;5,0,IF(MAX(AE39:AJ39)&gt;AJ44+6+$B$18,1,0))</f>
        <v>0</v>
      </c>
      <c r="AK67" s="383" t="n">
        <f aca="false">IF(33&lt;5,0,IF(MAX(AF39:AK39)&gt;AK44+6+$B$18,1,0))</f>
        <v>0</v>
      </c>
      <c r="AL67" s="383" t="n">
        <f aca="false">IF(34&lt;5,0,IF(MAX(AG39:AL39)&gt;AL44+6+$B$18,1,0))</f>
        <v>0</v>
      </c>
      <c r="AM67" s="383" t="n">
        <f aca="false">IF(35&lt;5,0,IF(MAX(AH39:AM39)&gt;AM44+6+$B$18,1,0))</f>
        <v>0</v>
      </c>
      <c r="AN67" s="383" t="n">
        <f aca="false">IF(36&lt;5,0,IF(MAX(AI39:AN39)&gt;AN44+6+$B$18,1,0))</f>
        <v>0</v>
      </c>
      <c r="AO67" s="383" t="n">
        <f aca="false">IF(37&lt;5,0,IF(MAX(AJ39:AO39)&gt;AO44+6+$B$18,1,0))</f>
        <v>0</v>
      </c>
      <c r="AP67" s="383" t="n">
        <f aca="false">IF(38&lt;5,0,IF(MAX(AK39:AP39)&gt;AP44+6+$B$18,1,0))</f>
        <v>0</v>
      </c>
      <c r="AQ67" s="383" t="n">
        <f aca="false">IF(39&lt;5,0,IF(MAX(AL39:AQ39)&gt;AQ44+6+$B$18,1,0))</f>
        <v>0</v>
      </c>
      <c r="AR67" s="383" t="n">
        <f aca="false">IF(40&lt;5,0,IF(MAX(AM39:AR39)&gt;AR44+6+$B$18,1,0))</f>
        <v>0</v>
      </c>
      <c r="AS67" s="383" t="n">
        <f aca="false">IF(41&lt;5,0,IF(MAX(AN39:AS39)&gt;AS44+6+$B$18,1,0))</f>
        <v>0</v>
      </c>
      <c r="AT67" s="383" t="n">
        <f aca="false">IF(42&lt;5,0,IF(MAX(AO39:AT39)&gt;AT44+6+$B$18,1,0))</f>
        <v>0</v>
      </c>
      <c r="AU67" s="383" t="n">
        <f aca="false">IF(43&lt;5,0,IF(MAX(AP39:AU39)&gt;AU44+6+$B$18,1,0))</f>
        <v>0</v>
      </c>
      <c r="AV67" s="383" t="n">
        <f aca="false">IF(44&lt;5,0,IF(MAX(AQ39:AV39)&gt;AV44+6+$B$18,1,0))</f>
        <v>0</v>
      </c>
      <c r="AW67" s="383" t="n">
        <f aca="false">IF(45&lt;5,0,IF(MAX(AR39:AW39)&gt;AW44+6+$B$18,1,0))</f>
        <v>0</v>
      </c>
      <c r="AX67" s="383" t="n">
        <f aca="false">IF(46&lt;5,0,IF(MAX(AS39:AX39)&gt;AX44+6+$B$18,1,0))</f>
        <v>0</v>
      </c>
      <c r="AY67" s="383" t="n">
        <f aca="false">IF(47&lt;5,0,IF(MAX(AT39:AY39)&gt;AY44+6+$B$18,1,0))</f>
        <v>0</v>
      </c>
      <c r="AZ67" s="383" t="n">
        <f aca="false">IF(48&lt;5,0,IF(MAX(AU39:AZ39)&gt;AZ44+6+$B$18,1,0))</f>
        <v>0</v>
      </c>
      <c r="BA67" s="383" t="n">
        <f aca="false">IF(49&lt;5,0,IF(MAX(AV39:BA39)&gt;BA44+6+$B$18,1,0))</f>
        <v>0</v>
      </c>
      <c r="BB67" s="383" t="n">
        <f aca="false">IF(50&lt;5,0,IF(MAX(AW39:BB39)&gt;BB44+6+$B$18,1,0))</f>
        <v>0</v>
      </c>
      <c r="BC67" s="383" t="n">
        <f aca="false">IF(51&lt;5,0,IF(MAX(AX39:BC39)&gt;BC44+6+$B$18,1,0))</f>
        <v>0</v>
      </c>
      <c r="BD67" s="383" t="n">
        <f aca="false">IF(52&lt;5,0,IF(MAX(AY39:BD39)&gt;BD44+6+$B$18,1,0))</f>
        <v>0</v>
      </c>
      <c r="BE67" s="383" t="n">
        <f aca="false">IF(53&lt;5,0,IF(MAX(AZ39:BE39)&gt;BE44+6+$B$18,1,0))</f>
        <v>0</v>
      </c>
      <c r="BF67" s="383" t="n">
        <f aca="false">IF(54&lt;5,0,IF(MAX(BA39:BF39)&gt;BF44+6+$B$18,1,0))</f>
        <v>0</v>
      </c>
      <c r="BG67" s="383" t="n">
        <f aca="false">IF(55&lt;5,0,IF(MAX(BB39:BG39)&gt;BG44+6+$B$18,1,0))</f>
        <v>0</v>
      </c>
      <c r="BH67" s="383" t="n">
        <f aca="false">IF(56&lt;5,0,IF(MAX(BC39:BH39)&gt;BH44+6+$B$18,1,0))</f>
        <v>0</v>
      </c>
      <c r="BI67" s="383" t="n">
        <f aca="false">IF(57&lt;5,0,IF(MAX(BD39:BI39)&gt;BI44+6+$B$18,1,0))</f>
        <v>0</v>
      </c>
      <c r="BJ67" s="383" t="n">
        <f aca="false">IF(58&lt;5,0,IF(MAX(BE39:BJ39)&gt;BJ44+6+$B$18,1,0))</f>
        <v>0</v>
      </c>
      <c r="BK67" s="383" t="n">
        <f aca="false">IF(59&lt;5,0,IF(MAX(BF39:BK39)&gt;BK44+6+$B$18,1,0))</f>
        <v>0</v>
      </c>
      <c r="BL67" s="383" t="n">
        <f aca="false">IF(60&lt;5,0,IF(MAX(BG39:BL39)&gt;BL44+6+$B$18,1,0))</f>
        <v>0</v>
      </c>
      <c r="BM67" s="383" t="n">
        <f aca="false">IF(61&lt;5,0,IF(MAX(BH39:BM39)&gt;BM44+6+$B$18,1,0))</f>
        <v>0</v>
      </c>
      <c r="BN67" s="383" t="n">
        <f aca="false">IF(62&lt;5,0,IF(MAX(BI39:BN39)&gt;BN44+6+$B$18,1,0))</f>
        <v>0</v>
      </c>
      <c r="BO67" s="383" t="n">
        <f aca="false">IF(63&lt;5,0,IF(MAX(BJ39:BO39)&gt;BO44+6+$B$18,1,0))</f>
        <v>0</v>
      </c>
      <c r="BP67" s="383" t="n">
        <f aca="false">IF(64&lt;5,0,IF(MAX(BK39:BP39)&gt;BP44+6+$B$18,1,0))</f>
        <v>0</v>
      </c>
      <c r="BQ67" s="383" t="n">
        <f aca="false">IF(65&lt;5,0,IF(MAX(BL39:BQ39)&gt;BQ44+6+$B$18,1,0))</f>
        <v>0</v>
      </c>
      <c r="BR67" s="383" t="n">
        <f aca="false">IF(66&lt;5,0,IF(MAX(BM39:BR39)&gt;BR44+6+$B$18,1,0))</f>
        <v>0</v>
      </c>
      <c r="BS67" s="383" t="n">
        <f aca="false">IF(67&lt;5,0,IF(MAX(BN39:BS39)&gt;BS44+6+$B$18,1,0))</f>
        <v>0</v>
      </c>
      <c r="BT67" s="383" t="n">
        <f aca="false">IF(68&lt;5,0,IF(MAX(BO39:BT39)&gt;BT44+6+$B$18,1,0))</f>
        <v>0</v>
      </c>
      <c r="BU67" s="383" t="n">
        <f aca="false">IF(69&lt;5,0,IF(MAX(BP39:BU39)&gt;BU44+6+$B$18,1,0))</f>
        <v>0</v>
      </c>
      <c r="BV67" s="383" t="n">
        <f aca="false">IF(70&lt;5,0,IF(MAX(BQ39:BV39)&gt;BV44+6+$B$18,1,0))</f>
        <v>0</v>
      </c>
      <c r="BW67" s="383" t="n">
        <f aca="false">IF(71&lt;5,0,IF(MAX(BR39:BW39)&gt;BW44+6+$B$18,1,0))</f>
        <v>0</v>
      </c>
      <c r="BX67" s="383" t="n">
        <f aca="false">IF(72&lt;5,0,IF(MAX(BS39:BX39)&gt;BX44+6+$B$18,1,0))</f>
        <v>0</v>
      </c>
      <c r="BY67" s="383" t="n">
        <f aca="false">IF(73&lt;5,0,IF(MAX(BT39:BY39)&gt;BY44+6+$B$18,1,0))</f>
        <v>0</v>
      </c>
      <c r="BZ67" s="383" t="n">
        <f aca="false">IF(74&lt;5,0,IF(MAX(BU39:BZ39)&gt;BZ44+6+$B$18,1,0))</f>
        <v>0</v>
      </c>
      <c r="CA67" s="383" t="n">
        <f aca="false">IF(75&lt;5,0,IF(MAX(BV39:CA39)&gt;CA44+6+$B$18,1,0))</f>
        <v>0</v>
      </c>
      <c r="CB67" s="383" t="n">
        <f aca="false">IF(76&lt;5,0,IF(MAX(BW39:CB39)&gt;CB44+6+$B$18,1,0))</f>
        <v>0</v>
      </c>
      <c r="CC67" s="383" t="n">
        <f aca="false">IF(77&lt;5,0,IF(MAX(BX39:CC39)&gt;CC44+6+$B$18,1,0))</f>
        <v>0</v>
      </c>
      <c r="CD67" s="383" t="n">
        <f aca="false">IF(78&lt;5,0,IF(MAX(BY39:CD39)&gt;CD44+6+$B$18,1,0))</f>
        <v>0</v>
      </c>
      <c r="CE67" s="383" t="n">
        <f aca="false">IF(79&lt;5,0,IF(MAX(BZ39:CE39)&gt;CE44+6+$B$18,1,0))</f>
        <v>0</v>
      </c>
      <c r="CF67" s="383" t="n">
        <f aca="false">IF(80&lt;5,0,IF(MAX(CA39:CF39)&gt;CF44+6+$B$18,1,0))</f>
        <v>0</v>
      </c>
      <c r="CG67" s="383" t="n">
        <f aca="false">IF(81&lt;5,0,IF(MAX(CB39:CG39)&gt;CG44+6+$B$18,1,0))</f>
        <v>0</v>
      </c>
      <c r="CH67" s="383" t="n">
        <f aca="false">IF(82&lt;5,0,IF(MAX(CC39:CH39)&gt;CH44+6+$B$18,1,0))</f>
        <v>0</v>
      </c>
      <c r="CI67" s="383" t="n">
        <f aca="false">IF(83&lt;5,0,IF(MAX(CD39:CI39)&gt;CI44+6+$B$18,1,0))</f>
        <v>0</v>
      </c>
      <c r="CJ67" s="383" t="n">
        <f aca="false">IF(84&lt;5,0,IF(MAX(CE39:CJ39)&gt;CJ44+6+$B$18,1,0))</f>
        <v>0</v>
      </c>
      <c r="CK67" s="383" t="n">
        <f aca="false">IF(85&lt;5,0,IF(MAX(CF39:CK39)&gt;CK44+6+$B$18,1,0))</f>
        <v>0</v>
      </c>
      <c r="CL67" s="383" t="n">
        <f aca="false">IF(86&lt;5,0,IF(MAX(CG39:CL39)&gt;CL44+6+$B$18,1,0))</f>
        <v>0</v>
      </c>
      <c r="CM67" s="383" t="n">
        <f aca="false">IF(87&lt;5,0,IF(MAX(CH39:CM39)&gt;CM44+6+$B$18,1,0))</f>
        <v>0</v>
      </c>
      <c r="CN67" s="383" t="n">
        <f aca="false">IF(88&lt;5,0,IF(MAX(CI39:CN39)&gt;CN44+6+$B$18,1,0))</f>
        <v>0</v>
      </c>
      <c r="CO67" s="383" t="n">
        <f aca="false">IF(89&lt;5,0,IF(MAX(CJ39:CO39)&gt;CO44+6+$B$18,1,0))</f>
        <v>0</v>
      </c>
      <c r="CP67" s="383" t="n">
        <f aca="false">IF(90&lt;5,0,IF(MAX(CK39:CP39)&gt;CP44+6+$B$18,1,0))</f>
        <v>0</v>
      </c>
      <c r="CQ67" s="383" t="n">
        <f aca="false">IF(91&lt;5,0,IF(MAX(CL39:CQ39)&gt;CQ44+6+$B$18,1,0))</f>
        <v>0</v>
      </c>
      <c r="CR67" s="383" t="n">
        <f aca="false">IF(92&lt;5,0,IF(MAX(CM39:CR39)&gt;CR44+6+$B$18,1,0))</f>
        <v>0</v>
      </c>
      <c r="CS67" s="383" t="n">
        <f aca="false">IF(93&lt;5,0,IF(MAX(CN39:CS39)&gt;CS44+6+$B$18,1,0))</f>
        <v>0</v>
      </c>
      <c r="CT67" s="383" t="n">
        <f aca="false">IF(94&lt;5,0,IF(MAX(CO39:CT39)&gt;CT44+6+$B$18,1,0))</f>
        <v>0</v>
      </c>
      <c r="CU67" s="383" t="n">
        <f aca="false">IF(95&lt;5,0,IF(MAX(CP39:CU39)&gt;CU44+6+$B$18,1,0))</f>
        <v>0</v>
      </c>
      <c r="CV67" s="383" t="n">
        <f aca="false">IF(96&lt;5,0,IF(MAX(CQ39:CV39)&gt;CV44+6+$B$18,1,0))</f>
        <v>0</v>
      </c>
      <c r="CW67" s="383" t="n">
        <f aca="false">IF(97&lt;5,0,IF(MAX(CR39:CW39)&gt;CW44+6+$B$18,1,0))</f>
        <v>0</v>
      </c>
      <c r="CX67" s="383" t="n">
        <f aca="false">IF(98&lt;5,0,IF(MAX(CS39:CX39)&gt;CX44+6+$B$18,1,0))</f>
        <v>0</v>
      </c>
      <c r="CY67" s="383" t="n">
        <f aca="false">IF(99&lt;5,0,IF(MAX(CT39:CY39)&gt;CY44+6+$B$18,1,0))</f>
        <v>0</v>
      </c>
      <c r="CZ67" s="383" t="n">
        <f aca="false">IF(100&lt;5,0,IF(MAX(CU39:CZ39)&gt;CZ44+6+$B$18,1,0))</f>
        <v>0</v>
      </c>
      <c r="DA67" s="383" t="n">
        <f aca="false">IF(101&lt;5,0,IF(MAX(CV39:DA39)&gt;DA44+6+$B$18,1,0))</f>
        <v>0</v>
      </c>
      <c r="DB67" s="383" t="n">
        <f aca="false">IF(102&lt;5,0,IF(MAX(CW39:DB39)&gt;DB44+6+$B$18,1,0))</f>
        <v>0</v>
      </c>
      <c r="DC67" s="383" t="n">
        <f aca="false">IF(103&lt;5,0,IF(MAX(CX39:DC39)&gt;DC44+6+$B$18,1,0))</f>
        <v>0</v>
      </c>
      <c r="DD67" s="383" t="n">
        <f aca="false">IF(104&lt;5,0,IF(MAX(CY39:DD39)&gt;DD44+6+$B$18,1,0))</f>
        <v>0</v>
      </c>
      <c r="DE67" s="383" t="n">
        <f aca="false">IF(105&lt;5,0,IF(MAX(CZ39:DE39)&gt;DE44+6+$B$18,1,0))</f>
        <v>0</v>
      </c>
    </row>
    <row r="68" customFormat="false" ht="13.5" hidden="false" customHeight="true" outlineLevel="0" collapsed="false">
      <c r="A68" s="110" t="s">
        <v>1394</v>
      </c>
      <c r="B68" s="211" t="n">
        <f aca="false">$B$28</f>
        <v>130000</v>
      </c>
      <c r="E68" s="383" t="n">
        <f aca="false">IF(1&lt;5,0,IF(MAX(E39:E39)&gt;E44+7+$B$18,1,0))</f>
        <v>0</v>
      </c>
      <c r="F68" s="383" t="n">
        <f aca="false">IF(2&lt;5,0,IF(MAX(E39:F39)&gt;F44+7+$B$18,1,0))</f>
        <v>0</v>
      </c>
      <c r="G68" s="383" t="n">
        <f aca="false">IF(3&lt;5,0,IF(MAX(E39:G39)&gt;G44+7+$B$18,1,0))</f>
        <v>0</v>
      </c>
      <c r="H68" s="383" t="n">
        <f aca="false">IF(4&lt;5,0,IF(MAX(E39:H39)&gt;H44+7+$B$18,1,0))</f>
        <v>0</v>
      </c>
      <c r="I68" s="383" t="n">
        <f aca="false">IF(5&lt;5,0,IF(MAX(E39:I39)&gt;I44+7+$B$18,1,0))</f>
        <v>0</v>
      </c>
      <c r="J68" s="383" t="n">
        <f aca="false">IF(6&lt;5,0,IF(MAX(E39:J39)&gt;J44+7+$B$18,1,0))</f>
        <v>0</v>
      </c>
      <c r="K68" s="383" t="n">
        <f aca="false">IF(7&lt;5,0,IF(MAX(F39:K39)&gt;K44+7+$B$18,1,0))</f>
        <v>0</v>
      </c>
      <c r="L68" s="383" t="n">
        <f aca="false">IF(8&lt;5,0,IF(MAX(G39:L39)&gt;L44+7+$B$18,1,0))</f>
        <v>0</v>
      </c>
      <c r="M68" s="383" t="n">
        <f aca="false">IF(9&lt;5,0,IF(MAX(H39:M39)&gt;M44+7+$B$18,1,0))</f>
        <v>0</v>
      </c>
      <c r="N68" s="383" t="n">
        <f aca="false">IF(10&lt;5,0,IF(MAX(I39:N39)&gt;N44+7+$B$18,1,0))</f>
        <v>0</v>
      </c>
      <c r="O68" s="383" t="n">
        <f aca="false">IF(11&lt;5,0,IF(MAX(J39:O39)&gt;O44+7+$B$18,1,0))</f>
        <v>0</v>
      </c>
      <c r="P68" s="383" t="n">
        <f aca="false">IF(12&lt;5,0,IF(MAX(K39:P39)&gt;P44+7+$B$18,1,0))</f>
        <v>0</v>
      </c>
      <c r="Q68" s="383" t="n">
        <f aca="false">IF(13&lt;5,0,IF(MAX(L39:Q39)&gt;Q44+7+$B$18,1,0))</f>
        <v>0</v>
      </c>
      <c r="R68" s="383" t="n">
        <f aca="false">IF(14&lt;5,0,IF(MAX(M39:R39)&gt;R44+7+$B$18,1,0))</f>
        <v>0</v>
      </c>
      <c r="S68" s="383" t="n">
        <f aca="false">IF(15&lt;5,0,IF(MAX(N39:S39)&gt;S44+7+$B$18,1,0))</f>
        <v>0</v>
      </c>
      <c r="T68" s="383" t="n">
        <f aca="false">IF(16&lt;5,0,IF(MAX(O39:T39)&gt;T44+7+$B$18,1,0))</f>
        <v>0</v>
      </c>
      <c r="U68" s="383" t="n">
        <f aca="false">IF(17&lt;5,0,IF(MAX(P39:U39)&gt;U44+7+$B$18,1,0))</f>
        <v>0</v>
      </c>
      <c r="V68" s="383" t="n">
        <f aca="false">IF(18&lt;5,0,IF(MAX(Q39:V39)&gt;V44+7+$B$18,1,0))</f>
        <v>0</v>
      </c>
      <c r="W68" s="383" t="n">
        <f aca="false">IF(19&lt;5,0,IF(MAX(R39:W39)&gt;W44+7+$B$18,1,0))</f>
        <v>0</v>
      </c>
      <c r="X68" s="383" t="n">
        <f aca="false">IF(20&lt;5,0,IF(MAX(S39:X39)&gt;X44+7+$B$18,1,0))</f>
        <v>0</v>
      </c>
      <c r="Y68" s="383" t="n">
        <f aca="false">IF(21&lt;5,0,IF(MAX(T39:Y39)&gt;Y44+7+$B$18,1,0))</f>
        <v>0</v>
      </c>
      <c r="Z68" s="383" t="n">
        <f aca="false">IF(22&lt;5,0,IF(MAX(U39:Z39)&gt;Z44+7+$B$18,1,0))</f>
        <v>0</v>
      </c>
      <c r="AA68" s="383" t="n">
        <f aca="false">IF(23&lt;5,0,IF(MAX(V39:AA39)&gt;AA44+7+$B$18,1,0))</f>
        <v>0</v>
      </c>
      <c r="AB68" s="383" t="n">
        <f aca="false">IF(24&lt;5,0,IF(MAX(W39:AB39)&gt;AB44+7+$B$18,1,0))</f>
        <v>0</v>
      </c>
      <c r="AC68" s="383" t="n">
        <f aca="false">IF(25&lt;5,0,IF(MAX(X39:AC39)&gt;AC44+7+$B$18,1,0))</f>
        <v>0</v>
      </c>
      <c r="AD68" s="383" t="n">
        <f aca="false">IF(26&lt;5,0,IF(MAX(Y39:AD39)&gt;AD44+7+$B$18,1,0))</f>
        <v>0</v>
      </c>
      <c r="AE68" s="383" t="n">
        <f aca="false">IF(27&lt;5,0,IF(MAX(Z39:AE39)&gt;AE44+7+$B$18,1,0))</f>
        <v>0</v>
      </c>
      <c r="AF68" s="383" t="n">
        <f aca="false">IF(28&lt;5,0,IF(MAX(AA39:AF39)&gt;AF44+7+$B$18,1,0))</f>
        <v>0</v>
      </c>
      <c r="AG68" s="383" t="n">
        <f aca="false">IF(29&lt;5,0,IF(MAX(AB39:AG39)&gt;AG44+7+$B$18,1,0))</f>
        <v>0</v>
      </c>
      <c r="AH68" s="383" t="n">
        <f aca="false">IF(30&lt;5,0,IF(MAX(AC39:AH39)&gt;AH44+7+$B$18,1,0))</f>
        <v>0</v>
      </c>
      <c r="AI68" s="383" t="n">
        <f aca="false">IF(31&lt;5,0,IF(MAX(AD39:AI39)&gt;AI44+7+$B$18,1,0))</f>
        <v>0</v>
      </c>
      <c r="AJ68" s="383" t="n">
        <f aca="false">IF(32&lt;5,0,IF(MAX(AE39:AJ39)&gt;AJ44+7+$B$18,1,0))</f>
        <v>0</v>
      </c>
      <c r="AK68" s="383" t="n">
        <f aca="false">IF(33&lt;5,0,IF(MAX(AF39:AK39)&gt;AK44+7+$B$18,1,0))</f>
        <v>0</v>
      </c>
      <c r="AL68" s="383" t="n">
        <f aca="false">IF(34&lt;5,0,IF(MAX(AG39:AL39)&gt;AL44+7+$B$18,1,0))</f>
        <v>0</v>
      </c>
      <c r="AM68" s="383" t="n">
        <f aca="false">IF(35&lt;5,0,IF(MAX(AH39:AM39)&gt;AM44+7+$B$18,1,0))</f>
        <v>0</v>
      </c>
      <c r="AN68" s="383" t="n">
        <f aca="false">IF(36&lt;5,0,IF(MAX(AI39:AN39)&gt;AN44+7+$B$18,1,0))</f>
        <v>0</v>
      </c>
      <c r="AO68" s="383" t="n">
        <f aca="false">IF(37&lt;5,0,IF(MAX(AJ39:AO39)&gt;AO44+7+$B$18,1,0))</f>
        <v>0</v>
      </c>
      <c r="AP68" s="383" t="n">
        <f aca="false">IF(38&lt;5,0,IF(MAX(AK39:AP39)&gt;AP44+7+$B$18,1,0))</f>
        <v>0</v>
      </c>
      <c r="AQ68" s="383" t="n">
        <f aca="false">IF(39&lt;5,0,IF(MAX(AL39:AQ39)&gt;AQ44+7+$B$18,1,0))</f>
        <v>0</v>
      </c>
      <c r="AR68" s="383" t="n">
        <f aca="false">IF(40&lt;5,0,IF(MAX(AM39:AR39)&gt;AR44+7+$B$18,1,0))</f>
        <v>0</v>
      </c>
      <c r="AS68" s="383" t="n">
        <f aca="false">IF(41&lt;5,0,IF(MAX(AN39:AS39)&gt;AS44+7+$B$18,1,0))</f>
        <v>0</v>
      </c>
      <c r="AT68" s="383" t="n">
        <f aca="false">IF(42&lt;5,0,IF(MAX(AO39:AT39)&gt;AT44+7+$B$18,1,0))</f>
        <v>0</v>
      </c>
      <c r="AU68" s="383" t="n">
        <f aca="false">IF(43&lt;5,0,IF(MAX(AP39:AU39)&gt;AU44+7+$B$18,1,0))</f>
        <v>0</v>
      </c>
      <c r="AV68" s="383" t="n">
        <f aca="false">IF(44&lt;5,0,IF(MAX(AQ39:AV39)&gt;AV44+7+$B$18,1,0))</f>
        <v>0</v>
      </c>
      <c r="AW68" s="383" t="n">
        <f aca="false">IF(45&lt;5,0,IF(MAX(AR39:AW39)&gt;AW44+7+$B$18,1,0))</f>
        <v>0</v>
      </c>
      <c r="AX68" s="383" t="n">
        <f aca="false">IF(46&lt;5,0,IF(MAX(AS39:AX39)&gt;AX44+7+$B$18,1,0))</f>
        <v>0</v>
      </c>
      <c r="AY68" s="383" t="n">
        <f aca="false">IF(47&lt;5,0,IF(MAX(AT39:AY39)&gt;AY44+7+$B$18,1,0))</f>
        <v>0</v>
      </c>
      <c r="AZ68" s="383" t="n">
        <f aca="false">IF(48&lt;5,0,IF(MAX(AU39:AZ39)&gt;AZ44+7+$B$18,1,0))</f>
        <v>0</v>
      </c>
      <c r="BA68" s="383" t="n">
        <f aca="false">IF(49&lt;5,0,IF(MAX(AV39:BA39)&gt;BA44+7+$B$18,1,0))</f>
        <v>0</v>
      </c>
      <c r="BB68" s="383" t="n">
        <f aca="false">IF(50&lt;5,0,IF(MAX(AW39:BB39)&gt;BB44+7+$B$18,1,0))</f>
        <v>0</v>
      </c>
      <c r="BC68" s="383" t="n">
        <f aca="false">IF(51&lt;5,0,IF(MAX(AX39:BC39)&gt;BC44+7+$B$18,1,0))</f>
        <v>0</v>
      </c>
      <c r="BD68" s="383" t="n">
        <f aca="false">IF(52&lt;5,0,IF(MAX(AY39:BD39)&gt;BD44+7+$B$18,1,0))</f>
        <v>0</v>
      </c>
      <c r="BE68" s="383" t="n">
        <f aca="false">IF(53&lt;5,0,IF(MAX(AZ39:BE39)&gt;BE44+7+$B$18,1,0))</f>
        <v>0</v>
      </c>
      <c r="BF68" s="383" t="n">
        <f aca="false">IF(54&lt;5,0,IF(MAX(BA39:BF39)&gt;BF44+7+$B$18,1,0))</f>
        <v>0</v>
      </c>
      <c r="BG68" s="383" t="n">
        <f aca="false">IF(55&lt;5,0,IF(MAX(BB39:BG39)&gt;BG44+7+$B$18,1,0))</f>
        <v>0</v>
      </c>
      <c r="BH68" s="383" t="n">
        <f aca="false">IF(56&lt;5,0,IF(MAX(BC39:BH39)&gt;BH44+7+$B$18,1,0))</f>
        <v>0</v>
      </c>
      <c r="BI68" s="383" t="n">
        <f aca="false">IF(57&lt;5,0,IF(MAX(BD39:BI39)&gt;BI44+7+$B$18,1,0))</f>
        <v>0</v>
      </c>
      <c r="BJ68" s="383" t="n">
        <f aca="false">IF(58&lt;5,0,IF(MAX(BE39:BJ39)&gt;BJ44+7+$B$18,1,0))</f>
        <v>0</v>
      </c>
      <c r="BK68" s="383" t="n">
        <f aca="false">IF(59&lt;5,0,IF(MAX(BF39:BK39)&gt;BK44+7+$B$18,1,0))</f>
        <v>0</v>
      </c>
      <c r="BL68" s="383" t="n">
        <f aca="false">IF(60&lt;5,0,IF(MAX(BG39:BL39)&gt;BL44+7+$B$18,1,0))</f>
        <v>0</v>
      </c>
      <c r="BM68" s="383" t="n">
        <f aca="false">IF(61&lt;5,0,IF(MAX(BH39:BM39)&gt;BM44+7+$B$18,1,0))</f>
        <v>0</v>
      </c>
      <c r="BN68" s="383" t="n">
        <f aca="false">IF(62&lt;5,0,IF(MAX(BI39:BN39)&gt;BN44+7+$B$18,1,0))</f>
        <v>0</v>
      </c>
      <c r="BO68" s="383" t="n">
        <f aca="false">IF(63&lt;5,0,IF(MAX(BJ39:BO39)&gt;BO44+7+$B$18,1,0))</f>
        <v>0</v>
      </c>
      <c r="BP68" s="383" t="n">
        <f aca="false">IF(64&lt;5,0,IF(MAX(BK39:BP39)&gt;BP44+7+$B$18,1,0))</f>
        <v>0</v>
      </c>
      <c r="BQ68" s="383" t="n">
        <f aca="false">IF(65&lt;5,0,IF(MAX(BL39:BQ39)&gt;BQ44+7+$B$18,1,0))</f>
        <v>0</v>
      </c>
      <c r="BR68" s="383" t="n">
        <f aca="false">IF(66&lt;5,0,IF(MAX(BM39:BR39)&gt;BR44+7+$B$18,1,0))</f>
        <v>0</v>
      </c>
      <c r="BS68" s="383" t="n">
        <f aca="false">IF(67&lt;5,0,IF(MAX(BN39:BS39)&gt;BS44+7+$B$18,1,0))</f>
        <v>0</v>
      </c>
      <c r="BT68" s="383" t="n">
        <f aca="false">IF(68&lt;5,0,IF(MAX(BO39:BT39)&gt;BT44+7+$B$18,1,0))</f>
        <v>0</v>
      </c>
      <c r="BU68" s="383" t="n">
        <f aca="false">IF(69&lt;5,0,IF(MAX(BP39:BU39)&gt;BU44+7+$B$18,1,0))</f>
        <v>0</v>
      </c>
      <c r="BV68" s="383" t="n">
        <f aca="false">IF(70&lt;5,0,IF(MAX(BQ39:BV39)&gt;BV44+7+$B$18,1,0))</f>
        <v>0</v>
      </c>
      <c r="BW68" s="383" t="n">
        <f aca="false">IF(71&lt;5,0,IF(MAX(BR39:BW39)&gt;BW44+7+$B$18,1,0))</f>
        <v>0</v>
      </c>
      <c r="BX68" s="383" t="n">
        <f aca="false">IF(72&lt;5,0,IF(MAX(BS39:BX39)&gt;BX44+7+$B$18,1,0))</f>
        <v>0</v>
      </c>
      <c r="BY68" s="383" t="n">
        <f aca="false">IF(73&lt;5,0,IF(MAX(BT39:BY39)&gt;BY44+7+$B$18,1,0))</f>
        <v>0</v>
      </c>
      <c r="BZ68" s="383" t="n">
        <f aca="false">IF(74&lt;5,0,IF(MAX(BU39:BZ39)&gt;BZ44+7+$B$18,1,0))</f>
        <v>0</v>
      </c>
      <c r="CA68" s="383" t="n">
        <f aca="false">IF(75&lt;5,0,IF(MAX(BV39:CA39)&gt;CA44+7+$B$18,1,0))</f>
        <v>0</v>
      </c>
      <c r="CB68" s="383" t="n">
        <f aca="false">IF(76&lt;5,0,IF(MAX(BW39:CB39)&gt;CB44+7+$B$18,1,0))</f>
        <v>0</v>
      </c>
      <c r="CC68" s="383" t="n">
        <f aca="false">IF(77&lt;5,0,IF(MAX(BX39:CC39)&gt;CC44+7+$B$18,1,0))</f>
        <v>0</v>
      </c>
      <c r="CD68" s="383" t="n">
        <f aca="false">IF(78&lt;5,0,IF(MAX(BY39:CD39)&gt;CD44+7+$B$18,1,0))</f>
        <v>0</v>
      </c>
      <c r="CE68" s="383" t="n">
        <f aca="false">IF(79&lt;5,0,IF(MAX(BZ39:CE39)&gt;CE44+7+$B$18,1,0))</f>
        <v>0</v>
      </c>
      <c r="CF68" s="383" t="n">
        <f aca="false">IF(80&lt;5,0,IF(MAX(CA39:CF39)&gt;CF44+7+$B$18,1,0))</f>
        <v>0</v>
      </c>
      <c r="CG68" s="383" t="n">
        <f aca="false">IF(81&lt;5,0,IF(MAX(CB39:CG39)&gt;CG44+7+$B$18,1,0))</f>
        <v>0</v>
      </c>
      <c r="CH68" s="383" t="n">
        <f aca="false">IF(82&lt;5,0,IF(MAX(CC39:CH39)&gt;CH44+7+$B$18,1,0))</f>
        <v>0</v>
      </c>
      <c r="CI68" s="383" t="n">
        <f aca="false">IF(83&lt;5,0,IF(MAX(CD39:CI39)&gt;CI44+7+$B$18,1,0))</f>
        <v>0</v>
      </c>
      <c r="CJ68" s="383" t="n">
        <f aca="false">IF(84&lt;5,0,IF(MAX(CE39:CJ39)&gt;CJ44+7+$B$18,1,0))</f>
        <v>0</v>
      </c>
      <c r="CK68" s="383" t="n">
        <f aca="false">IF(85&lt;5,0,IF(MAX(CF39:CK39)&gt;CK44+7+$B$18,1,0))</f>
        <v>0</v>
      </c>
      <c r="CL68" s="383" t="n">
        <f aca="false">IF(86&lt;5,0,IF(MAX(CG39:CL39)&gt;CL44+7+$B$18,1,0))</f>
        <v>0</v>
      </c>
      <c r="CM68" s="383" t="n">
        <f aca="false">IF(87&lt;5,0,IF(MAX(CH39:CM39)&gt;CM44+7+$B$18,1,0))</f>
        <v>0</v>
      </c>
      <c r="CN68" s="383" t="n">
        <f aca="false">IF(88&lt;5,0,IF(MAX(CI39:CN39)&gt;CN44+7+$B$18,1,0))</f>
        <v>0</v>
      </c>
      <c r="CO68" s="383" t="n">
        <f aca="false">IF(89&lt;5,0,IF(MAX(CJ39:CO39)&gt;CO44+7+$B$18,1,0))</f>
        <v>0</v>
      </c>
      <c r="CP68" s="383" t="n">
        <f aca="false">IF(90&lt;5,0,IF(MAX(CK39:CP39)&gt;CP44+7+$B$18,1,0))</f>
        <v>0</v>
      </c>
      <c r="CQ68" s="383" t="n">
        <f aca="false">IF(91&lt;5,0,IF(MAX(CL39:CQ39)&gt;CQ44+7+$B$18,1,0))</f>
        <v>0</v>
      </c>
      <c r="CR68" s="383" t="n">
        <f aca="false">IF(92&lt;5,0,IF(MAX(CM39:CR39)&gt;CR44+7+$B$18,1,0))</f>
        <v>0</v>
      </c>
      <c r="CS68" s="383" t="n">
        <f aca="false">IF(93&lt;5,0,IF(MAX(CN39:CS39)&gt;CS44+7+$B$18,1,0))</f>
        <v>0</v>
      </c>
      <c r="CT68" s="383" t="n">
        <f aca="false">IF(94&lt;5,0,IF(MAX(CO39:CT39)&gt;CT44+7+$B$18,1,0))</f>
        <v>0</v>
      </c>
      <c r="CU68" s="383" t="n">
        <f aca="false">IF(95&lt;5,0,IF(MAX(CP39:CU39)&gt;CU44+7+$B$18,1,0))</f>
        <v>0</v>
      </c>
      <c r="CV68" s="383" t="n">
        <f aca="false">IF(96&lt;5,0,IF(MAX(CQ39:CV39)&gt;CV44+7+$B$18,1,0))</f>
        <v>0</v>
      </c>
      <c r="CW68" s="383" t="n">
        <f aca="false">IF(97&lt;5,0,IF(MAX(CR39:CW39)&gt;CW44+7+$B$18,1,0))</f>
        <v>0</v>
      </c>
      <c r="CX68" s="383" t="n">
        <f aca="false">IF(98&lt;5,0,IF(MAX(CS39:CX39)&gt;CX44+7+$B$18,1,0))</f>
        <v>0</v>
      </c>
      <c r="CY68" s="383" t="n">
        <f aca="false">IF(99&lt;5,0,IF(MAX(CT39:CY39)&gt;CY44+7+$B$18,1,0))</f>
        <v>0</v>
      </c>
      <c r="CZ68" s="383" t="n">
        <f aca="false">IF(100&lt;5,0,IF(MAX(CU39:CZ39)&gt;CZ44+7+$B$18,1,0))</f>
        <v>0</v>
      </c>
      <c r="DA68" s="383" t="n">
        <f aca="false">IF(101&lt;5,0,IF(MAX(CV39:DA39)&gt;DA44+7+$B$18,1,0))</f>
        <v>0</v>
      </c>
      <c r="DB68" s="383" t="n">
        <f aca="false">IF(102&lt;5,0,IF(MAX(CW39:DB39)&gt;DB44+7+$B$18,1,0))</f>
        <v>0</v>
      </c>
      <c r="DC68" s="383" t="n">
        <f aca="false">IF(103&lt;5,0,IF(MAX(CX39:DC39)&gt;DC44+7+$B$18,1,0))</f>
        <v>0</v>
      </c>
      <c r="DD68" s="383" t="n">
        <f aca="false">IF(104&lt;5,0,IF(MAX(CY39:DD39)&gt;DD44+7+$B$18,1,0))</f>
        <v>0</v>
      </c>
      <c r="DE68" s="383"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1395</v>
      </c>
      <c r="B71" s="211" t="n">
        <f aca="false">$B$29</f>
        <v>180000</v>
      </c>
      <c r="E71" s="383" t="n">
        <f aca="false">IF(1&lt;5,0,IF(MAX(E40:E40)&gt;E45+0+$B$18,1,0))</f>
        <v>0</v>
      </c>
      <c r="F71" s="383" t="n">
        <f aca="false">IF(2&lt;5,0,IF(MAX(E40:F40)&gt;F45+0+$B$18,1,0))</f>
        <v>0</v>
      </c>
      <c r="G71" s="383" t="n">
        <f aca="false">IF(3&lt;5,0,IF(MAX(E40:G40)&gt;G45+0+$B$18,1,0))</f>
        <v>0</v>
      </c>
      <c r="H71" s="383" t="n">
        <f aca="false">IF(4&lt;5,0,IF(MAX(E40:H40)&gt;H45+0+$B$18,1,0))</f>
        <v>0</v>
      </c>
      <c r="I71" s="383" t="n">
        <f aca="false">IF(5&lt;5,0,IF(MAX(E40:I40)&gt;I45+0+$B$18,1,0))</f>
        <v>0</v>
      </c>
      <c r="J71" s="383" t="n">
        <f aca="false">IF(6&lt;5,0,IF(MAX(E40:J40)&gt;J45+0+$B$18,1,0))</f>
        <v>0</v>
      </c>
      <c r="K71" s="383" t="n">
        <f aca="false">IF(7&lt;5,0,IF(MAX(F40:K40)&gt;K45+0+$B$18,1,0))</f>
        <v>0</v>
      </c>
      <c r="L71" s="383" t="n">
        <f aca="false">IF(8&lt;5,0,IF(MAX(G40:L40)&gt;L45+0+$B$18,1,0))</f>
        <v>0</v>
      </c>
      <c r="M71" s="383" t="n">
        <f aca="false">IF(9&lt;5,0,IF(MAX(H40:M40)&gt;M45+0+$B$18,1,0))</f>
        <v>0</v>
      </c>
      <c r="N71" s="383" t="n">
        <f aca="false">IF(10&lt;5,0,IF(MAX(I40:N40)&gt;N45+0+$B$18,1,0))</f>
        <v>0</v>
      </c>
      <c r="O71" s="383" t="n">
        <f aca="false">IF(11&lt;5,0,IF(MAX(J40:O40)&gt;O45+0+$B$18,1,0))</f>
        <v>1</v>
      </c>
      <c r="P71" s="383" t="n">
        <f aca="false">IF(12&lt;5,0,IF(MAX(K40:P40)&gt;P45+0+$B$18,1,0))</f>
        <v>1</v>
      </c>
      <c r="Q71" s="383" t="n">
        <f aca="false">IF(13&lt;5,0,IF(MAX(L40:Q40)&gt;Q45+0+$B$18,1,0))</f>
        <v>1</v>
      </c>
      <c r="R71" s="383" t="n">
        <f aca="false">IF(14&lt;5,0,IF(MAX(M40:R40)&gt;R45+0+$B$18,1,0))</f>
        <v>1</v>
      </c>
      <c r="S71" s="383" t="n">
        <f aca="false">IF(15&lt;5,0,IF(MAX(N40:S40)&gt;S45+0+$B$18,1,0))</f>
        <v>1</v>
      </c>
      <c r="T71" s="383" t="n">
        <f aca="false">IF(16&lt;5,0,IF(MAX(O40:T40)&gt;T45+0+$B$18,1,0))</f>
        <v>1</v>
      </c>
      <c r="U71" s="383" t="n">
        <f aca="false">IF(17&lt;5,0,IF(MAX(P40:U40)&gt;U45+0+$B$18,1,0))</f>
        <v>1</v>
      </c>
      <c r="V71" s="383" t="n">
        <f aca="false">IF(18&lt;5,0,IF(MAX(Q40:V40)&gt;V45+0+$B$18,1,0))</f>
        <v>1</v>
      </c>
      <c r="W71" s="383" t="n">
        <f aca="false">IF(19&lt;5,0,IF(MAX(R40:W40)&gt;W45+0+$B$18,1,0))</f>
        <v>1</v>
      </c>
      <c r="X71" s="383" t="n">
        <f aca="false">IF(20&lt;5,0,IF(MAX(S40:X40)&gt;X45+0+$B$18,1,0))</f>
        <v>1</v>
      </c>
      <c r="Y71" s="383" t="n">
        <f aca="false">IF(21&lt;5,0,IF(MAX(T40:Y40)&gt;Y45+0+$B$18,1,0))</f>
        <v>1</v>
      </c>
      <c r="Z71" s="383" t="n">
        <f aca="false">IF(22&lt;5,0,IF(MAX(U40:Z40)&gt;Z45+0+$B$18,1,0))</f>
        <v>1</v>
      </c>
      <c r="AA71" s="383" t="n">
        <f aca="false">IF(23&lt;5,0,IF(MAX(V40:AA40)&gt;AA45+0+$B$18,1,0))</f>
        <v>1</v>
      </c>
      <c r="AB71" s="383" t="n">
        <f aca="false">IF(24&lt;5,0,IF(MAX(W40:AB40)&gt;AB45+0+$B$18,1,0))</f>
        <v>1</v>
      </c>
      <c r="AC71" s="383" t="n">
        <f aca="false">IF(25&lt;5,0,IF(MAX(X40:AC40)&gt;AC45+0+$B$18,1,0))</f>
        <v>1</v>
      </c>
      <c r="AD71" s="383" t="n">
        <f aca="false">IF(26&lt;5,0,IF(MAX(Y40:AD40)&gt;AD45+0+$B$18,1,0))</f>
        <v>1</v>
      </c>
      <c r="AE71" s="383" t="n">
        <f aca="false">IF(27&lt;5,0,IF(MAX(Z40:AE40)&gt;AE45+0+$B$18,1,0))</f>
        <v>1</v>
      </c>
      <c r="AF71" s="383" t="n">
        <f aca="false">IF(28&lt;5,0,IF(MAX(AA40:AF40)&gt;AF45+0+$B$18,1,0))</f>
        <v>1</v>
      </c>
      <c r="AG71" s="383" t="n">
        <f aca="false">IF(29&lt;5,0,IF(MAX(AB40:AG40)&gt;AG45+0+$B$18,1,0))</f>
        <v>1</v>
      </c>
      <c r="AH71" s="383" t="n">
        <f aca="false">IF(30&lt;5,0,IF(MAX(AC40:AH40)&gt;AH45+0+$B$18,1,0))</f>
        <v>1</v>
      </c>
      <c r="AI71" s="383" t="n">
        <f aca="false">IF(31&lt;5,0,IF(MAX(AD40:AI40)&gt;AI45+0+$B$18,1,0))</f>
        <v>1</v>
      </c>
      <c r="AJ71" s="383" t="n">
        <f aca="false">IF(32&lt;5,0,IF(MAX(AE40:AJ40)&gt;AJ45+0+$B$18,1,0))</f>
        <v>1</v>
      </c>
      <c r="AK71" s="383" t="n">
        <f aca="false">IF(33&lt;5,0,IF(MAX(AF40:AK40)&gt;AK45+0+$B$18,1,0))</f>
        <v>1</v>
      </c>
      <c r="AL71" s="383" t="n">
        <f aca="false">IF(34&lt;5,0,IF(MAX(AG40:AL40)&gt;AL45+0+$B$18,1,0))</f>
        <v>1</v>
      </c>
      <c r="AM71" s="383" t="n">
        <f aca="false">IF(35&lt;5,0,IF(MAX(AH40:AM40)&gt;AM45+0+$B$18,1,0))</f>
        <v>0</v>
      </c>
      <c r="AN71" s="383" t="n">
        <f aca="false">IF(36&lt;5,0,IF(MAX(AI40:AN40)&gt;AN45+0+$B$18,1,0))</f>
        <v>0</v>
      </c>
      <c r="AO71" s="383" t="n">
        <f aca="false">IF(37&lt;5,0,IF(MAX(AJ40:AO40)&gt;AO45+0+$B$18,1,0))</f>
        <v>0</v>
      </c>
      <c r="AP71" s="383" t="n">
        <f aca="false">IF(38&lt;5,0,IF(MAX(AK40:AP40)&gt;AP45+0+$B$18,1,0))</f>
        <v>0</v>
      </c>
      <c r="AQ71" s="383" t="n">
        <f aca="false">IF(39&lt;5,0,IF(MAX(AL40:AQ40)&gt;AQ45+0+$B$18,1,0))</f>
        <v>0</v>
      </c>
      <c r="AR71" s="383" t="n">
        <f aca="false">IF(40&lt;5,0,IF(MAX(AM40:AR40)&gt;AR45+0+$B$18,1,0))</f>
        <v>0</v>
      </c>
      <c r="AS71" s="383" t="n">
        <f aca="false">IF(41&lt;5,0,IF(MAX(AN40:AS40)&gt;AS45+0+$B$18,1,0))</f>
        <v>0</v>
      </c>
      <c r="AT71" s="383" t="n">
        <f aca="false">IF(42&lt;5,0,IF(MAX(AO40:AT40)&gt;AT45+0+$B$18,1,0))</f>
        <v>0</v>
      </c>
      <c r="AU71" s="383" t="n">
        <f aca="false">IF(43&lt;5,0,IF(MAX(AP40:AU40)&gt;AU45+0+$B$18,1,0))</f>
        <v>0</v>
      </c>
      <c r="AV71" s="383" t="n">
        <f aca="false">IF(44&lt;5,0,IF(MAX(AQ40:AV40)&gt;AV45+0+$B$18,1,0))</f>
        <v>0</v>
      </c>
      <c r="AW71" s="383" t="n">
        <f aca="false">IF(45&lt;5,0,IF(MAX(AR40:AW40)&gt;AW45+0+$B$18,1,0))</f>
        <v>0</v>
      </c>
      <c r="AX71" s="383" t="n">
        <f aca="false">IF(46&lt;5,0,IF(MAX(AS40:AX40)&gt;AX45+0+$B$18,1,0))</f>
        <v>0</v>
      </c>
      <c r="AY71" s="383" t="n">
        <f aca="false">IF(47&lt;5,0,IF(MAX(AT40:AY40)&gt;AY45+0+$B$18,1,0))</f>
        <v>0</v>
      </c>
      <c r="AZ71" s="383" t="n">
        <f aca="false">IF(48&lt;5,0,IF(MAX(AU40:AZ40)&gt;AZ45+0+$B$18,1,0))</f>
        <v>0</v>
      </c>
      <c r="BA71" s="383" t="n">
        <f aca="false">IF(49&lt;5,0,IF(MAX(AV40:BA40)&gt;BA45+0+$B$18,1,0))</f>
        <v>0</v>
      </c>
      <c r="BB71" s="383" t="n">
        <f aca="false">IF(50&lt;5,0,IF(MAX(AW40:BB40)&gt;BB45+0+$B$18,1,0))</f>
        <v>0</v>
      </c>
      <c r="BC71" s="383" t="n">
        <f aca="false">IF(51&lt;5,0,IF(MAX(AX40:BC40)&gt;BC45+0+$B$18,1,0))</f>
        <v>0</v>
      </c>
      <c r="BD71" s="383" t="n">
        <f aca="false">IF(52&lt;5,0,IF(MAX(AY40:BD40)&gt;BD45+0+$B$18,1,0))</f>
        <v>0</v>
      </c>
      <c r="BE71" s="383" t="n">
        <f aca="false">IF(53&lt;5,0,IF(MAX(AZ40:BE40)&gt;BE45+0+$B$18,1,0))</f>
        <v>0</v>
      </c>
      <c r="BF71" s="383" t="n">
        <f aca="false">IF(54&lt;5,0,IF(MAX(BA40:BF40)&gt;BF45+0+$B$18,1,0))</f>
        <v>0</v>
      </c>
      <c r="BG71" s="383" t="n">
        <f aca="false">IF(55&lt;5,0,IF(MAX(BB40:BG40)&gt;BG45+0+$B$18,1,0))</f>
        <v>0</v>
      </c>
      <c r="BH71" s="383" t="n">
        <f aca="false">IF(56&lt;5,0,IF(MAX(BC40:BH40)&gt;BH45+0+$B$18,1,0))</f>
        <v>0</v>
      </c>
      <c r="BI71" s="383" t="n">
        <f aca="false">IF(57&lt;5,0,IF(MAX(BD40:BI40)&gt;BI45+0+$B$18,1,0))</f>
        <v>0</v>
      </c>
      <c r="BJ71" s="383" t="n">
        <f aca="false">IF(58&lt;5,0,IF(MAX(BE40:BJ40)&gt;BJ45+0+$B$18,1,0))</f>
        <v>0</v>
      </c>
      <c r="BK71" s="383" t="n">
        <f aca="false">IF(59&lt;5,0,IF(MAX(BF40:BK40)&gt;BK45+0+$B$18,1,0))</f>
        <v>0</v>
      </c>
      <c r="BL71" s="383" t="n">
        <f aca="false">IF(60&lt;5,0,IF(MAX(BG40:BL40)&gt;BL45+0+$B$18,1,0))</f>
        <v>0</v>
      </c>
      <c r="BM71" s="383" t="n">
        <f aca="false">IF(61&lt;5,0,IF(MAX(BH40:BM40)&gt;BM45+0+$B$18,1,0))</f>
        <v>0</v>
      </c>
      <c r="BN71" s="383" t="n">
        <f aca="false">IF(62&lt;5,0,IF(MAX(BI40:BN40)&gt;BN45+0+$B$18,1,0))</f>
        <v>0</v>
      </c>
      <c r="BO71" s="383" t="n">
        <f aca="false">IF(63&lt;5,0,IF(MAX(BJ40:BO40)&gt;BO45+0+$B$18,1,0))</f>
        <v>0</v>
      </c>
      <c r="BP71" s="383" t="n">
        <f aca="false">IF(64&lt;5,0,IF(MAX(BK40:BP40)&gt;BP45+0+$B$18,1,0))</f>
        <v>0</v>
      </c>
      <c r="BQ71" s="383" t="n">
        <f aca="false">IF(65&lt;5,0,IF(MAX(BL40:BQ40)&gt;BQ45+0+$B$18,1,0))</f>
        <v>0</v>
      </c>
      <c r="BR71" s="383" t="n">
        <f aca="false">IF(66&lt;5,0,IF(MAX(BM40:BR40)&gt;BR45+0+$B$18,1,0))</f>
        <v>0</v>
      </c>
      <c r="BS71" s="383" t="n">
        <f aca="false">IF(67&lt;5,0,IF(MAX(BN40:BS40)&gt;BS45+0+$B$18,1,0))</f>
        <v>0</v>
      </c>
      <c r="BT71" s="383" t="n">
        <f aca="false">IF(68&lt;5,0,IF(MAX(BO40:BT40)&gt;BT45+0+$B$18,1,0))</f>
        <v>0</v>
      </c>
      <c r="BU71" s="383" t="n">
        <f aca="false">IF(69&lt;5,0,IF(MAX(BP40:BU40)&gt;BU45+0+$B$18,1,0))</f>
        <v>0</v>
      </c>
      <c r="BV71" s="383" t="n">
        <f aca="false">IF(70&lt;5,0,IF(MAX(BQ40:BV40)&gt;BV45+0+$B$18,1,0))</f>
        <v>0</v>
      </c>
      <c r="BW71" s="383" t="n">
        <f aca="false">IF(71&lt;5,0,IF(MAX(BR40:BW40)&gt;BW45+0+$B$18,1,0))</f>
        <v>0</v>
      </c>
      <c r="BX71" s="383" t="n">
        <f aca="false">IF(72&lt;5,0,IF(MAX(BS40:BX40)&gt;BX45+0+$B$18,1,0))</f>
        <v>0</v>
      </c>
      <c r="BY71" s="383" t="n">
        <f aca="false">IF(73&lt;5,0,IF(MAX(BT40:BY40)&gt;BY45+0+$B$18,1,0))</f>
        <v>0</v>
      </c>
      <c r="BZ71" s="383" t="n">
        <f aca="false">IF(74&lt;5,0,IF(MAX(BU40:BZ40)&gt;BZ45+0+$B$18,1,0))</f>
        <v>0</v>
      </c>
      <c r="CA71" s="383" t="n">
        <f aca="false">IF(75&lt;5,0,IF(MAX(BV40:CA40)&gt;CA45+0+$B$18,1,0))</f>
        <v>0</v>
      </c>
      <c r="CB71" s="383" t="n">
        <f aca="false">IF(76&lt;5,0,IF(MAX(BW40:CB40)&gt;CB45+0+$B$18,1,0))</f>
        <v>0</v>
      </c>
      <c r="CC71" s="383" t="n">
        <f aca="false">IF(77&lt;5,0,IF(MAX(BX40:CC40)&gt;CC45+0+$B$18,1,0))</f>
        <v>0</v>
      </c>
      <c r="CD71" s="383" t="n">
        <f aca="false">IF(78&lt;5,0,IF(MAX(BY40:CD40)&gt;CD45+0+$B$18,1,0))</f>
        <v>0</v>
      </c>
      <c r="CE71" s="383" t="n">
        <f aca="false">IF(79&lt;5,0,IF(MAX(BZ40:CE40)&gt;CE45+0+$B$18,1,0))</f>
        <v>0</v>
      </c>
      <c r="CF71" s="383" t="n">
        <f aca="false">IF(80&lt;5,0,IF(MAX(CA40:CF40)&gt;CF45+0+$B$18,1,0))</f>
        <v>0</v>
      </c>
      <c r="CG71" s="383" t="n">
        <f aca="false">IF(81&lt;5,0,IF(MAX(CB40:CG40)&gt;CG45+0+$B$18,1,0))</f>
        <v>0</v>
      </c>
      <c r="CH71" s="383" t="n">
        <f aca="false">IF(82&lt;5,0,IF(MAX(CC40:CH40)&gt;CH45+0+$B$18,1,0))</f>
        <v>0</v>
      </c>
      <c r="CI71" s="383" t="n">
        <f aca="false">IF(83&lt;5,0,IF(MAX(CD40:CI40)&gt;CI45+0+$B$18,1,0))</f>
        <v>0</v>
      </c>
      <c r="CJ71" s="383" t="n">
        <f aca="false">IF(84&lt;5,0,IF(MAX(CE40:CJ40)&gt;CJ45+0+$B$18,1,0))</f>
        <v>0</v>
      </c>
      <c r="CK71" s="383" t="n">
        <f aca="false">IF(85&lt;5,0,IF(MAX(CF40:CK40)&gt;CK45+0+$B$18,1,0))</f>
        <v>0</v>
      </c>
      <c r="CL71" s="383" t="n">
        <f aca="false">IF(86&lt;5,0,IF(MAX(CG40:CL40)&gt;CL45+0+$B$18,1,0))</f>
        <v>0</v>
      </c>
      <c r="CM71" s="383" t="n">
        <f aca="false">IF(87&lt;5,0,IF(MAX(CH40:CM40)&gt;CM45+0+$B$18,1,0))</f>
        <v>0</v>
      </c>
      <c r="CN71" s="383" t="n">
        <f aca="false">IF(88&lt;5,0,IF(MAX(CI40:CN40)&gt;CN45+0+$B$18,1,0))</f>
        <v>0</v>
      </c>
      <c r="CO71" s="383" t="n">
        <f aca="false">IF(89&lt;5,0,IF(MAX(CJ40:CO40)&gt;CO45+0+$B$18,1,0))</f>
        <v>0</v>
      </c>
      <c r="CP71" s="383" t="n">
        <f aca="false">IF(90&lt;5,0,IF(MAX(CK40:CP40)&gt;CP45+0+$B$18,1,0))</f>
        <v>0</v>
      </c>
      <c r="CQ71" s="383" t="n">
        <f aca="false">IF(91&lt;5,0,IF(MAX(CL40:CQ40)&gt;CQ45+0+$B$18,1,0))</f>
        <v>0</v>
      </c>
      <c r="CR71" s="383" t="n">
        <f aca="false">IF(92&lt;5,0,IF(MAX(CM40:CR40)&gt;CR45+0+$B$18,1,0))</f>
        <v>0</v>
      </c>
      <c r="CS71" s="383" t="n">
        <f aca="false">IF(93&lt;5,0,IF(MAX(CN40:CS40)&gt;CS45+0+$B$18,1,0))</f>
        <v>0</v>
      </c>
      <c r="CT71" s="383" t="n">
        <f aca="false">IF(94&lt;5,0,IF(MAX(CO40:CT40)&gt;CT45+0+$B$18,1,0))</f>
        <v>0</v>
      </c>
      <c r="CU71" s="383" t="n">
        <f aca="false">IF(95&lt;5,0,IF(MAX(CP40:CU40)&gt;CU45+0+$B$18,1,0))</f>
        <v>0</v>
      </c>
      <c r="CV71" s="383" t="n">
        <f aca="false">IF(96&lt;5,0,IF(MAX(CQ40:CV40)&gt;CV45+0+$B$18,1,0))</f>
        <v>0</v>
      </c>
      <c r="CW71" s="383" t="n">
        <f aca="false">IF(97&lt;5,0,IF(MAX(CR40:CW40)&gt;CW45+0+$B$18,1,0))</f>
        <v>0</v>
      </c>
      <c r="CX71" s="383" t="n">
        <f aca="false">IF(98&lt;5,0,IF(MAX(CS40:CX40)&gt;CX45+0+$B$18,1,0))</f>
        <v>0</v>
      </c>
      <c r="CY71" s="383" t="n">
        <f aca="false">IF(99&lt;5,0,IF(MAX(CT40:CY40)&gt;CY45+0+$B$18,1,0))</f>
        <v>0</v>
      </c>
      <c r="CZ71" s="383" t="n">
        <f aca="false">IF(100&lt;5,0,IF(MAX(CU40:CZ40)&gt;CZ45+0+$B$18,1,0))</f>
        <v>0</v>
      </c>
      <c r="DA71" s="383" t="n">
        <f aca="false">IF(101&lt;5,0,IF(MAX(CV40:DA40)&gt;DA45+0+$B$18,1,0))</f>
        <v>0</v>
      </c>
      <c r="DB71" s="383" t="n">
        <f aca="false">IF(102&lt;5,0,IF(MAX(CW40:DB40)&gt;DB45+0+$B$18,1,0))</f>
        <v>0</v>
      </c>
      <c r="DC71" s="383" t="n">
        <f aca="false">IF(103&lt;5,0,IF(MAX(CX40:DC40)&gt;DC45+0+$B$18,1,0))</f>
        <v>0</v>
      </c>
      <c r="DD71" s="383" t="n">
        <f aca="false">IF(104&lt;5,0,IF(MAX(CY40:DD40)&gt;DD45+0+$B$18,1,0))</f>
        <v>0</v>
      </c>
      <c r="DE71" s="383" t="n">
        <f aca="false">IF(105&lt;5,0,IF(MAX(CZ40:DE40)&gt;DE45+0+$B$18,1,0))</f>
        <v>0</v>
      </c>
    </row>
    <row r="72" customFormat="false" ht="13.5" hidden="false" customHeight="true" outlineLevel="0" collapsed="false">
      <c r="A72" s="110" t="s">
        <v>1396</v>
      </c>
      <c r="B72" s="211" t="n">
        <f aca="false">$B$29</f>
        <v>180000</v>
      </c>
      <c r="E72" s="383" t="n">
        <f aca="false">IF(1&lt;5,0,IF(MAX(E40:E40)&gt;E45+1+$B$18,1,0))</f>
        <v>0</v>
      </c>
      <c r="F72" s="383" t="n">
        <f aca="false">IF(2&lt;5,0,IF(MAX(E40:F40)&gt;F45+1+$B$18,1,0))</f>
        <v>0</v>
      </c>
      <c r="G72" s="383" t="n">
        <f aca="false">IF(3&lt;5,0,IF(MAX(E40:G40)&gt;G45+1+$B$18,1,0))</f>
        <v>0</v>
      </c>
      <c r="H72" s="383" t="n">
        <f aca="false">IF(4&lt;5,0,IF(MAX(E40:H40)&gt;H45+1+$B$18,1,0))</f>
        <v>0</v>
      </c>
      <c r="I72" s="383" t="n">
        <f aca="false">IF(5&lt;5,0,IF(MAX(E40:I40)&gt;I45+1+$B$18,1,0))</f>
        <v>0</v>
      </c>
      <c r="J72" s="383" t="n">
        <f aca="false">IF(6&lt;5,0,IF(MAX(E40:J40)&gt;J45+1+$B$18,1,0))</f>
        <v>0</v>
      </c>
      <c r="K72" s="383" t="n">
        <f aca="false">IF(7&lt;5,0,IF(MAX(F40:K40)&gt;K45+1+$B$18,1,0))</f>
        <v>0</v>
      </c>
      <c r="L72" s="383" t="n">
        <f aca="false">IF(8&lt;5,0,IF(MAX(G40:L40)&gt;L45+1+$B$18,1,0))</f>
        <v>0</v>
      </c>
      <c r="M72" s="383" t="n">
        <f aca="false">IF(9&lt;5,0,IF(MAX(H40:M40)&gt;M45+1+$B$18,1,0))</f>
        <v>0</v>
      </c>
      <c r="N72" s="383" t="n">
        <f aca="false">IF(10&lt;5,0,IF(MAX(I40:N40)&gt;N45+1+$B$18,1,0))</f>
        <v>0</v>
      </c>
      <c r="O72" s="383" t="n">
        <f aca="false">IF(11&lt;5,0,IF(MAX(J40:O40)&gt;O45+1+$B$18,1,0))</f>
        <v>0</v>
      </c>
      <c r="P72" s="383" t="n">
        <f aca="false">IF(12&lt;5,0,IF(MAX(K40:P40)&gt;P45+1+$B$18,1,0))</f>
        <v>0</v>
      </c>
      <c r="Q72" s="383" t="n">
        <f aca="false">IF(13&lt;5,0,IF(MAX(L40:Q40)&gt;Q45+1+$B$18,1,0))</f>
        <v>0</v>
      </c>
      <c r="R72" s="383" t="n">
        <f aca="false">IF(14&lt;5,0,IF(MAX(M40:R40)&gt;R45+1+$B$18,1,0))</f>
        <v>0</v>
      </c>
      <c r="S72" s="383" t="n">
        <f aca="false">IF(15&lt;5,0,IF(MAX(N40:S40)&gt;S45+1+$B$18,1,0))</f>
        <v>0</v>
      </c>
      <c r="T72" s="383" t="n">
        <f aca="false">IF(16&lt;5,0,IF(MAX(O40:T40)&gt;T45+1+$B$18,1,0))</f>
        <v>0</v>
      </c>
      <c r="U72" s="383" t="n">
        <f aca="false">IF(17&lt;5,0,IF(MAX(P40:U40)&gt;U45+1+$B$18,1,0))</f>
        <v>0</v>
      </c>
      <c r="V72" s="383" t="n">
        <f aca="false">IF(18&lt;5,0,IF(MAX(Q40:V40)&gt;V45+1+$B$18,1,0))</f>
        <v>0</v>
      </c>
      <c r="W72" s="383" t="n">
        <f aca="false">IF(19&lt;5,0,IF(MAX(R40:W40)&gt;W45+1+$B$18,1,0))</f>
        <v>0</v>
      </c>
      <c r="X72" s="383" t="n">
        <f aca="false">IF(20&lt;5,0,IF(MAX(S40:X40)&gt;X45+1+$B$18,1,0))</f>
        <v>0</v>
      </c>
      <c r="Y72" s="383" t="n">
        <f aca="false">IF(21&lt;5,0,IF(MAX(T40:Y40)&gt;Y45+1+$B$18,1,0))</f>
        <v>0</v>
      </c>
      <c r="Z72" s="383" t="n">
        <f aca="false">IF(22&lt;5,0,IF(MAX(U40:Z40)&gt;Z45+1+$B$18,1,0))</f>
        <v>0</v>
      </c>
      <c r="AA72" s="383" t="n">
        <f aca="false">IF(23&lt;5,0,IF(MAX(V40:AA40)&gt;AA45+1+$B$18,1,0))</f>
        <v>0</v>
      </c>
      <c r="AB72" s="383" t="n">
        <f aca="false">IF(24&lt;5,0,IF(MAX(W40:AB40)&gt;AB45+1+$B$18,1,0))</f>
        <v>0</v>
      </c>
      <c r="AC72" s="383" t="n">
        <f aca="false">IF(25&lt;5,0,IF(MAX(X40:AC40)&gt;AC45+1+$B$18,1,0))</f>
        <v>0</v>
      </c>
      <c r="AD72" s="383" t="n">
        <f aca="false">IF(26&lt;5,0,IF(MAX(Y40:AD40)&gt;AD45+1+$B$18,1,0))</f>
        <v>0</v>
      </c>
      <c r="AE72" s="383" t="n">
        <f aca="false">IF(27&lt;5,0,IF(MAX(Z40:AE40)&gt;AE45+1+$B$18,1,0))</f>
        <v>0</v>
      </c>
      <c r="AF72" s="383" t="n">
        <f aca="false">IF(28&lt;5,0,IF(MAX(AA40:AF40)&gt;AF45+1+$B$18,1,0))</f>
        <v>0</v>
      </c>
      <c r="AG72" s="383" t="n">
        <f aca="false">IF(29&lt;5,0,IF(MAX(AB40:AG40)&gt;AG45+1+$B$18,1,0))</f>
        <v>0</v>
      </c>
      <c r="AH72" s="383" t="n">
        <f aca="false">IF(30&lt;5,0,IF(MAX(AC40:AH40)&gt;AH45+1+$B$18,1,0))</f>
        <v>0</v>
      </c>
      <c r="AI72" s="383" t="n">
        <f aca="false">IF(31&lt;5,0,IF(MAX(AD40:AI40)&gt;AI45+1+$B$18,1,0))</f>
        <v>0</v>
      </c>
      <c r="AJ72" s="383" t="n">
        <f aca="false">IF(32&lt;5,0,IF(MAX(AE40:AJ40)&gt;AJ45+1+$B$18,1,0))</f>
        <v>0</v>
      </c>
      <c r="AK72" s="383" t="n">
        <f aca="false">IF(33&lt;5,0,IF(MAX(AF40:AK40)&gt;AK45+1+$B$18,1,0))</f>
        <v>0</v>
      </c>
      <c r="AL72" s="383" t="n">
        <f aca="false">IF(34&lt;5,0,IF(MAX(AG40:AL40)&gt;AL45+1+$B$18,1,0))</f>
        <v>0</v>
      </c>
      <c r="AM72" s="383" t="n">
        <f aca="false">IF(35&lt;5,0,IF(MAX(AH40:AM40)&gt;AM45+1+$B$18,1,0))</f>
        <v>0</v>
      </c>
      <c r="AN72" s="383" t="n">
        <f aca="false">IF(36&lt;5,0,IF(MAX(AI40:AN40)&gt;AN45+1+$B$18,1,0))</f>
        <v>0</v>
      </c>
      <c r="AO72" s="383" t="n">
        <f aca="false">IF(37&lt;5,0,IF(MAX(AJ40:AO40)&gt;AO45+1+$B$18,1,0))</f>
        <v>0</v>
      </c>
      <c r="AP72" s="383" t="n">
        <f aca="false">IF(38&lt;5,0,IF(MAX(AK40:AP40)&gt;AP45+1+$B$18,1,0))</f>
        <v>0</v>
      </c>
      <c r="AQ72" s="383" t="n">
        <f aca="false">IF(39&lt;5,0,IF(MAX(AL40:AQ40)&gt;AQ45+1+$B$18,1,0))</f>
        <v>0</v>
      </c>
      <c r="AR72" s="383" t="n">
        <f aca="false">IF(40&lt;5,0,IF(MAX(AM40:AR40)&gt;AR45+1+$B$18,1,0))</f>
        <v>0</v>
      </c>
      <c r="AS72" s="383" t="n">
        <f aca="false">IF(41&lt;5,0,IF(MAX(AN40:AS40)&gt;AS45+1+$B$18,1,0))</f>
        <v>0</v>
      </c>
      <c r="AT72" s="383" t="n">
        <f aca="false">IF(42&lt;5,0,IF(MAX(AO40:AT40)&gt;AT45+1+$B$18,1,0))</f>
        <v>0</v>
      </c>
      <c r="AU72" s="383" t="n">
        <f aca="false">IF(43&lt;5,0,IF(MAX(AP40:AU40)&gt;AU45+1+$B$18,1,0))</f>
        <v>0</v>
      </c>
      <c r="AV72" s="383" t="n">
        <f aca="false">IF(44&lt;5,0,IF(MAX(AQ40:AV40)&gt;AV45+1+$B$18,1,0))</f>
        <v>0</v>
      </c>
      <c r="AW72" s="383" t="n">
        <f aca="false">IF(45&lt;5,0,IF(MAX(AR40:AW40)&gt;AW45+1+$B$18,1,0))</f>
        <v>0</v>
      </c>
      <c r="AX72" s="383" t="n">
        <f aca="false">IF(46&lt;5,0,IF(MAX(AS40:AX40)&gt;AX45+1+$B$18,1,0))</f>
        <v>0</v>
      </c>
      <c r="AY72" s="383" t="n">
        <f aca="false">IF(47&lt;5,0,IF(MAX(AT40:AY40)&gt;AY45+1+$B$18,1,0))</f>
        <v>0</v>
      </c>
      <c r="AZ72" s="383" t="n">
        <f aca="false">IF(48&lt;5,0,IF(MAX(AU40:AZ40)&gt;AZ45+1+$B$18,1,0))</f>
        <v>0</v>
      </c>
      <c r="BA72" s="383" t="n">
        <f aca="false">IF(49&lt;5,0,IF(MAX(AV40:BA40)&gt;BA45+1+$B$18,1,0))</f>
        <v>0</v>
      </c>
      <c r="BB72" s="383" t="n">
        <f aca="false">IF(50&lt;5,0,IF(MAX(AW40:BB40)&gt;BB45+1+$B$18,1,0))</f>
        <v>0</v>
      </c>
      <c r="BC72" s="383" t="n">
        <f aca="false">IF(51&lt;5,0,IF(MAX(AX40:BC40)&gt;BC45+1+$B$18,1,0))</f>
        <v>0</v>
      </c>
      <c r="BD72" s="383" t="n">
        <f aca="false">IF(52&lt;5,0,IF(MAX(AY40:BD40)&gt;BD45+1+$B$18,1,0))</f>
        <v>0</v>
      </c>
      <c r="BE72" s="383" t="n">
        <f aca="false">IF(53&lt;5,0,IF(MAX(AZ40:BE40)&gt;BE45+1+$B$18,1,0))</f>
        <v>0</v>
      </c>
      <c r="BF72" s="383" t="n">
        <f aca="false">IF(54&lt;5,0,IF(MAX(BA40:BF40)&gt;BF45+1+$B$18,1,0))</f>
        <v>0</v>
      </c>
      <c r="BG72" s="383" t="n">
        <f aca="false">IF(55&lt;5,0,IF(MAX(BB40:BG40)&gt;BG45+1+$B$18,1,0))</f>
        <v>0</v>
      </c>
      <c r="BH72" s="383" t="n">
        <f aca="false">IF(56&lt;5,0,IF(MAX(BC40:BH40)&gt;BH45+1+$B$18,1,0))</f>
        <v>0</v>
      </c>
      <c r="BI72" s="383" t="n">
        <f aca="false">IF(57&lt;5,0,IF(MAX(BD40:BI40)&gt;BI45+1+$B$18,1,0))</f>
        <v>0</v>
      </c>
      <c r="BJ72" s="383" t="n">
        <f aca="false">IF(58&lt;5,0,IF(MAX(BE40:BJ40)&gt;BJ45+1+$B$18,1,0))</f>
        <v>0</v>
      </c>
      <c r="BK72" s="383" t="n">
        <f aca="false">IF(59&lt;5,0,IF(MAX(BF40:BK40)&gt;BK45+1+$B$18,1,0))</f>
        <v>0</v>
      </c>
      <c r="BL72" s="383" t="n">
        <f aca="false">IF(60&lt;5,0,IF(MAX(BG40:BL40)&gt;BL45+1+$B$18,1,0))</f>
        <v>0</v>
      </c>
      <c r="BM72" s="383" t="n">
        <f aca="false">IF(61&lt;5,0,IF(MAX(BH40:BM40)&gt;BM45+1+$B$18,1,0))</f>
        <v>0</v>
      </c>
      <c r="BN72" s="383" t="n">
        <f aca="false">IF(62&lt;5,0,IF(MAX(BI40:BN40)&gt;BN45+1+$B$18,1,0))</f>
        <v>0</v>
      </c>
      <c r="BO72" s="383" t="n">
        <f aca="false">IF(63&lt;5,0,IF(MAX(BJ40:BO40)&gt;BO45+1+$B$18,1,0))</f>
        <v>0</v>
      </c>
      <c r="BP72" s="383" t="n">
        <f aca="false">IF(64&lt;5,0,IF(MAX(BK40:BP40)&gt;BP45+1+$B$18,1,0))</f>
        <v>0</v>
      </c>
      <c r="BQ72" s="383" t="n">
        <f aca="false">IF(65&lt;5,0,IF(MAX(BL40:BQ40)&gt;BQ45+1+$B$18,1,0))</f>
        <v>0</v>
      </c>
      <c r="BR72" s="383" t="n">
        <f aca="false">IF(66&lt;5,0,IF(MAX(BM40:BR40)&gt;BR45+1+$B$18,1,0))</f>
        <v>0</v>
      </c>
      <c r="BS72" s="383" t="n">
        <f aca="false">IF(67&lt;5,0,IF(MAX(BN40:BS40)&gt;BS45+1+$B$18,1,0))</f>
        <v>0</v>
      </c>
      <c r="BT72" s="383" t="n">
        <f aca="false">IF(68&lt;5,0,IF(MAX(BO40:BT40)&gt;BT45+1+$B$18,1,0))</f>
        <v>0</v>
      </c>
      <c r="BU72" s="383" t="n">
        <f aca="false">IF(69&lt;5,0,IF(MAX(BP40:BU40)&gt;BU45+1+$B$18,1,0))</f>
        <v>0</v>
      </c>
      <c r="BV72" s="383" t="n">
        <f aca="false">IF(70&lt;5,0,IF(MAX(BQ40:BV40)&gt;BV45+1+$B$18,1,0))</f>
        <v>0</v>
      </c>
      <c r="BW72" s="383" t="n">
        <f aca="false">IF(71&lt;5,0,IF(MAX(BR40:BW40)&gt;BW45+1+$B$18,1,0))</f>
        <v>0</v>
      </c>
      <c r="BX72" s="383" t="n">
        <f aca="false">IF(72&lt;5,0,IF(MAX(BS40:BX40)&gt;BX45+1+$B$18,1,0))</f>
        <v>0</v>
      </c>
      <c r="BY72" s="383" t="n">
        <f aca="false">IF(73&lt;5,0,IF(MAX(BT40:BY40)&gt;BY45+1+$B$18,1,0))</f>
        <v>0</v>
      </c>
      <c r="BZ72" s="383" t="n">
        <f aca="false">IF(74&lt;5,0,IF(MAX(BU40:BZ40)&gt;BZ45+1+$B$18,1,0))</f>
        <v>0</v>
      </c>
      <c r="CA72" s="383" t="n">
        <f aca="false">IF(75&lt;5,0,IF(MAX(BV40:CA40)&gt;CA45+1+$B$18,1,0))</f>
        <v>0</v>
      </c>
      <c r="CB72" s="383" t="n">
        <f aca="false">IF(76&lt;5,0,IF(MAX(BW40:CB40)&gt;CB45+1+$B$18,1,0))</f>
        <v>0</v>
      </c>
      <c r="CC72" s="383" t="n">
        <f aca="false">IF(77&lt;5,0,IF(MAX(BX40:CC40)&gt;CC45+1+$B$18,1,0))</f>
        <v>0</v>
      </c>
      <c r="CD72" s="383" t="n">
        <f aca="false">IF(78&lt;5,0,IF(MAX(BY40:CD40)&gt;CD45+1+$B$18,1,0))</f>
        <v>0</v>
      </c>
      <c r="CE72" s="383" t="n">
        <f aca="false">IF(79&lt;5,0,IF(MAX(BZ40:CE40)&gt;CE45+1+$B$18,1,0))</f>
        <v>0</v>
      </c>
      <c r="CF72" s="383" t="n">
        <f aca="false">IF(80&lt;5,0,IF(MAX(CA40:CF40)&gt;CF45+1+$B$18,1,0))</f>
        <v>0</v>
      </c>
      <c r="CG72" s="383" t="n">
        <f aca="false">IF(81&lt;5,0,IF(MAX(CB40:CG40)&gt;CG45+1+$B$18,1,0))</f>
        <v>0</v>
      </c>
      <c r="CH72" s="383" t="n">
        <f aca="false">IF(82&lt;5,0,IF(MAX(CC40:CH40)&gt;CH45+1+$B$18,1,0))</f>
        <v>0</v>
      </c>
      <c r="CI72" s="383" t="n">
        <f aca="false">IF(83&lt;5,0,IF(MAX(CD40:CI40)&gt;CI45+1+$B$18,1,0))</f>
        <v>0</v>
      </c>
      <c r="CJ72" s="383" t="n">
        <f aca="false">IF(84&lt;5,0,IF(MAX(CE40:CJ40)&gt;CJ45+1+$B$18,1,0))</f>
        <v>0</v>
      </c>
      <c r="CK72" s="383" t="n">
        <f aca="false">IF(85&lt;5,0,IF(MAX(CF40:CK40)&gt;CK45+1+$B$18,1,0))</f>
        <v>0</v>
      </c>
      <c r="CL72" s="383" t="n">
        <f aca="false">IF(86&lt;5,0,IF(MAX(CG40:CL40)&gt;CL45+1+$B$18,1,0))</f>
        <v>0</v>
      </c>
      <c r="CM72" s="383" t="n">
        <f aca="false">IF(87&lt;5,0,IF(MAX(CH40:CM40)&gt;CM45+1+$B$18,1,0))</f>
        <v>0</v>
      </c>
      <c r="CN72" s="383" t="n">
        <f aca="false">IF(88&lt;5,0,IF(MAX(CI40:CN40)&gt;CN45+1+$B$18,1,0))</f>
        <v>0</v>
      </c>
      <c r="CO72" s="383" t="n">
        <f aca="false">IF(89&lt;5,0,IF(MAX(CJ40:CO40)&gt;CO45+1+$B$18,1,0))</f>
        <v>0</v>
      </c>
      <c r="CP72" s="383" t="n">
        <f aca="false">IF(90&lt;5,0,IF(MAX(CK40:CP40)&gt;CP45+1+$B$18,1,0))</f>
        <v>0</v>
      </c>
      <c r="CQ72" s="383" t="n">
        <f aca="false">IF(91&lt;5,0,IF(MAX(CL40:CQ40)&gt;CQ45+1+$B$18,1,0))</f>
        <v>0</v>
      </c>
      <c r="CR72" s="383" t="n">
        <f aca="false">IF(92&lt;5,0,IF(MAX(CM40:CR40)&gt;CR45+1+$B$18,1,0))</f>
        <v>0</v>
      </c>
      <c r="CS72" s="383" t="n">
        <f aca="false">IF(93&lt;5,0,IF(MAX(CN40:CS40)&gt;CS45+1+$B$18,1,0))</f>
        <v>0</v>
      </c>
      <c r="CT72" s="383" t="n">
        <f aca="false">IF(94&lt;5,0,IF(MAX(CO40:CT40)&gt;CT45+1+$B$18,1,0))</f>
        <v>0</v>
      </c>
      <c r="CU72" s="383" t="n">
        <f aca="false">IF(95&lt;5,0,IF(MAX(CP40:CU40)&gt;CU45+1+$B$18,1,0))</f>
        <v>0</v>
      </c>
      <c r="CV72" s="383" t="n">
        <f aca="false">IF(96&lt;5,0,IF(MAX(CQ40:CV40)&gt;CV45+1+$B$18,1,0))</f>
        <v>0</v>
      </c>
      <c r="CW72" s="383" t="n">
        <f aca="false">IF(97&lt;5,0,IF(MAX(CR40:CW40)&gt;CW45+1+$B$18,1,0))</f>
        <v>0</v>
      </c>
      <c r="CX72" s="383" t="n">
        <f aca="false">IF(98&lt;5,0,IF(MAX(CS40:CX40)&gt;CX45+1+$B$18,1,0))</f>
        <v>0</v>
      </c>
      <c r="CY72" s="383" t="n">
        <f aca="false">IF(99&lt;5,0,IF(MAX(CT40:CY40)&gt;CY45+1+$B$18,1,0))</f>
        <v>0</v>
      </c>
      <c r="CZ72" s="383" t="n">
        <f aca="false">IF(100&lt;5,0,IF(MAX(CU40:CZ40)&gt;CZ45+1+$B$18,1,0))</f>
        <v>0</v>
      </c>
      <c r="DA72" s="383" t="n">
        <f aca="false">IF(101&lt;5,0,IF(MAX(CV40:DA40)&gt;DA45+1+$B$18,1,0))</f>
        <v>0</v>
      </c>
      <c r="DB72" s="383" t="n">
        <f aca="false">IF(102&lt;5,0,IF(MAX(CW40:DB40)&gt;DB45+1+$B$18,1,0))</f>
        <v>0</v>
      </c>
      <c r="DC72" s="383" t="n">
        <f aca="false">IF(103&lt;5,0,IF(MAX(CX40:DC40)&gt;DC45+1+$B$18,1,0))</f>
        <v>0</v>
      </c>
      <c r="DD72" s="383" t="n">
        <f aca="false">IF(104&lt;5,0,IF(MAX(CY40:DD40)&gt;DD45+1+$B$18,1,0))</f>
        <v>0</v>
      </c>
      <c r="DE72" s="383" t="n">
        <f aca="false">IF(105&lt;5,0,IF(MAX(CZ40:DE40)&gt;DE45+1+$B$18,1,0))</f>
        <v>0</v>
      </c>
    </row>
    <row r="73" customFormat="false" ht="13.5" hidden="false" customHeight="true" outlineLevel="0" collapsed="false">
      <c r="A73" s="110" t="s">
        <v>1397</v>
      </c>
      <c r="B73" s="211" t="n">
        <f aca="false">$B$29</f>
        <v>180000</v>
      </c>
      <c r="E73" s="383" t="n">
        <f aca="false">IF(1&lt;5,0,IF(MAX(E40:E40)&gt;E45+2+$B$18,1,0))</f>
        <v>0</v>
      </c>
      <c r="F73" s="383" t="n">
        <f aca="false">IF(2&lt;5,0,IF(MAX(E40:F40)&gt;F45+2+$B$18,1,0))</f>
        <v>0</v>
      </c>
      <c r="G73" s="383" t="n">
        <f aca="false">IF(3&lt;5,0,IF(MAX(E40:G40)&gt;G45+2+$B$18,1,0))</f>
        <v>0</v>
      </c>
      <c r="H73" s="383" t="n">
        <f aca="false">IF(4&lt;5,0,IF(MAX(E40:H40)&gt;H45+2+$B$18,1,0))</f>
        <v>0</v>
      </c>
      <c r="I73" s="383" t="n">
        <f aca="false">IF(5&lt;5,0,IF(MAX(E40:I40)&gt;I45+2+$B$18,1,0))</f>
        <v>0</v>
      </c>
      <c r="J73" s="383" t="n">
        <f aca="false">IF(6&lt;5,0,IF(MAX(E40:J40)&gt;J45+2+$B$18,1,0))</f>
        <v>0</v>
      </c>
      <c r="K73" s="383" t="n">
        <f aca="false">IF(7&lt;5,0,IF(MAX(F40:K40)&gt;K45+2+$B$18,1,0))</f>
        <v>0</v>
      </c>
      <c r="L73" s="383" t="n">
        <f aca="false">IF(8&lt;5,0,IF(MAX(G40:L40)&gt;L45+2+$B$18,1,0))</f>
        <v>0</v>
      </c>
      <c r="M73" s="383" t="n">
        <f aca="false">IF(9&lt;5,0,IF(MAX(H40:M40)&gt;M45+2+$B$18,1,0))</f>
        <v>0</v>
      </c>
      <c r="N73" s="383" t="n">
        <f aca="false">IF(10&lt;5,0,IF(MAX(I40:N40)&gt;N45+2+$B$18,1,0))</f>
        <v>0</v>
      </c>
      <c r="O73" s="383" t="n">
        <f aca="false">IF(11&lt;5,0,IF(MAX(J40:O40)&gt;O45+2+$B$18,1,0))</f>
        <v>0</v>
      </c>
      <c r="P73" s="383" t="n">
        <f aca="false">IF(12&lt;5,0,IF(MAX(K40:P40)&gt;P45+2+$B$18,1,0))</f>
        <v>0</v>
      </c>
      <c r="Q73" s="383" t="n">
        <f aca="false">IF(13&lt;5,0,IF(MAX(L40:Q40)&gt;Q45+2+$B$18,1,0))</f>
        <v>0</v>
      </c>
      <c r="R73" s="383" t="n">
        <f aca="false">IF(14&lt;5,0,IF(MAX(M40:R40)&gt;R45+2+$B$18,1,0))</f>
        <v>0</v>
      </c>
      <c r="S73" s="383" t="n">
        <f aca="false">IF(15&lt;5,0,IF(MAX(N40:S40)&gt;S45+2+$B$18,1,0))</f>
        <v>0</v>
      </c>
      <c r="T73" s="383" t="n">
        <f aca="false">IF(16&lt;5,0,IF(MAX(O40:T40)&gt;T45+2+$B$18,1,0))</f>
        <v>0</v>
      </c>
      <c r="U73" s="383" t="n">
        <f aca="false">IF(17&lt;5,0,IF(MAX(P40:U40)&gt;U45+2+$B$18,1,0))</f>
        <v>0</v>
      </c>
      <c r="V73" s="383" t="n">
        <f aca="false">IF(18&lt;5,0,IF(MAX(Q40:V40)&gt;V45+2+$B$18,1,0))</f>
        <v>0</v>
      </c>
      <c r="W73" s="383" t="n">
        <f aca="false">IF(19&lt;5,0,IF(MAX(R40:W40)&gt;W45+2+$B$18,1,0))</f>
        <v>0</v>
      </c>
      <c r="X73" s="383" t="n">
        <f aca="false">IF(20&lt;5,0,IF(MAX(S40:X40)&gt;X45+2+$B$18,1,0))</f>
        <v>0</v>
      </c>
      <c r="Y73" s="383" t="n">
        <f aca="false">IF(21&lt;5,0,IF(MAX(T40:Y40)&gt;Y45+2+$B$18,1,0))</f>
        <v>0</v>
      </c>
      <c r="Z73" s="383" t="n">
        <f aca="false">IF(22&lt;5,0,IF(MAX(U40:Z40)&gt;Z45+2+$B$18,1,0))</f>
        <v>0</v>
      </c>
      <c r="AA73" s="383" t="n">
        <f aca="false">IF(23&lt;5,0,IF(MAX(V40:AA40)&gt;AA45+2+$B$18,1,0))</f>
        <v>0</v>
      </c>
      <c r="AB73" s="383" t="n">
        <f aca="false">IF(24&lt;5,0,IF(MAX(W40:AB40)&gt;AB45+2+$B$18,1,0))</f>
        <v>0</v>
      </c>
      <c r="AC73" s="383" t="n">
        <f aca="false">IF(25&lt;5,0,IF(MAX(X40:AC40)&gt;AC45+2+$B$18,1,0))</f>
        <v>0</v>
      </c>
      <c r="AD73" s="383" t="n">
        <f aca="false">IF(26&lt;5,0,IF(MAX(Y40:AD40)&gt;AD45+2+$B$18,1,0))</f>
        <v>0</v>
      </c>
      <c r="AE73" s="383" t="n">
        <f aca="false">IF(27&lt;5,0,IF(MAX(Z40:AE40)&gt;AE45+2+$B$18,1,0))</f>
        <v>0</v>
      </c>
      <c r="AF73" s="383" t="n">
        <f aca="false">IF(28&lt;5,0,IF(MAX(AA40:AF40)&gt;AF45+2+$B$18,1,0))</f>
        <v>0</v>
      </c>
      <c r="AG73" s="383" t="n">
        <f aca="false">IF(29&lt;5,0,IF(MAX(AB40:AG40)&gt;AG45+2+$B$18,1,0))</f>
        <v>0</v>
      </c>
      <c r="AH73" s="383" t="n">
        <f aca="false">IF(30&lt;5,0,IF(MAX(AC40:AH40)&gt;AH45+2+$B$18,1,0))</f>
        <v>0</v>
      </c>
      <c r="AI73" s="383" t="n">
        <f aca="false">IF(31&lt;5,0,IF(MAX(AD40:AI40)&gt;AI45+2+$B$18,1,0))</f>
        <v>0</v>
      </c>
      <c r="AJ73" s="383" t="n">
        <f aca="false">IF(32&lt;5,0,IF(MAX(AE40:AJ40)&gt;AJ45+2+$B$18,1,0))</f>
        <v>0</v>
      </c>
      <c r="AK73" s="383" t="n">
        <f aca="false">IF(33&lt;5,0,IF(MAX(AF40:AK40)&gt;AK45+2+$B$18,1,0))</f>
        <v>0</v>
      </c>
      <c r="AL73" s="383" t="n">
        <f aca="false">IF(34&lt;5,0,IF(MAX(AG40:AL40)&gt;AL45+2+$B$18,1,0))</f>
        <v>0</v>
      </c>
      <c r="AM73" s="383" t="n">
        <f aca="false">IF(35&lt;5,0,IF(MAX(AH40:AM40)&gt;AM45+2+$B$18,1,0))</f>
        <v>0</v>
      </c>
      <c r="AN73" s="383" t="n">
        <f aca="false">IF(36&lt;5,0,IF(MAX(AI40:AN40)&gt;AN45+2+$B$18,1,0))</f>
        <v>0</v>
      </c>
      <c r="AO73" s="383" t="n">
        <f aca="false">IF(37&lt;5,0,IF(MAX(AJ40:AO40)&gt;AO45+2+$B$18,1,0))</f>
        <v>0</v>
      </c>
      <c r="AP73" s="383" t="n">
        <f aca="false">IF(38&lt;5,0,IF(MAX(AK40:AP40)&gt;AP45+2+$B$18,1,0))</f>
        <v>0</v>
      </c>
      <c r="AQ73" s="383" t="n">
        <f aca="false">IF(39&lt;5,0,IF(MAX(AL40:AQ40)&gt;AQ45+2+$B$18,1,0))</f>
        <v>0</v>
      </c>
      <c r="AR73" s="383" t="n">
        <f aca="false">IF(40&lt;5,0,IF(MAX(AM40:AR40)&gt;AR45+2+$B$18,1,0))</f>
        <v>0</v>
      </c>
      <c r="AS73" s="383" t="n">
        <f aca="false">IF(41&lt;5,0,IF(MAX(AN40:AS40)&gt;AS45+2+$B$18,1,0))</f>
        <v>0</v>
      </c>
      <c r="AT73" s="383" t="n">
        <f aca="false">IF(42&lt;5,0,IF(MAX(AO40:AT40)&gt;AT45+2+$B$18,1,0))</f>
        <v>0</v>
      </c>
      <c r="AU73" s="383" t="n">
        <f aca="false">IF(43&lt;5,0,IF(MAX(AP40:AU40)&gt;AU45+2+$B$18,1,0))</f>
        <v>0</v>
      </c>
      <c r="AV73" s="383" t="n">
        <f aca="false">IF(44&lt;5,0,IF(MAX(AQ40:AV40)&gt;AV45+2+$B$18,1,0))</f>
        <v>0</v>
      </c>
      <c r="AW73" s="383" t="n">
        <f aca="false">IF(45&lt;5,0,IF(MAX(AR40:AW40)&gt;AW45+2+$B$18,1,0))</f>
        <v>0</v>
      </c>
      <c r="AX73" s="383" t="n">
        <f aca="false">IF(46&lt;5,0,IF(MAX(AS40:AX40)&gt;AX45+2+$B$18,1,0))</f>
        <v>0</v>
      </c>
      <c r="AY73" s="383" t="n">
        <f aca="false">IF(47&lt;5,0,IF(MAX(AT40:AY40)&gt;AY45+2+$B$18,1,0))</f>
        <v>0</v>
      </c>
      <c r="AZ73" s="383" t="n">
        <f aca="false">IF(48&lt;5,0,IF(MAX(AU40:AZ40)&gt;AZ45+2+$B$18,1,0))</f>
        <v>0</v>
      </c>
      <c r="BA73" s="383" t="n">
        <f aca="false">IF(49&lt;5,0,IF(MAX(AV40:BA40)&gt;BA45+2+$B$18,1,0))</f>
        <v>0</v>
      </c>
      <c r="BB73" s="383" t="n">
        <f aca="false">IF(50&lt;5,0,IF(MAX(AW40:BB40)&gt;BB45+2+$B$18,1,0))</f>
        <v>0</v>
      </c>
      <c r="BC73" s="383" t="n">
        <f aca="false">IF(51&lt;5,0,IF(MAX(AX40:BC40)&gt;BC45+2+$B$18,1,0))</f>
        <v>0</v>
      </c>
      <c r="BD73" s="383" t="n">
        <f aca="false">IF(52&lt;5,0,IF(MAX(AY40:BD40)&gt;BD45+2+$B$18,1,0))</f>
        <v>0</v>
      </c>
      <c r="BE73" s="383" t="n">
        <f aca="false">IF(53&lt;5,0,IF(MAX(AZ40:BE40)&gt;BE45+2+$B$18,1,0))</f>
        <v>0</v>
      </c>
      <c r="BF73" s="383" t="n">
        <f aca="false">IF(54&lt;5,0,IF(MAX(BA40:BF40)&gt;BF45+2+$B$18,1,0))</f>
        <v>0</v>
      </c>
      <c r="BG73" s="383" t="n">
        <f aca="false">IF(55&lt;5,0,IF(MAX(BB40:BG40)&gt;BG45+2+$B$18,1,0))</f>
        <v>0</v>
      </c>
      <c r="BH73" s="383" t="n">
        <f aca="false">IF(56&lt;5,0,IF(MAX(BC40:BH40)&gt;BH45+2+$B$18,1,0))</f>
        <v>0</v>
      </c>
      <c r="BI73" s="383" t="n">
        <f aca="false">IF(57&lt;5,0,IF(MAX(BD40:BI40)&gt;BI45+2+$B$18,1,0))</f>
        <v>0</v>
      </c>
      <c r="BJ73" s="383" t="n">
        <f aca="false">IF(58&lt;5,0,IF(MAX(BE40:BJ40)&gt;BJ45+2+$B$18,1,0))</f>
        <v>0</v>
      </c>
      <c r="BK73" s="383" t="n">
        <f aca="false">IF(59&lt;5,0,IF(MAX(BF40:BK40)&gt;BK45+2+$B$18,1,0))</f>
        <v>0</v>
      </c>
      <c r="BL73" s="383" t="n">
        <f aca="false">IF(60&lt;5,0,IF(MAX(BG40:BL40)&gt;BL45+2+$B$18,1,0))</f>
        <v>0</v>
      </c>
      <c r="BM73" s="383" t="n">
        <f aca="false">IF(61&lt;5,0,IF(MAX(BH40:BM40)&gt;BM45+2+$B$18,1,0))</f>
        <v>0</v>
      </c>
      <c r="BN73" s="383" t="n">
        <f aca="false">IF(62&lt;5,0,IF(MAX(BI40:BN40)&gt;BN45+2+$B$18,1,0))</f>
        <v>0</v>
      </c>
      <c r="BO73" s="383" t="n">
        <f aca="false">IF(63&lt;5,0,IF(MAX(BJ40:BO40)&gt;BO45+2+$B$18,1,0))</f>
        <v>0</v>
      </c>
      <c r="BP73" s="383" t="n">
        <f aca="false">IF(64&lt;5,0,IF(MAX(BK40:BP40)&gt;BP45+2+$B$18,1,0))</f>
        <v>0</v>
      </c>
      <c r="BQ73" s="383" t="n">
        <f aca="false">IF(65&lt;5,0,IF(MAX(BL40:BQ40)&gt;BQ45+2+$B$18,1,0))</f>
        <v>0</v>
      </c>
      <c r="BR73" s="383" t="n">
        <f aca="false">IF(66&lt;5,0,IF(MAX(BM40:BR40)&gt;BR45+2+$B$18,1,0))</f>
        <v>0</v>
      </c>
      <c r="BS73" s="383" t="n">
        <f aca="false">IF(67&lt;5,0,IF(MAX(BN40:BS40)&gt;BS45+2+$B$18,1,0))</f>
        <v>0</v>
      </c>
      <c r="BT73" s="383" t="n">
        <f aca="false">IF(68&lt;5,0,IF(MAX(BO40:BT40)&gt;BT45+2+$B$18,1,0))</f>
        <v>0</v>
      </c>
      <c r="BU73" s="383" t="n">
        <f aca="false">IF(69&lt;5,0,IF(MAX(BP40:BU40)&gt;BU45+2+$B$18,1,0))</f>
        <v>0</v>
      </c>
      <c r="BV73" s="383" t="n">
        <f aca="false">IF(70&lt;5,0,IF(MAX(BQ40:BV40)&gt;BV45+2+$B$18,1,0))</f>
        <v>0</v>
      </c>
      <c r="BW73" s="383" t="n">
        <f aca="false">IF(71&lt;5,0,IF(MAX(BR40:BW40)&gt;BW45+2+$B$18,1,0))</f>
        <v>0</v>
      </c>
      <c r="BX73" s="383" t="n">
        <f aca="false">IF(72&lt;5,0,IF(MAX(BS40:BX40)&gt;BX45+2+$B$18,1,0))</f>
        <v>0</v>
      </c>
      <c r="BY73" s="383" t="n">
        <f aca="false">IF(73&lt;5,0,IF(MAX(BT40:BY40)&gt;BY45+2+$B$18,1,0))</f>
        <v>0</v>
      </c>
      <c r="BZ73" s="383" t="n">
        <f aca="false">IF(74&lt;5,0,IF(MAX(BU40:BZ40)&gt;BZ45+2+$B$18,1,0))</f>
        <v>0</v>
      </c>
      <c r="CA73" s="383" t="n">
        <f aca="false">IF(75&lt;5,0,IF(MAX(BV40:CA40)&gt;CA45+2+$B$18,1,0))</f>
        <v>0</v>
      </c>
      <c r="CB73" s="383" t="n">
        <f aca="false">IF(76&lt;5,0,IF(MAX(BW40:CB40)&gt;CB45+2+$B$18,1,0))</f>
        <v>0</v>
      </c>
      <c r="CC73" s="383" t="n">
        <f aca="false">IF(77&lt;5,0,IF(MAX(BX40:CC40)&gt;CC45+2+$B$18,1,0))</f>
        <v>0</v>
      </c>
      <c r="CD73" s="383" t="n">
        <f aca="false">IF(78&lt;5,0,IF(MAX(BY40:CD40)&gt;CD45+2+$B$18,1,0))</f>
        <v>0</v>
      </c>
      <c r="CE73" s="383" t="n">
        <f aca="false">IF(79&lt;5,0,IF(MAX(BZ40:CE40)&gt;CE45+2+$B$18,1,0))</f>
        <v>0</v>
      </c>
      <c r="CF73" s="383" t="n">
        <f aca="false">IF(80&lt;5,0,IF(MAX(CA40:CF40)&gt;CF45+2+$B$18,1,0))</f>
        <v>0</v>
      </c>
      <c r="CG73" s="383" t="n">
        <f aca="false">IF(81&lt;5,0,IF(MAX(CB40:CG40)&gt;CG45+2+$B$18,1,0))</f>
        <v>0</v>
      </c>
      <c r="CH73" s="383" t="n">
        <f aca="false">IF(82&lt;5,0,IF(MAX(CC40:CH40)&gt;CH45+2+$B$18,1,0))</f>
        <v>0</v>
      </c>
      <c r="CI73" s="383" t="n">
        <f aca="false">IF(83&lt;5,0,IF(MAX(CD40:CI40)&gt;CI45+2+$B$18,1,0))</f>
        <v>0</v>
      </c>
      <c r="CJ73" s="383" t="n">
        <f aca="false">IF(84&lt;5,0,IF(MAX(CE40:CJ40)&gt;CJ45+2+$B$18,1,0))</f>
        <v>0</v>
      </c>
      <c r="CK73" s="383" t="n">
        <f aca="false">IF(85&lt;5,0,IF(MAX(CF40:CK40)&gt;CK45+2+$B$18,1,0))</f>
        <v>0</v>
      </c>
      <c r="CL73" s="383" t="n">
        <f aca="false">IF(86&lt;5,0,IF(MAX(CG40:CL40)&gt;CL45+2+$B$18,1,0))</f>
        <v>0</v>
      </c>
      <c r="CM73" s="383" t="n">
        <f aca="false">IF(87&lt;5,0,IF(MAX(CH40:CM40)&gt;CM45+2+$B$18,1,0))</f>
        <v>0</v>
      </c>
      <c r="CN73" s="383" t="n">
        <f aca="false">IF(88&lt;5,0,IF(MAX(CI40:CN40)&gt;CN45+2+$B$18,1,0))</f>
        <v>0</v>
      </c>
      <c r="CO73" s="383" t="n">
        <f aca="false">IF(89&lt;5,0,IF(MAX(CJ40:CO40)&gt;CO45+2+$B$18,1,0))</f>
        <v>0</v>
      </c>
      <c r="CP73" s="383" t="n">
        <f aca="false">IF(90&lt;5,0,IF(MAX(CK40:CP40)&gt;CP45+2+$B$18,1,0))</f>
        <v>0</v>
      </c>
      <c r="CQ73" s="383" t="n">
        <f aca="false">IF(91&lt;5,0,IF(MAX(CL40:CQ40)&gt;CQ45+2+$B$18,1,0))</f>
        <v>0</v>
      </c>
      <c r="CR73" s="383" t="n">
        <f aca="false">IF(92&lt;5,0,IF(MAX(CM40:CR40)&gt;CR45+2+$B$18,1,0))</f>
        <v>0</v>
      </c>
      <c r="CS73" s="383" t="n">
        <f aca="false">IF(93&lt;5,0,IF(MAX(CN40:CS40)&gt;CS45+2+$B$18,1,0))</f>
        <v>0</v>
      </c>
      <c r="CT73" s="383" t="n">
        <f aca="false">IF(94&lt;5,0,IF(MAX(CO40:CT40)&gt;CT45+2+$B$18,1,0))</f>
        <v>0</v>
      </c>
      <c r="CU73" s="383" t="n">
        <f aca="false">IF(95&lt;5,0,IF(MAX(CP40:CU40)&gt;CU45+2+$B$18,1,0))</f>
        <v>0</v>
      </c>
      <c r="CV73" s="383" t="n">
        <f aca="false">IF(96&lt;5,0,IF(MAX(CQ40:CV40)&gt;CV45+2+$B$18,1,0))</f>
        <v>0</v>
      </c>
      <c r="CW73" s="383" t="n">
        <f aca="false">IF(97&lt;5,0,IF(MAX(CR40:CW40)&gt;CW45+2+$B$18,1,0))</f>
        <v>0</v>
      </c>
      <c r="CX73" s="383" t="n">
        <f aca="false">IF(98&lt;5,0,IF(MAX(CS40:CX40)&gt;CX45+2+$B$18,1,0))</f>
        <v>0</v>
      </c>
      <c r="CY73" s="383" t="n">
        <f aca="false">IF(99&lt;5,0,IF(MAX(CT40:CY40)&gt;CY45+2+$B$18,1,0))</f>
        <v>0</v>
      </c>
      <c r="CZ73" s="383" t="n">
        <f aca="false">IF(100&lt;5,0,IF(MAX(CU40:CZ40)&gt;CZ45+2+$B$18,1,0))</f>
        <v>0</v>
      </c>
      <c r="DA73" s="383" t="n">
        <f aca="false">IF(101&lt;5,0,IF(MAX(CV40:DA40)&gt;DA45+2+$B$18,1,0))</f>
        <v>0</v>
      </c>
      <c r="DB73" s="383" t="n">
        <f aca="false">IF(102&lt;5,0,IF(MAX(CW40:DB40)&gt;DB45+2+$B$18,1,0))</f>
        <v>0</v>
      </c>
      <c r="DC73" s="383" t="n">
        <f aca="false">IF(103&lt;5,0,IF(MAX(CX40:DC40)&gt;DC45+2+$B$18,1,0))</f>
        <v>0</v>
      </c>
      <c r="DD73" s="383" t="n">
        <f aca="false">IF(104&lt;5,0,IF(MAX(CY40:DD40)&gt;DD45+2+$B$18,1,0))</f>
        <v>0</v>
      </c>
      <c r="DE73" s="383" t="n">
        <f aca="false">IF(105&lt;5,0,IF(MAX(CZ40:DE40)&gt;DE45+2+$B$18,1,0))</f>
        <v>0</v>
      </c>
    </row>
    <row r="74" customFormat="false" ht="13.5" hidden="false" customHeight="true" outlineLevel="0" collapsed="false">
      <c r="A74" s="110" t="s">
        <v>1398</v>
      </c>
      <c r="B74" s="211" t="n">
        <f aca="false">$B$29</f>
        <v>180000</v>
      </c>
      <c r="E74" s="383" t="n">
        <f aca="false">IF(1&lt;5,0,IF(MAX(E40:E40)&gt;E45+3+$B$18,1,0))</f>
        <v>0</v>
      </c>
      <c r="F74" s="383" t="n">
        <f aca="false">IF(2&lt;5,0,IF(MAX(E40:F40)&gt;F45+3+$B$18,1,0))</f>
        <v>0</v>
      </c>
      <c r="G74" s="383" t="n">
        <f aca="false">IF(3&lt;5,0,IF(MAX(E40:G40)&gt;G45+3+$B$18,1,0))</f>
        <v>0</v>
      </c>
      <c r="H74" s="383" t="n">
        <f aca="false">IF(4&lt;5,0,IF(MAX(E40:H40)&gt;H45+3+$B$18,1,0))</f>
        <v>0</v>
      </c>
      <c r="I74" s="383" t="n">
        <f aca="false">IF(5&lt;5,0,IF(MAX(E40:I40)&gt;I45+3+$B$18,1,0))</f>
        <v>0</v>
      </c>
      <c r="J74" s="383" t="n">
        <f aca="false">IF(6&lt;5,0,IF(MAX(E40:J40)&gt;J45+3+$B$18,1,0))</f>
        <v>0</v>
      </c>
      <c r="K74" s="383" t="n">
        <f aca="false">IF(7&lt;5,0,IF(MAX(F40:K40)&gt;K45+3+$B$18,1,0))</f>
        <v>0</v>
      </c>
      <c r="L74" s="383" t="n">
        <f aca="false">IF(8&lt;5,0,IF(MAX(G40:L40)&gt;L45+3+$B$18,1,0))</f>
        <v>0</v>
      </c>
      <c r="M74" s="383" t="n">
        <f aca="false">IF(9&lt;5,0,IF(MAX(H40:M40)&gt;M45+3+$B$18,1,0))</f>
        <v>0</v>
      </c>
      <c r="N74" s="383" t="n">
        <f aca="false">IF(10&lt;5,0,IF(MAX(I40:N40)&gt;N45+3+$B$18,1,0))</f>
        <v>0</v>
      </c>
      <c r="O74" s="383" t="n">
        <f aca="false">IF(11&lt;5,0,IF(MAX(J40:O40)&gt;O45+3+$B$18,1,0))</f>
        <v>0</v>
      </c>
      <c r="P74" s="383" t="n">
        <f aca="false">IF(12&lt;5,0,IF(MAX(K40:P40)&gt;P45+3+$B$18,1,0))</f>
        <v>0</v>
      </c>
      <c r="Q74" s="383" t="n">
        <f aca="false">IF(13&lt;5,0,IF(MAX(L40:Q40)&gt;Q45+3+$B$18,1,0))</f>
        <v>0</v>
      </c>
      <c r="R74" s="383" t="n">
        <f aca="false">IF(14&lt;5,0,IF(MAX(M40:R40)&gt;R45+3+$B$18,1,0))</f>
        <v>0</v>
      </c>
      <c r="S74" s="383" t="n">
        <f aca="false">IF(15&lt;5,0,IF(MAX(N40:S40)&gt;S45+3+$B$18,1,0))</f>
        <v>0</v>
      </c>
      <c r="T74" s="383" t="n">
        <f aca="false">IF(16&lt;5,0,IF(MAX(O40:T40)&gt;T45+3+$B$18,1,0))</f>
        <v>0</v>
      </c>
      <c r="U74" s="383" t="n">
        <f aca="false">IF(17&lt;5,0,IF(MAX(P40:U40)&gt;U45+3+$B$18,1,0))</f>
        <v>0</v>
      </c>
      <c r="V74" s="383" t="n">
        <f aca="false">IF(18&lt;5,0,IF(MAX(Q40:V40)&gt;V45+3+$B$18,1,0))</f>
        <v>0</v>
      </c>
      <c r="W74" s="383" t="n">
        <f aca="false">IF(19&lt;5,0,IF(MAX(R40:W40)&gt;W45+3+$B$18,1,0))</f>
        <v>0</v>
      </c>
      <c r="X74" s="383" t="n">
        <f aca="false">IF(20&lt;5,0,IF(MAX(S40:X40)&gt;X45+3+$B$18,1,0))</f>
        <v>0</v>
      </c>
      <c r="Y74" s="383" t="n">
        <f aca="false">IF(21&lt;5,0,IF(MAX(T40:Y40)&gt;Y45+3+$B$18,1,0))</f>
        <v>0</v>
      </c>
      <c r="Z74" s="383" t="n">
        <f aca="false">IF(22&lt;5,0,IF(MAX(U40:Z40)&gt;Z45+3+$B$18,1,0))</f>
        <v>0</v>
      </c>
      <c r="AA74" s="383" t="n">
        <f aca="false">IF(23&lt;5,0,IF(MAX(V40:AA40)&gt;AA45+3+$B$18,1,0))</f>
        <v>0</v>
      </c>
      <c r="AB74" s="383" t="n">
        <f aca="false">IF(24&lt;5,0,IF(MAX(W40:AB40)&gt;AB45+3+$B$18,1,0))</f>
        <v>0</v>
      </c>
      <c r="AC74" s="383" t="n">
        <f aca="false">IF(25&lt;5,0,IF(MAX(X40:AC40)&gt;AC45+3+$B$18,1,0))</f>
        <v>0</v>
      </c>
      <c r="AD74" s="383" t="n">
        <f aca="false">IF(26&lt;5,0,IF(MAX(Y40:AD40)&gt;AD45+3+$B$18,1,0))</f>
        <v>0</v>
      </c>
      <c r="AE74" s="383" t="n">
        <f aca="false">IF(27&lt;5,0,IF(MAX(Z40:AE40)&gt;AE45+3+$B$18,1,0))</f>
        <v>0</v>
      </c>
      <c r="AF74" s="383" t="n">
        <f aca="false">IF(28&lt;5,0,IF(MAX(AA40:AF40)&gt;AF45+3+$B$18,1,0))</f>
        <v>0</v>
      </c>
      <c r="AG74" s="383" t="n">
        <f aca="false">IF(29&lt;5,0,IF(MAX(AB40:AG40)&gt;AG45+3+$B$18,1,0))</f>
        <v>0</v>
      </c>
      <c r="AH74" s="383" t="n">
        <f aca="false">IF(30&lt;5,0,IF(MAX(AC40:AH40)&gt;AH45+3+$B$18,1,0))</f>
        <v>0</v>
      </c>
      <c r="AI74" s="383" t="n">
        <f aca="false">IF(31&lt;5,0,IF(MAX(AD40:AI40)&gt;AI45+3+$B$18,1,0))</f>
        <v>0</v>
      </c>
      <c r="AJ74" s="383" t="n">
        <f aca="false">IF(32&lt;5,0,IF(MAX(AE40:AJ40)&gt;AJ45+3+$B$18,1,0))</f>
        <v>0</v>
      </c>
      <c r="AK74" s="383" t="n">
        <f aca="false">IF(33&lt;5,0,IF(MAX(AF40:AK40)&gt;AK45+3+$B$18,1,0))</f>
        <v>0</v>
      </c>
      <c r="AL74" s="383" t="n">
        <f aca="false">IF(34&lt;5,0,IF(MAX(AG40:AL40)&gt;AL45+3+$B$18,1,0))</f>
        <v>0</v>
      </c>
      <c r="AM74" s="383" t="n">
        <f aca="false">IF(35&lt;5,0,IF(MAX(AH40:AM40)&gt;AM45+3+$B$18,1,0))</f>
        <v>0</v>
      </c>
      <c r="AN74" s="383" t="n">
        <f aca="false">IF(36&lt;5,0,IF(MAX(AI40:AN40)&gt;AN45+3+$B$18,1,0))</f>
        <v>0</v>
      </c>
      <c r="AO74" s="383" t="n">
        <f aca="false">IF(37&lt;5,0,IF(MAX(AJ40:AO40)&gt;AO45+3+$B$18,1,0))</f>
        <v>0</v>
      </c>
      <c r="AP74" s="383" t="n">
        <f aca="false">IF(38&lt;5,0,IF(MAX(AK40:AP40)&gt;AP45+3+$B$18,1,0))</f>
        <v>0</v>
      </c>
      <c r="AQ74" s="383" t="n">
        <f aca="false">IF(39&lt;5,0,IF(MAX(AL40:AQ40)&gt;AQ45+3+$B$18,1,0))</f>
        <v>0</v>
      </c>
      <c r="AR74" s="383" t="n">
        <f aca="false">IF(40&lt;5,0,IF(MAX(AM40:AR40)&gt;AR45+3+$B$18,1,0))</f>
        <v>0</v>
      </c>
      <c r="AS74" s="383" t="n">
        <f aca="false">IF(41&lt;5,0,IF(MAX(AN40:AS40)&gt;AS45+3+$B$18,1,0))</f>
        <v>0</v>
      </c>
      <c r="AT74" s="383" t="n">
        <f aca="false">IF(42&lt;5,0,IF(MAX(AO40:AT40)&gt;AT45+3+$B$18,1,0))</f>
        <v>0</v>
      </c>
      <c r="AU74" s="383" t="n">
        <f aca="false">IF(43&lt;5,0,IF(MAX(AP40:AU40)&gt;AU45+3+$B$18,1,0))</f>
        <v>0</v>
      </c>
      <c r="AV74" s="383" t="n">
        <f aca="false">IF(44&lt;5,0,IF(MAX(AQ40:AV40)&gt;AV45+3+$B$18,1,0))</f>
        <v>0</v>
      </c>
      <c r="AW74" s="383" t="n">
        <f aca="false">IF(45&lt;5,0,IF(MAX(AR40:AW40)&gt;AW45+3+$B$18,1,0))</f>
        <v>0</v>
      </c>
      <c r="AX74" s="383" t="n">
        <f aca="false">IF(46&lt;5,0,IF(MAX(AS40:AX40)&gt;AX45+3+$B$18,1,0))</f>
        <v>0</v>
      </c>
      <c r="AY74" s="383" t="n">
        <f aca="false">IF(47&lt;5,0,IF(MAX(AT40:AY40)&gt;AY45+3+$B$18,1,0))</f>
        <v>0</v>
      </c>
      <c r="AZ74" s="383" t="n">
        <f aca="false">IF(48&lt;5,0,IF(MAX(AU40:AZ40)&gt;AZ45+3+$B$18,1,0))</f>
        <v>0</v>
      </c>
      <c r="BA74" s="383" t="n">
        <f aca="false">IF(49&lt;5,0,IF(MAX(AV40:BA40)&gt;BA45+3+$B$18,1,0))</f>
        <v>0</v>
      </c>
      <c r="BB74" s="383" t="n">
        <f aca="false">IF(50&lt;5,0,IF(MAX(AW40:BB40)&gt;BB45+3+$B$18,1,0))</f>
        <v>0</v>
      </c>
      <c r="BC74" s="383" t="n">
        <f aca="false">IF(51&lt;5,0,IF(MAX(AX40:BC40)&gt;BC45+3+$B$18,1,0))</f>
        <v>0</v>
      </c>
      <c r="BD74" s="383" t="n">
        <f aca="false">IF(52&lt;5,0,IF(MAX(AY40:BD40)&gt;BD45+3+$B$18,1,0))</f>
        <v>0</v>
      </c>
      <c r="BE74" s="383" t="n">
        <f aca="false">IF(53&lt;5,0,IF(MAX(AZ40:BE40)&gt;BE45+3+$B$18,1,0))</f>
        <v>0</v>
      </c>
      <c r="BF74" s="383" t="n">
        <f aca="false">IF(54&lt;5,0,IF(MAX(BA40:BF40)&gt;BF45+3+$B$18,1,0))</f>
        <v>0</v>
      </c>
      <c r="BG74" s="383" t="n">
        <f aca="false">IF(55&lt;5,0,IF(MAX(BB40:BG40)&gt;BG45+3+$B$18,1,0))</f>
        <v>0</v>
      </c>
      <c r="BH74" s="383" t="n">
        <f aca="false">IF(56&lt;5,0,IF(MAX(BC40:BH40)&gt;BH45+3+$B$18,1,0))</f>
        <v>0</v>
      </c>
      <c r="BI74" s="383" t="n">
        <f aca="false">IF(57&lt;5,0,IF(MAX(BD40:BI40)&gt;BI45+3+$B$18,1,0))</f>
        <v>0</v>
      </c>
      <c r="BJ74" s="383" t="n">
        <f aca="false">IF(58&lt;5,0,IF(MAX(BE40:BJ40)&gt;BJ45+3+$B$18,1,0))</f>
        <v>0</v>
      </c>
      <c r="BK74" s="383" t="n">
        <f aca="false">IF(59&lt;5,0,IF(MAX(BF40:BK40)&gt;BK45+3+$B$18,1,0))</f>
        <v>0</v>
      </c>
      <c r="BL74" s="383" t="n">
        <f aca="false">IF(60&lt;5,0,IF(MAX(BG40:BL40)&gt;BL45+3+$B$18,1,0))</f>
        <v>0</v>
      </c>
      <c r="BM74" s="383" t="n">
        <f aca="false">IF(61&lt;5,0,IF(MAX(BH40:BM40)&gt;BM45+3+$B$18,1,0))</f>
        <v>0</v>
      </c>
      <c r="BN74" s="383" t="n">
        <f aca="false">IF(62&lt;5,0,IF(MAX(BI40:BN40)&gt;BN45+3+$B$18,1,0))</f>
        <v>0</v>
      </c>
      <c r="BO74" s="383" t="n">
        <f aca="false">IF(63&lt;5,0,IF(MAX(BJ40:BO40)&gt;BO45+3+$B$18,1,0))</f>
        <v>0</v>
      </c>
      <c r="BP74" s="383" t="n">
        <f aca="false">IF(64&lt;5,0,IF(MAX(BK40:BP40)&gt;BP45+3+$B$18,1,0))</f>
        <v>0</v>
      </c>
      <c r="BQ74" s="383" t="n">
        <f aca="false">IF(65&lt;5,0,IF(MAX(BL40:BQ40)&gt;BQ45+3+$B$18,1,0))</f>
        <v>0</v>
      </c>
      <c r="BR74" s="383" t="n">
        <f aca="false">IF(66&lt;5,0,IF(MAX(BM40:BR40)&gt;BR45+3+$B$18,1,0))</f>
        <v>0</v>
      </c>
      <c r="BS74" s="383" t="n">
        <f aca="false">IF(67&lt;5,0,IF(MAX(BN40:BS40)&gt;BS45+3+$B$18,1,0))</f>
        <v>0</v>
      </c>
      <c r="BT74" s="383" t="n">
        <f aca="false">IF(68&lt;5,0,IF(MAX(BO40:BT40)&gt;BT45+3+$B$18,1,0))</f>
        <v>0</v>
      </c>
      <c r="BU74" s="383" t="n">
        <f aca="false">IF(69&lt;5,0,IF(MAX(BP40:BU40)&gt;BU45+3+$B$18,1,0))</f>
        <v>0</v>
      </c>
      <c r="BV74" s="383" t="n">
        <f aca="false">IF(70&lt;5,0,IF(MAX(BQ40:BV40)&gt;BV45+3+$B$18,1,0))</f>
        <v>0</v>
      </c>
      <c r="BW74" s="383" t="n">
        <f aca="false">IF(71&lt;5,0,IF(MAX(BR40:BW40)&gt;BW45+3+$B$18,1,0))</f>
        <v>0</v>
      </c>
      <c r="BX74" s="383" t="n">
        <f aca="false">IF(72&lt;5,0,IF(MAX(BS40:BX40)&gt;BX45+3+$B$18,1,0))</f>
        <v>0</v>
      </c>
      <c r="BY74" s="383" t="n">
        <f aca="false">IF(73&lt;5,0,IF(MAX(BT40:BY40)&gt;BY45+3+$B$18,1,0))</f>
        <v>0</v>
      </c>
      <c r="BZ74" s="383" t="n">
        <f aca="false">IF(74&lt;5,0,IF(MAX(BU40:BZ40)&gt;BZ45+3+$B$18,1,0))</f>
        <v>0</v>
      </c>
      <c r="CA74" s="383" t="n">
        <f aca="false">IF(75&lt;5,0,IF(MAX(BV40:CA40)&gt;CA45+3+$B$18,1,0))</f>
        <v>0</v>
      </c>
      <c r="CB74" s="383" t="n">
        <f aca="false">IF(76&lt;5,0,IF(MAX(BW40:CB40)&gt;CB45+3+$B$18,1,0))</f>
        <v>0</v>
      </c>
      <c r="CC74" s="383" t="n">
        <f aca="false">IF(77&lt;5,0,IF(MAX(BX40:CC40)&gt;CC45+3+$B$18,1,0))</f>
        <v>0</v>
      </c>
      <c r="CD74" s="383" t="n">
        <f aca="false">IF(78&lt;5,0,IF(MAX(BY40:CD40)&gt;CD45+3+$B$18,1,0))</f>
        <v>0</v>
      </c>
      <c r="CE74" s="383" t="n">
        <f aca="false">IF(79&lt;5,0,IF(MAX(BZ40:CE40)&gt;CE45+3+$B$18,1,0))</f>
        <v>0</v>
      </c>
      <c r="CF74" s="383" t="n">
        <f aca="false">IF(80&lt;5,0,IF(MAX(CA40:CF40)&gt;CF45+3+$B$18,1,0))</f>
        <v>0</v>
      </c>
      <c r="CG74" s="383" t="n">
        <f aca="false">IF(81&lt;5,0,IF(MAX(CB40:CG40)&gt;CG45+3+$B$18,1,0))</f>
        <v>0</v>
      </c>
      <c r="CH74" s="383" t="n">
        <f aca="false">IF(82&lt;5,0,IF(MAX(CC40:CH40)&gt;CH45+3+$B$18,1,0))</f>
        <v>0</v>
      </c>
      <c r="CI74" s="383" t="n">
        <f aca="false">IF(83&lt;5,0,IF(MAX(CD40:CI40)&gt;CI45+3+$B$18,1,0))</f>
        <v>0</v>
      </c>
      <c r="CJ74" s="383" t="n">
        <f aca="false">IF(84&lt;5,0,IF(MAX(CE40:CJ40)&gt;CJ45+3+$B$18,1,0))</f>
        <v>0</v>
      </c>
      <c r="CK74" s="383" t="n">
        <f aca="false">IF(85&lt;5,0,IF(MAX(CF40:CK40)&gt;CK45+3+$B$18,1,0))</f>
        <v>0</v>
      </c>
      <c r="CL74" s="383" t="n">
        <f aca="false">IF(86&lt;5,0,IF(MAX(CG40:CL40)&gt;CL45+3+$B$18,1,0))</f>
        <v>0</v>
      </c>
      <c r="CM74" s="383" t="n">
        <f aca="false">IF(87&lt;5,0,IF(MAX(CH40:CM40)&gt;CM45+3+$B$18,1,0))</f>
        <v>0</v>
      </c>
      <c r="CN74" s="383" t="n">
        <f aca="false">IF(88&lt;5,0,IF(MAX(CI40:CN40)&gt;CN45+3+$B$18,1,0))</f>
        <v>0</v>
      </c>
      <c r="CO74" s="383" t="n">
        <f aca="false">IF(89&lt;5,0,IF(MAX(CJ40:CO40)&gt;CO45+3+$B$18,1,0))</f>
        <v>0</v>
      </c>
      <c r="CP74" s="383" t="n">
        <f aca="false">IF(90&lt;5,0,IF(MAX(CK40:CP40)&gt;CP45+3+$B$18,1,0))</f>
        <v>0</v>
      </c>
      <c r="CQ74" s="383" t="n">
        <f aca="false">IF(91&lt;5,0,IF(MAX(CL40:CQ40)&gt;CQ45+3+$B$18,1,0))</f>
        <v>0</v>
      </c>
      <c r="CR74" s="383" t="n">
        <f aca="false">IF(92&lt;5,0,IF(MAX(CM40:CR40)&gt;CR45+3+$B$18,1,0))</f>
        <v>0</v>
      </c>
      <c r="CS74" s="383" t="n">
        <f aca="false">IF(93&lt;5,0,IF(MAX(CN40:CS40)&gt;CS45+3+$B$18,1,0))</f>
        <v>0</v>
      </c>
      <c r="CT74" s="383" t="n">
        <f aca="false">IF(94&lt;5,0,IF(MAX(CO40:CT40)&gt;CT45+3+$B$18,1,0))</f>
        <v>0</v>
      </c>
      <c r="CU74" s="383" t="n">
        <f aca="false">IF(95&lt;5,0,IF(MAX(CP40:CU40)&gt;CU45+3+$B$18,1,0))</f>
        <v>0</v>
      </c>
      <c r="CV74" s="383" t="n">
        <f aca="false">IF(96&lt;5,0,IF(MAX(CQ40:CV40)&gt;CV45+3+$B$18,1,0))</f>
        <v>0</v>
      </c>
      <c r="CW74" s="383" t="n">
        <f aca="false">IF(97&lt;5,0,IF(MAX(CR40:CW40)&gt;CW45+3+$B$18,1,0))</f>
        <v>0</v>
      </c>
      <c r="CX74" s="383" t="n">
        <f aca="false">IF(98&lt;5,0,IF(MAX(CS40:CX40)&gt;CX45+3+$B$18,1,0))</f>
        <v>0</v>
      </c>
      <c r="CY74" s="383" t="n">
        <f aca="false">IF(99&lt;5,0,IF(MAX(CT40:CY40)&gt;CY45+3+$B$18,1,0))</f>
        <v>0</v>
      </c>
      <c r="CZ74" s="383" t="n">
        <f aca="false">IF(100&lt;5,0,IF(MAX(CU40:CZ40)&gt;CZ45+3+$B$18,1,0))</f>
        <v>0</v>
      </c>
      <c r="DA74" s="383" t="n">
        <f aca="false">IF(101&lt;5,0,IF(MAX(CV40:DA40)&gt;DA45+3+$B$18,1,0))</f>
        <v>0</v>
      </c>
      <c r="DB74" s="383" t="n">
        <f aca="false">IF(102&lt;5,0,IF(MAX(CW40:DB40)&gt;DB45+3+$B$18,1,0))</f>
        <v>0</v>
      </c>
      <c r="DC74" s="383" t="n">
        <f aca="false">IF(103&lt;5,0,IF(MAX(CX40:DC40)&gt;DC45+3+$B$18,1,0))</f>
        <v>0</v>
      </c>
      <c r="DD74" s="383" t="n">
        <f aca="false">IF(104&lt;5,0,IF(MAX(CY40:DD40)&gt;DD45+3+$B$18,1,0))</f>
        <v>0</v>
      </c>
      <c r="DE74" s="383"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1399</v>
      </c>
      <c r="B77" s="211" t="n">
        <f aca="false">$B$30</f>
        <v>80000</v>
      </c>
      <c r="E77" s="383" t="n">
        <f aca="false">IF(1&lt;5,0,IF(MAX(E37:E37)&gt;=$B$22,1,0))</f>
        <v>0</v>
      </c>
      <c r="F77" s="383" t="n">
        <f aca="false">IF(2&lt;5,0,IF(MAX(E37:F37)&gt;=$B$22,1,0))</f>
        <v>0</v>
      </c>
      <c r="G77" s="383" t="n">
        <f aca="false">IF(3&lt;5,0,IF(MAX(E37:G37)&gt;=$B$22,1,0))</f>
        <v>0</v>
      </c>
      <c r="H77" s="383" t="n">
        <f aca="false">IF(4&lt;5,0,IF(MAX(E37:H37)&gt;=$B$22,1,0))</f>
        <v>0</v>
      </c>
      <c r="I77" s="383" t="n">
        <f aca="false">IF(5&lt;5,0,IF(MAX(E37:I37)&gt;=$B$22,1,0))</f>
        <v>0</v>
      </c>
      <c r="J77" s="383" t="n">
        <f aca="false">IF(6&lt;5,0,IF(MAX(E37:J37)&gt;=$B$22,1,0))</f>
        <v>0</v>
      </c>
      <c r="K77" s="383" t="n">
        <f aca="false">IF(7&lt;5,0,IF(MAX(F37:K37)&gt;=$B$22,1,0))</f>
        <v>0</v>
      </c>
      <c r="L77" s="383" t="n">
        <f aca="false">IF(8&lt;5,0,IF(MAX(G37:L37)&gt;=$B$22,1,0))</f>
        <v>0</v>
      </c>
      <c r="M77" s="383" t="n">
        <f aca="false">IF(9&lt;5,0,IF(MAX(H37:M37)&gt;=$B$22,1,0))</f>
        <v>0</v>
      </c>
      <c r="N77" s="383" t="n">
        <f aca="false">IF(10&lt;5,0,IF(MAX(I37:N37)&gt;=$B$22,1,0))</f>
        <v>0</v>
      </c>
      <c r="O77" s="383" t="n">
        <f aca="false">IF(11&lt;5,0,IF(MAX(J37:O37)&gt;=$B$22,1,0))</f>
        <v>1</v>
      </c>
      <c r="P77" s="383" t="n">
        <f aca="false">IF(12&lt;5,0,IF(MAX(K37:P37)&gt;=$B$22,1,0))</f>
        <v>1</v>
      </c>
      <c r="Q77" s="383" t="n">
        <f aca="false">IF(13&lt;5,0,IF(MAX(L37:Q37)&gt;=$B$22,1,0))</f>
        <v>1</v>
      </c>
      <c r="R77" s="383" t="n">
        <f aca="false">IF(14&lt;5,0,IF(MAX(M37:R37)&gt;=$B$22,1,0))</f>
        <v>1</v>
      </c>
      <c r="S77" s="383" t="n">
        <f aca="false">IF(15&lt;5,0,IF(MAX(N37:S37)&gt;=$B$22,1,0))</f>
        <v>1</v>
      </c>
      <c r="T77" s="383" t="n">
        <f aca="false">IF(16&lt;5,0,IF(MAX(O37:T37)&gt;=$B$22,1,0))</f>
        <v>1</v>
      </c>
      <c r="U77" s="383" t="n">
        <f aca="false">IF(17&lt;5,0,IF(MAX(P37:U37)&gt;=$B$22,1,0))</f>
        <v>1</v>
      </c>
      <c r="V77" s="383" t="n">
        <f aca="false">IF(18&lt;5,0,IF(MAX(Q37:V37)&gt;=$B$22,1,0))</f>
        <v>1</v>
      </c>
      <c r="W77" s="383" t="n">
        <f aca="false">IF(19&lt;5,0,IF(MAX(R37:W37)&gt;=$B$22,1,0))</f>
        <v>1</v>
      </c>
      <c r="X77" s="383" t="n">
        <f aca="false">IF(20&lt;5,0,IF(MAX(S37:X37)&gt;=$B$22,1,0))</f>
        <v>1</v>
      </c>
      <c r="Y77" s="383" t="n">
        <f aca="false">IF(21&lt;5,0,IF(MAX(T37:Y37)&gt;=$B$22,1,0))</f>
        <v>1</v>
      </c>
      <c r="Z77" s="383" t="n">
        <f aca="false">IF(22&lt;5,0,IF(MAX(U37:Z37)&gt;=$B$22,1,0))</f>
        <v>1</v>
      </c>
      <c r="AA77" s="383" t="n">
        <f aca="false">IF(23&lt;5,0,IF(MAX(V37:AA37)&gt;=$B$22,1,0))</f>
        <v>1</v>
      </c>
      <c r="AB77" s="383" t="n">
        <f aca="false">IF(24&lt;5,0,IF(MAX(W37:AB37)&gt;=$B$22,1,0))</f>
        <v>1</v>
      </c>
      <c r="AC77" s="383" t="n">
        <f aca="false">IF(25&lt;5,0,IF(MAX(X37:AC37)&gt;=$B$22,1,0))</f>
        <v>1</v>
      </c>
      <c r="AD77" s="383" t="n">
        <f aca="false">IF(26&lt;5,0,IF(MAX(Y37:AD37)&gt;=$B$22,1,0))</f>
        <v>1</v>
      </c>
      <c r="AE77" s="383" t="n">
        <f aca="false">IF(27&lt;5,0,IF(MAX(Z37:AE37)&gt;=$B$22,1,0))</f>
        <v>1</v>
      </c>
      <c r="AF77" s="383" t="n">
        <f aca="false">IF(28&lt;5,0,IF(MAX(AA37:AF37)&gt;=$B$22,1,0))</f>
        <v>1</v>
      </c>
      <c r="AG77" s="383" t="n">
        <f aca="false">IF(29&lt;5,0,IF(MAX(AB37:AG37)&gt;=$B$22,1,0))</f>
        <v>1</v>
      </c>
      <c r="AH77" s="383" t="n">
        <f aca="false">IF(30&lt;5,0,IF(MAX(AC37:AH37)&gt;=$B$22,1,0))</f>
        <v>1</v>
      </c>
      <c r="AI77" s="383" t="n">
        <f aca="false">IF(31&lt;5,0,IF(MAX(AD37:AI37)&gt;=$B$22,1,0))</f>
        <v>1</v>
      </c>
      <c r="AJ77" s="383" t="n">
        <f aca="false">IF(32&lt;5,0,IF(MAX(AE37:AJ37)&gt;=$B$22,1,0))</f>
        <v>1</v>
      </c>
      <c r="AK77" s="383" t="n">
        <f aca="false">IF(33&lt;5,0,IF(MAX(AF37:AK37)&gt;=$B$22,1,0))</f>
        <v>1</v>
      </c>
      <c r="AL77" s="383" t="n">
        <f aca="false">IF(34&lt;5,0,IF(MAX(AG37:AL37)&gt;=$B$22,1,0))</f>
        <v>0</v>
      </c>
      <c r="AM77" s="383" t="n">
        <f aca="false">IF(35&lt;5,0,IF(MAX(AH37:AM37)&gt;=$B$22,1,0))</f>
        <v>0</v>
      </c>
      <c r="AN77" s="383" t="n">
        <f aca="false">IF(36&lt;5,0,IF(MAX(AI37:AN37)&gt;=$B$22,1,0))</f>
        <v>0</v>
      </c>
      <c r="AO77" s="383" t="n">
        <f aca="false">IF(37&lt;5,0,IF(MAX(AJ37:AO37)&gt;=$B$22,1,0))</f>
        <v>0</v>
      </c>
      <c r="AP77" s="383" t="n">
        <f aca="false">IF(38&lt;5,0,IF(MAX(AK37:AP37)&gt;=$B$22,1,0))</f>
        <v>0</v>
      </c>
      <c r="AQ77" s="383" t="n">
        <f aca="false">IF(39&lt;5,0,IF(MAX(AL37:AQ37)&gt;=$B$22,1,0))</f>
        <v>0</v>
      </c>
      <c r="AR77" s="383" t="n">
        <f aca="false">IF(40&lt;5,0,IF(MAX(AM37:AR37)&gt;=$B$22,1,0))</f>
        <v>0</v>
      </c>
      <c r="AS77" s="383" t="n">
        <f aca="false">IF(41&lt;5,0,IF(MAX(AN37:AS37)&gt;=$B$22,1,0))</f>
        <v>0</v>
      </c>
      <c r="AT77" s="383" t="n">
        <f aca="false">IF(42&lt;5,0,IF(MAX(AO37:AT37)&gt;=$B$22,1,0))</f>
        <v>0</v>
      </c>
      <c r="AU77" s="383" t="n">
        <f aca="false">IF(43&lt;5,0,IF(MAX(AP37:AU37)&gt;=$B$22,1,0))</f>
        <v>0</v>
      </c>
      <c r="AV77" s="383" t="n">
        <f aca="false">IF(44&lt;5,0,IF(MAX(AQ37:AV37)&gt;=$B$22,1,0))</f>
        <v>0</v>
      </c>
      <c r="AW77" s="383" t="n">
        <f aca="false">IF(45&lt;5,0,IF(MAX(AR37:AW37)&gt;=$B$22,1,0))</f>
        <v>0</v>
      </c>
      <c r="AX77" s="383" t="n">
        <f aca="false">IF(46&lt;5,0,IF(MAX(AS37:AX37)&gt;=$B$22,1,0))</f>
        <v>0</v>
      </c>
      <c r="AY77" s="383" t="n">
        <f aca="false">IF(47&lt;5,0,IF(MAX(AT37:AY37)&gt;=$B$22,1,0))</f>
        <v>0</v>
      </c>
      <c r="AZ77" s="383" t="n">
        <f aca="false">IF(48&lt;5,0,IF(MAX(AU37:AZ37)&gt;=$B$22,1,0))</f>
        <v>0</v>
      </c>
      <c r="BA77" s="383" t="n">
        <f aca="false">IF(49&lt;5,0,IF(MAX(AV37:BA37)&gt;=$B$22,1,0))</f>
        <v>0</v>
      </c>
      <c r="BB77" s="383" t="n">
        <f aca="false">IF(50&lt;5,0,IF(MAX(AW37:BB37)&gt;=$B$22,1,0))</f>
        <v>0</v>
      </c>
      <c r="BC77" s="383" t="n">
        <f aca="false">IF(51&lt;5,0,IF(MAX(AX37:BC37)&gt;=$B$22,1,0))</f>
        <v>0</v>
      </c>
      <c r="BD77" s="383" t="n">
        <f aca="false">IF(52&lt;5,0,IF(MAX(AY37:BD37)&gt;=$B$22,1,0))</f>
        <v>0</v>
      </c>
      <c r="BE77" s="383" t="n">
        <f aca="false">IF(53&lt;5,0,IF(MAX(AZ37:BE37)&gt;=$B$22,1,0))</f>
        <v>0</v>
      </c>
      <c r="BF77" s="383" t="n">
        <f aca="false">IF(54&lt;5,0,IF(MAX(BA37:BF37)&gt;=$B$22,1,0))</f>
        <v>0</v>
      </c>
      <c r="BG77" s="383" t="n">
        <f aca="false">IF(55&lt;5,0,IF(MAX(BB37:BG37)&gt;=$B$22,1,0))</f>
        <v>0</v>
      </c>
      <c r="BH77" s="383" t="n">
        <f aca="false">IF(56&lt;5,0,IF(MAX(BC37:BH37)&gt;=$B$22,1,0))</f>
        <v>0</v>
      </c>
      <c r="BI77" s="383" t="n">
        <f aca="false">IF(57&lt;5,0,IF(MAX(BD37:BI37)&gt;=$B$22,1,0))</f>
        <v>0</v>
      </c>
      <c r="BJ77" s="383" t="n">
        <f aca="false">IF(58&lt;5,0,IF(MAX(BE37:BJ37)&gt;=$B$22,1,0))</f>
        <v>0</v>
      </c>
      <c r="BK77" s="383" t="n">
        <f aca="false">IF(59&lt;5,0,IF(MAX(BF37:BK37)&gt;=$B$22,1,0))</f>
        <v>0</v>
      </c>
      <c r="BL77" s="383" t="n">
        <f aca="false">IF(60&lt;5,0,IF(MAX(BG37:BL37)&gt;=$B$22,1,0))</f>
        <v>0</v>
      </c>
      <c r="BM77" s="383" t="n">
        <f aca="false">IF(61&lt;5,0,IF(MAX(BH37:BM37)&gt;=$B$22,1,0))</f>
        <v>0</v>
      </c>
      <c r="BN77" s="383" t="n">
        <f aca="false">IF(62&lt;5,0,IF(MAX(BI37:BN37)&gt;=$B$22,1,0))</f>
        <v>0</v>
      </c>
      <c r="BO77" s="383" t="n">
        <f aca="false">IF(63&lt;5,0,IF(MAX(BJ37:BO37)&gt;=$B$22,1,0))</f>
        <v>0</v>
      </c>
      <c r="BP77" s="383" t="n">
        <f aca="false">IF(64&lt;5,0,IF(MAX(BK37:BP37)&gt;=$B$22,1,0))</f>
        <v>0</v>
      </c>
      <c r="BQ77" s="383" t="n">
        <f aca="false">IF(65&lt;5,0,IF(MAX(BL37:BQ37)&gt;=$B$22,1,0))</f>
        <v>0</v>
      </c>
      <c r="BR77" s="383" t="n">
        <f aca="false">IF(66&lt;5,0,IF(MAX(BM37:BR37)&gt;=$B$22,1,0))</f>
        <v>0</v>
      </c>
      <c r="BS77" s="383" t="n">
        <f aca="false">IF(67&lt;5,0,IF(MAX(BN37:BS37)&gt;=$B$22,1,0))</f>
        <v>0</v>
      </c>
      <c r="BT77" s="383" t="n">
        <f aca="false">IF(68&lt;5,0,IF(MAX(BO37:BT37)&gt;=$B$22,1,0))</f>
        <v>0</v>
      </c>
      <c r="BU77" s="383" t="n">
        <f aca="false">IF(69&lt;5,0,IF(MAX(BP37:BU37)&gt;=$B$22,1,0))</f>
        <v>0</v>
      </c>
      <c r="BV77" s="383" t="n">
        <f aca="false">IF(70&lt;5,0,IF(MAX(BQ37:BV37)&gt;=$B$22,1,0))</f>
        <v>0</v>
      </c>
      <c r="BW77" s="383" t="n">
        <f aca="false">IF(71&lt;5,0,IF(MAX(BR37:BW37)&gt;=$B$22,1,0))</f>
        <v>0</v>
      </c>
      <c r="BX77" s="383" t="n">
        <f aca="false">IF(72&lt;5,0,IF(MAX(BS37:BX37)&gt;=$B$22,1,0))</f>
        <v>0</v>
      </c>
      <c r="BY77" s="383" t="n">
        <f aca="false">IF(73&lt;5,0,IF(MAX(BT37:BY37)&gt;=$B$22,1,0))</f>
        <v>0</v>
      </c>
      <c r="BZ77" s="383" t="n">
        <f aca="false">IF(74&lt;5,0,IF(MAX(BU37:BZ37)&gt;=$B$22,1,0))</f>
        <v>0</v>
      </c>
      <c r="CA77" s="383" t="n">
        <f aca="false">IF(75&lt;5,0,IF(MAX(BV37:CA37)&gt;=$B$22,1,0))</f>
        <v>0</v>
      </c>
      <c r="CB77" s="383" t="n">
        <f aca="false">IF(76&lt;5,0,IF(MAX(BW37:CB37)&gt;=$B$22,1,0))</f>
        <v>0</v>
      </c>
      <c r="CC77" s="383" t="n">
        <f aca="false">IF(77&lt;5,0,IF(MAX(BX37:CC37)&gt;=$B$22,1,0))</f>
        <v>0</v>
      </c>
      <c r="CD77" s="383" t="n">
        <f aca="false">IF(78&lt;5,0,IF(MAX(BY37:CD37)&gt;=$B$22,1,0))</f>
        <v>0</v>
      </c>
      <c r="CE77" s="383" t="n">
        <f aca="false">IF(79&lt;5,0,IF(MAX(BZ37:CE37)&gt;=$B$22,1,0))</f>
        <v>0</v>
      </c>
      <c r="CF77" s="383" t="n">
        <f aca="false">IF(80&lt;5,0,IF(MAX(CA37:CF37)&gt;=$B$22,1,0))</f>
        <v>0</v>
      </c>
      <c r="CG77" s="383" t="n">
        <f aca="false">IF(81&lt;5,0,IF(MAX(CB37:CG37)&gt;=$B$22,1,0))</f>
        <v>0</v>
      </c>
      <c r="CH77" s="383" t="n">
        <f aca="false">IF(82&lt;5,0,IF(MAX(CC37:CH37)&gt;=$B$22,1,0))</f>
        <v>0</v>
      </c>
      <c r="CI77" s="383" t="n">
        <f aca="false">IF(83&lt;5,0,IF(MAX(CD37:CI37)&gt;=$B$22,1,0))</f>
        <v>0</v>
      </c>
      <c r="CJ77" s="383" t="n">
        <f aca="false">IF(84&lt;5,0,IF(MAX(CE37:CJ37)&gt;=$B$22,1,0))</f>
        <v>0</v>
      </c>
      <c r="CK77" s="383" t="n">
        <f aca="false">IF(85&lt;5,0,IF(MAX(CF37:CK37)&gt;=$B$22,1,0))</f>
        <v>0</v>
      </c>
      <c r="CL77" s="383" t="n">
        <f aca="false">IF(86&lt;5,0,IF(MAX(CG37:CL37)&gt;=$B$22,1,0))</f>
        <v>0</v>
      </c>
      <c r="CM77" s="383" t="n">
        <f aca="false">IF(87&lt;5,0,IF(MAX(CH37:CM37)&gt;=$B$22,1,0))</f>
        <v>0</v>
      </c>
      <c r="CN77" s="383" t="n">
        <f aca="false">IF(88&lt;5,0,IF(MAX(CI37:CN37)&gt;=$B$22,1,0))</f>
        <v>0</v>
      </c>
      <c r="CO77" s="383" t="n">
        <f aca="false">IF(89&lt;5,0,IF(MAX(CJ37:CO37)&gt;=$B$22,1,0))</f>
        <v>0</v>
      </c>
      <c r="CP77" s="383" t="n">
        <f aca="false">IF(90&lt;5,0,IF(MAX(CK37:CP37)&gt;=$B$22,1,0))</f>
        <v>0</v>
      </c>
      <c r="CQ77" s="383" t="n">
        <f aca="false">IF(91&lt;5,0,IF(MAX(CL37:CQ37)&gt;=$B$22,1,0))</f>
        <v>0</v>
      </c>
      <c r="CR77" s="383" t="n">
        <f aca="false">IF(92&lt;5,0,IF(MAX(CM37:CR37)&gt;=$B$22,1,0))</f>
        <v>0</v>
      </c>
      <c r="CS77" s="383" t="n">
        <f aca="false">IF(93&lt;5,0,IF(MAX(CN37:CS37)&gt;=$B$22,1,0))</f>
        <v>0</v>
      </c>
      <c r="CT77" s="383" t="n">
        <f aca="false">IF(94&lt;5,0,IF(MAX(CO37:CT37)&gt;=$B$22,1,0))</f>
        <v>0</v>
      </c>
      <c r="CU77" s="383" t="n">
        <f aca="false">IF(95&lt;5,0,IF(MAX(CP37:CU37)&gt;=$B$22,1,0))</f>
        <v>0</v>
      </c>
      <c r="CV77" s="383" t="n">
        <f aca="false">IF(96&lt;5,0,IF(MAX(CQ37:CV37)&gt;=$B$22,1,0))</f>
        <v>0</v>
      </c>
      <c r="CW77" s="383" t="n">
        <f aca="false">IF(97&lt;5,0,IF(MAX(CR37:CW37)&gt;=$B$22,1,0))</f>
        <v>0</v>
      </c>
      <c r="CX77" s="383" t="n">
        <f aca="false">IF(98&lt;5,0,IF(MAX(CS37:CX37)&gt;=$B$22,1,0))</f>
        <v>0</v>
      </c>
      <c r="CY77" s="383" t="n">
        <f aca="false">IF(99&lt;5,0,IF(MAX(CT37:CY37)&gt;=$B$22,1,0))</f>
        <v>0</v>
      </c>
      <c r="CZ77" s="383" t="n">
        <f aca="false">IF(100&lt;5,0,IF(MAX(CU37:CZ37)&gt;=$B$22,1,0))</f>
        <v>0</v>
      </c>
      <c r="DA77" s="383" t="n">
        <f aca="false">IF(101&lt;5,0,IF(MAX(CV37:DA37)&gt;=$B$22,1,0))</f>
        <v>0</v>
      </c>
      <c r="DB77" s="383" t="n">
        <f aca="false">IF(102&lt;5,0,IF(MAX(CW37:DB37)&gt;=$B$22,1,0))</f>
        <v>0</v>
      </c>
      <c r="DC77" s="383" t="n">
        <f aca="false">IF(103&lt;5,0,IF(MAX(CX37:DC37)&gt;=$B$22,1,0))</f>
        <v>0</v>
      </c>
      <c r="DD77" s="383" t="n">
        <f aca="false">IF(104&lt;5,0,IF(MAX(CY37:DD37)&gt;=$B$22,1,0))</f>
        <v>0</v>
      </c>
      <c r="DE77" s="383" t="n">
        <f aca="false">IF(105&lt;5,0,IF(MAX(CZ37:DE37)&gt;=$B$22,1,0))</f>
        <v>0</v>
      </c>
    </row>
    <row r="78" customFormat="false" ht="13.5" hidden="false" customHeight="true" outlineLevel="0" collapsed="false">
      <c r="A78" s="110" t="s">
        <v>1400</v>
      </c>
      <c r="B78" s="211" t="n">
        <f aca="false">$B$30</f>
        <v>80000</v>
      </c>
      <c r="E78" s="383" t="n">
        <f aca="false">IF(1&lt;5,0,IF(MAX(E37:E37)&gt;=$B$23,1,0))</f>
        <v>0</v>
      </c>
      <c r="F78" s="383" t="n">
        <f aca="false">IF(2&lt;5,0,IF(MAX(E37:F37)&gt;=$B$23,1,0))</f>
        <v>0</v>
      </c>
      <c r="G78" s="383" t="n">
        <f aca="false">IF(3&lt;5,0,IF(MAX(E37:G37)&gt;=$B$23,1,0))</f>
        <v>0</v>
      </c>
      <c r="H78" s="383" t="n">
        <f aca="false">IF(4&lt;5,0,IF(MAX(E37:H37)&gt;=$B$23,1,0))</f>
        <v>0</v>
      </c>
      <c r="I78" s="383" t="n">
        <f aca="false">IF(5&lt;5,0,IF(MAX(E37:I37)&gt;=$B$23,1,0))</f>
        <v>0</v>
      </c>
      <c r="J78" s="383" t="n">
        <f aca="false">IF(6&lt;5,0,IF(MAX(E37:J37)&gt;=$B$23,1,0))</f>
        <v>0</v>
      </c>
      <c r="K78" s="383" t="n">
        <f aca="false">IF(7&lt;5,0,IF(MAX(F37:K37)&gt;=$B$23,1,0))</f>
        <v>0</v>
      </c>
      <c r="L78" s="383" t="n">
        <f aca="false">IF(8&lt;5,0,IF(MAX(G37:L37)&gt;=$B$23,1,0))</f>
        <v>0</v>
      </c>
      <c r="M78" s="383" t="n">
        <f aca="false">IF(9&lt;5,0,IF(MAX(H37:M37)&gt;=$B$23,1,0))</f>
        <v>0</v>
      </c>
      <c r="N78" s="383" t="n">
        <f aca="false">IF(10&lt;5,0,IF(MAX(I37:N37)&gt;=$B$23,1,0))</f>
        <v>0</v>
      </c>
      <c r="O78" s="383" t="n">
        <f aca="false">IF(11&lt;5,0,IF(MAX(J37:O37)&gt;=$B$23,1,0))</f>
        <v>0</v>
      </c>
      <c r="P78" s="383" t="n">
        <f aca="false">IF(12&lt;5,0,IF(MAX(K37:P37)&gt;=$B$23,1,0))</f>
        <v>0</v>
      </c>
      <c r="Q78" s="383" t="n">
        <f aca="false">IF(13&lt;5,0,IF(MAX(L37:Q37)&gt;=$B$23,1,0))</f>
        <v>0</v>
      </c>
      <c r="R78" s="383" t="n">
        <f aca="false">IF(14&lt;5,0,IF(MAX(M37:R37)&gt;=$B$23,1,0))</f>
        <v>1</v>
      </c>
      <c r="S78" s="383" t="n">
        <f aca="false">IF(15&lt;5,0,IF(MAX(N37:S37)&gt;=$B$23,1,0))</f>
        <v>1</v>
      </c>
      <c r="T78" s="383" t="n">
        <f aca="false">IF(16&lt;5,0,IF(MAX(O37:T37)&gt;=$B$23,1,0))</f>
        <v>1</v>
      </c>
      <c r="U78" s="383" t="n">
        <f aca="false">IF(17&lt;5,0,IF(MAX(P37:U37)&gt;=$B$23,1,0))</f>
        <v>1</v>
      </c>
      <c r="V78" s="383" t="n">
        <f aca="false">IF(18&lt;5,0,IF(MAX(Q37:V37)&gt;=$B$23,1,0))</f>
        <v>1</v>
      </c>
      <c r="W78" s="383" t="n">
        <f aca="false">IF(19&lt;5,0,IF(MAX(R37:W37)&gt;=$B$23,1,0))</f>
        <v>1</v>
      </c>
      <c r="X78" s="383" t="n">
        <f aca="false">IF(20&lt;5,0,IF(MAX(S37:X37)&gt;=$B$23,1,0))</f>
        <v>1</v>
      </c>
      <c r="Y78" s="383" t="n">
        <f aca="false">IF(21&lt;5,0,IF(MAX(T37:Y37)&gt;=$B$23,1,0))</f>
        <v>1</v>
      </c>
      <c r="Z78" s="383" t="n">
        <f aca="false">IF(22&lt;5,0,IF(MAX(U37:Z37)&gt;=$B$23,1,0))</f>
        <v>1</v>
      </c>
      <c r="AA78" s="383" t="n">
        <f aca="false">IF(23&lt;5,0,IF(MAX(V37:AA37)&gt;=$B$23,1,0))</f>
        <v>1</v>
      </c>
      <c r="AB78" s="383" t="n">
        <f aca="false">IF(24&lt;5,0,IF(MAX(W37:AB37)&gt;=$B$23,1,0))</f>
        <v>0</v>
      </c>
      <c r="AC78" s="383" t="n">
        <f aca="false">IF(25&lt;5,0,IF(MAX(X37:AC37)&gt;=$B$23,1,0))</f>
        <v>0</v>
      </c>
      <c r="AD78" s="383" t="n">
        <f aca="false">IF(26&lt;5,0,IF(MAX(Y37:AD37)&gt;=$B$23,1,0))</f>
        <v>0</v>
      </c>
      <c r="AE78" s="383" t="n">
        <f aca="false">IF(27&lt;5,0,IF(MAX(Z37:AE37)&gt;=$B$23,1,0))</f>
        <v>0</v>
      </c>
      <c r="AF78" s="383" t="n">
        <f aca="false">IF(28&lt;5,0,IF(MAX(AA37:AF37)&gt;=$B$23,1,0))</f>
        <v>0</v>
      </c>
      <c r="AG78" s="383" t="n">
        <f aca="false">IF(29&lt;5,0,IF(MAX(AB37:AG37)&gt;=$B$23,1,0))</f>
        <v>0</v>
      </c>
      <c r="AH78" s="383" t="n">
        <f aca="false">IF(30&lt;5,0,IF(MAX(AC37:AH37)&gt;=$B$23,1,0))</f>
        <v>0</v>
      </c>
      <c r="AI78" s="383" t="n">
        <f aca="false">IF(31&lt;5,0,IF(MAX(AD37:AI37)&gt;=$B$23,1,0))</f>
        <v>0</v>
      </c>
      <c r="AJ78" s="383" t="n">
        <f aca="false">IF(32&lt;5,0,IF(MAX(AE37:AJ37)&gt;=$B$23,1,0))</f>
        <v>0</v>
      </c>
      <c r="AK78" s="383" t="n">
        <f aca="false">IF(33&lt;5,0,IF(MAX(AF37:AK37)&gt;=$B$23,1,0))</f>
        <v>0</v>
      </c>
      <c r="AL78" s="383" t="n">
        <f aca="false">IF(34&lt;5,0,IF(MAX(AG37:AL37)&gt;=$B$23,1,0))</f>
        <v>0</v>
      </c>
      <c r="AM78" s="383" t="n">
        <f aca="false">IF(35&lt;5,0,IF(MAX(AH37:AM37)&gt;=$B$23,1,0))</f>
        <v>0</v>
      </c>
      <c r="AN78" s="383" t="n">
        <f aca="false">IF(36&lt;5,0,IF(MAX(AI37:AN37)&gt;=$B$23,1,0))</f>
        <v>0</v>
      </c>
      <c r="AO78" s="383" t="n">
        <f aca="false">IF(37&lt;5,0,IF(MAX(AJ37:AO37)&gt;=$B$23,1,0))</f>
        <v>0</v>
      </c>
      <c r="AP78" s="383" t="n">
        <f aca="false">IF(38&lt;5,0,IF(MAX(AK37:AP37)&gt;=$B$23,1,0))</f>
        <v>0</v>
      </c>
      <c r="AQ78" s="383" t="n">
        <f aca="false">IF(39&lt;5,0,IF(MAX(AL37:AQ37)&gt;=$B$23,1,0))</f>
        <v>0</v>
      </c>
      <c r="AR78" s="383" t="n">
        <f aca="false">IF(40&lt;5,0,IF(MAX(AM37:AR37)&gt;=$B$23,1,0))</f>
        <v>0</v>
      </c>
      <c r="AS78" s="383" t="n">
        <f aca="false">IF(41&lt;5,0,IF(MAX(AN37:AS37)&gt;=$B$23,1,0))</f>
        <v>0</v>
      </c>
      <c r="AT78" s="383" t="n">
        <f aca="false">IF(42&lt;5,0,IF(MAX(AO37:AT37)&gt;=$B$23,1,0))</f>
        <v>0</v>
      </c>
      <c r="AU78" s="383" t="n">
        <f aca="false">IF(43&lt;5,0,IF(MAX(AP37:AU37)&gt;=$B$23,1,0))</f>
        <v>0</v>
      </c>
      <c r="AV78" s="383" t="n">
        <f aca="false">IF(44&lt;5,0,IF(MAX(AQ37:AV37)&gt;=$B$23,1,0))</f>
        <v>0</v>
      </c>
      <c r="AW78" s="383" t="n">
        <f aca="false">IF(45&lt;5,0,IF(MAX(AR37:AW37)&gt;=$B$23,1,0))</f>
        <v>0</v>
      </c>
      <c r="AX78" s="383" t="n">
        <f aca="false">IF(46&lt;5,0,IF(MAX(AS37:AX37)&gt;=$B$23,1,0))</f>
        <v>0</v>
      </c>
      <c r="AY78" s="383" t="n">
        <f aca="false">IF(47&lt;5,0,IF(MAX(AT37:AY37)&gt;=$B$23,1,0))</f>
        <v>0</v>
      </c>
      <c r="AZ78" s="383" t="n">
        <f aca="false">IF(48&lt;5,0,IF(MAX(AU37:AZ37)&gt;=$B$23,1,0))</f>
        <v>0</v>
      </c>
      <c r="BA78" s="383" t="n">
        <f aca="false">IF(49&lt;5,0,IF(MAX(AV37:BA37)&gt;=$B$23,1,0))</f>
        <v>0</v>
      </c>
      <c r="BB78" s="383" t="n">
        <f aca="false">IF(50&lt;5,0,IF(MAX(AW37:BB37)&gt;=$B$23,1,0))</f>
        <v>0</v>
      </c>
      <c r="BC78" s="383" t="n">
        <f aca="false">IF(51&lt;5,0,IF(MAX(AX37:BC37)&gt;=$B$23,1,0))</f>
        <v>0</v>
      </c>
      <c r="BD78" s="383" t="n">
        <f aca="false">IF(52&lt;5,0,IF(MAX(AY37:BD37)&gt;=$B$23,1,0))</f>
        <v>0</v>
      </c>
      <c r="BE78" s="383" t="n">
        <f aca="false">IF(53&lt;5,0,IF(MAX(AZ37:BE37)&gt;=$B$23,1,0))</f>
        <v>0</v>
      </c>
      <c r="BF78" s="383" t="n">
        <f aca="false">IF(54&lt;5,0,IF(MAX(BA37:BF37)&gt;=$B$23,1,0))</f>
        <v>0</v>
      </c>
      <c r="BG78" s="383" t="n">
        <f aca="false">IF(55&lt;5,0,IF(MAX(BB37:BG37)&gt;=$B$23,1,0))</f>
        <v>0</v>
      </c>
      <c r="BH78" s="383" t="n">
        <f aca="false">IF(56&lt;5,0,IF(MAX(BC37:BH37)&gt;=$B$23,1,0))</f>
        <v>0</v>
      </c>
      <c r="BI78" s="383" t="n">
        <f aca="false">IF(57&lt;5,0,IF(MAX(BD37:BI37)&gt;=$B$23,1,0))</f>
        <v>0</v>
      </c>
      <c r="BJ78" s="383" t="n">
        <f aca="false">IF(58&lt;5,0,IF(MAX(BE37:BJ37)&gt;=$B$23,1,0))</f>
        <v>0</v>
      </c>
      <c r="BK78" s="383" t="n">
        <f aca="false">IF(59&lt;5,0,IF(MAX(BF37:BK37)&gt;=$B$23,1,0))</f>
        <v>0</v>
      </c>
      <c r="BL78" s="383" t="n">
        <f aca="false">IF(60&lt;5,0,IF(MAX(BG37:BL37)&gt;=$B$23,1,0))</f>
        <v>0</v>
      </c>
      <c r="BM78" s="383" t="n">
        <f aca="false">IF(61&lt;5,0,IF(MAX(BH37:BM37)&gt;=$B$23,1,0))</f>
        <v>0</v>
      </c>
      <c r="BN78" s="383" t="n">
        <f aca="false">IF(62&lt;5,0,IF(MAX(BI37:BN37)&gt;=$B$23,1,0))</f>
        <v>0</v>
      </c>
      <c r="BO78" s="383" t="n">
        <f aca="false">IF(63&lt;5,0,IF(MAX(BJ37:BO37)&gt;=$B$23,1,0))</f>
        <v>0</v>
      </c>
      <c r="BP78" s="383" t="n">
        <f aca="false">IF(64&lt;5,0,IF(MAX(BK37:BP37)&gt;=$B$23,1,0))</f>
        <v>0</v>
      </c>
      <c r="BQ78" s="383" t="n">
        <f aca="false">IF(65&lt;5,0,IF(MAX(BL37:BQ37)&gt;=$B$23,1,0))</f>
        <v>0</v>
      </c>
      <c r="BR78" s="383" t="n">
        <f aca="false">IF(66&lt;5,0,IF(MAX(BM37:BR37)&gt;=$B$23,1,0))</f>
        <v>0</v>
      </c>
      <c r="BS78" s="383" t="n">
        <f aca="false">IF(67&lt;5,0,IF(MAX(BN37:BS37)&gt;=$B$23,1,0))</f>
        <v>0</v>
      </c>
      <c r="BT78" s="383" t="n">
        <f aca="false">IF(68&lt;5,0,IF(MAX(BO37:BT37)&gt;=$B$23,1,0))</f>
        <v>0</v>
      </c>
      <c r="BU78" s="383" t="n">
        <f aca="false">IF(69&lt;5,0,IF(MAX(BP37:BU37)&gt;=$B$23,1,0))</f>
        <v>0</v>
      </c>
      <c r="BV78" s="383" t="n">
        <f aca="false">IF(70&lt;5,0,IF(MAX(BQ37:BV37)&gt;=$B$23,1,0))</f>
        <v>0</v>
      </c>
      <c r="BW78" s="383" t="n">
        <f aca="false">IF(71&lt;5,0,IF(MAX(BR37:BW37)&gt;=$B$23,1,0))</f>
        <v>0</v>
      </c>
      <c r="BX78" s="383" t="n">
        <f aca="false">IF(72&lt;5,0,IF(MAX(BS37:BX37)&gt;=$B$23,1,0))</f>
        <v>0</v>
      </c>
      <c r="BY78" s="383" t="n">
        <f aca="false">IF(73&lt;5,0,IF(MAX(BT37:BY37)&gt;=$B$23,1,0))</f>
        <v>0</v>
      </c>
      <c r="BZ78" s="383" t="n">
        <f aca="false">IF(74&lt;5,0,IF(MAX(BU37:BZ37)&gt;=$B$23,1,0))</f>
        <v>0</v>
      </c>
      <c r="CA78" s="383" t="n">
        <f aca="false">IF(75&lt;5,0,IF(MAX(BV37:CA37)&gt;=$B$23,1,0))</f>
        <v>0</v>
      </c>
      <c r="CB78" s="383" t="n">
        <f aca="false">IF(76&lt;5,0,IF(MAX(BW37:CB37)&gt;=$B$23,1,0))</f>
        <v>0</v>
      </c>
      <c r="CC78" s="383" t="n">
        <f aca="false">IF(77&lt;5,0,IF(MAX(BX37:CC37)&gt;=$B$23,1,0))</f>
        <v>0</v>
      </c>
      <c r="CD78" s="383" t="n">
        <f aca="false">IF(78&lt;5,0,IF(MAX(BY37:CD37)&gt;=$B$23,1,0))</f>
        <v>0</v>
      </c>
      <c r="CE78" s="383" t="n">
        <f aca="false">IF(79&lt;5,0,IF(MAX(BZ37:CE37)&gt;=$B$23,1,0))</f>
        <v>0</v>
      </c>
      <c r="CF78" s="383" t="n">
        <f aca="false">IF(80&lt;5,0,IF(MAX(CA37:CF37)&gt;=$B$23,1,0))</f>
        <v>0</v>
      </c>
      <c r="CG78" s="383" t="n">
        <f aca="false">IF(81&lt;5,0,IF(MAX(CB37:CG37)&gt;=$B$23,1,0))</f>
        <v>0</v>
      </c>
      <c r="CH78" s="383" t="n">
        <f aca="false">IF(82&lt;5,0,IF(MAX(CC37:CH37)&gt;=$B$23,1,0))</f>
        <v>0</v>
      </c>
      <c r="CI78" s="383" t="n">
        <f aca="false">IF(83&lt;5,0,IF(MAX(CD37:CI37)&gt;=$B$23,1,0))</f>
        <v>0</v>
      </c>
      <c r="CJ78" s="383" t="n">
        <f aca="false">IF(84&lt;5,0,IF(MAX(CE37:CJ37)&gt;=$B$23,1,0))</f>
        <v>0</v>
      </c>
      <c r="CK78" s="383" t="n">
        <f aca="false">IF(85&lt;5,0,IF(MAX(CF37:CK37)&gt;=$B$23,1,0))</f>
        <v>0</v>
      </c>
      <c r="CL78" s="383" t="n">
        <f aca="false">IF(86&lt;5,0,IF(MAX(CG37:CL37)&gt;=$B$23,1,0))</f>
        <v>0</v>
      </c>
      <c r="CM78" s="383" t="n">
        <f aca="false">IF(87&lt;5,0,IF(MAX(CH37:CM37)&gt;=$B$23,1,0))</f>
        <v>0</v>
      </c>
      <c r="CN78" s="383" t="n">
        <f aca="false">IF(88&lt;5,0,IF(MAX(CI37:CN37)&gt;=$B$23,1,0))</f>
        <v>0</v>
      </c>
      <c r="CO78" s="383" t="n">
        <f aca="false">IF(89&lt;5,0,IF(MAX(CJ37:CO37)&gt;=$B$23,1,0))</f>
        <v>0</v>
      </c>
      <c r="CP78" s="383" t="n">
        <f aca="false">IF(90&lt;5,0,IF(MAX(CK37:CP37)&gt;=$B$23,1,0))</f>
        <v>0</v>
      </c>
      <c r="CQ78" s="383" t="n">
        <f aca="false">IF(91&lt;5,0,IF(MAX(CL37:CQ37)&gt;=$B$23,1,0))</f>
        <v>0</v>
      </c>
      <c r="CR78" s="383" t="n">
        <f aca="false">IF(92&lt;5,0,IF(MAX(CM37:CR37)&gt;=$B$23,1,0))</f>
        <v>0</v>
      </c>
      <c r="CS78" s="383" t="n">
        <f aca="false">IF(93&lt;5,0,IF(MAX(CN37:CS37)&gt;=$B$23,1,0))</f>
        <v>0</v>
      </c>
      <c r="CT78" s="383" t="n">
        <f aca="false">IF(94&lt;5,0,IF(MAX(CO37:CT37)&gt;=$B$23,1,0))</f>
        <v>0</v>
      </c>
      <c r="CU78" s="383" t="n">
        <f aca="false">IF(95&lt;5,0,IF(MAX(CP37:CU37)&gt;=$B$23,1,0))</f>
        <v>0</v>
      </c>
      <c r="CV78" s="383" t="n">
        <f aca="false">IF(96&lt;5,0,IF(MAX(CQ37:CV37)&gt;=$B$23,1,0))</f>
        <v>0</v>
      </c>
      <c r="CW78" s="383" t="n">
        <f aca="false">IF(97&lt;5,0,IF(MAX(CR37:CW37)&gt;=$B$23,1,0))</f>
        <v>0</v>
      </c>
      <c r="CX78" s="383" t="n">
        <f aca="false">IF(98&lt;5,0,IF(MAX(CS37:CX37)&gt;=$B$23,1,0))</f>
        <v>0</v>
      </c>
      <c r="CY78" s="383" t="n">
        <f aca="false">IF(99&lt;5,0,IF(MAX(CT37:CY37)&gt;=$B$23,1,0))</f>
        <v>0</v>
      </c>
      <c r="CZ78" s="383" t="n">
        <f aca="false">IF(100&lt;5,0,IF(MAX(CU37:CZ37)&gt;=$B$23,1,0))</f>
        <v>0</v>
      </c>
      <c r="DA78" s="383" t="n">
        <f aca="false">IF(101&lt;5,0,IF(MAX(CV37:DA37)&gt;=$B$23,1,0))</f>
        <v>0</v>
      </c>
      <c r="DB78" s="383" t="n">
        <f aca="false">IF(102&lt;5,0,IF(MAX(CW37:DB37)&gt;=$B$23,1,0))</f>
        <v>0</v>
      </c>
      <c r="DC78" s="383" t="n">
        <f aca="false">IF(103&lt;5,0,IF(MAX(CX37:DC37)&gt;=$B$23,1,0))</f>
        <v>0</v>
      </c>
      <c r="DD78" s="383" t="n">
        <f aca="false">IF(104&lt;5,0,IF(MAX(CY37:DD37)&gt;=$B$23,1,0))</f>
        <v>0</v>
      </c>
      <c r="DE78" s="383" t="n">
        <f aca="false">IF(105&lt;5,0,IF(MAX(CZ37:DE37)&gt;=$B$23,1,0))</f>
        <v>0</v>
      </c>
    </row>
    <row r="80" customFormat="false" ht="13.5" hidden="false" customHeight="true" outlineLevel="0" collapsed="false">
      <c r="A80" s="209" t="s">
        <v>1401</v>
      </c>
      <c r="B80" s="210"/>
      <c r="C80" s="210"/>
      <c r="D80" s="210"/>
      <c r="E80" s="210"/>
      <c r="F80" s="210"/>
    </row>
    <row r="81" customFormat="false" ht="13.5" hidden="false" customHeight="true" outlineLevel="0" collapsed="false">
      <c r="A81" s="110" t="s">
        <v>1402</v>
      </c>
      <c r="E81" s="384" t="n">
        <f aca="false">(SUMPRODUCT($B$49:$B$58,E49:E58)+SUMPRODUCT($B$61:$B$68,E61:E68)+SUMPRODUCT($B$71:$B$74,E71:E74)+SUMPRODUCT($B$77:$B$78,E77:E78)+SUMPRODUCT($B$99:$B$104,E99:E104))/12</f>
        <v>0</v>
      </c>
      <c r="F81" s="384" t="n">
        <f aca="false">(SUMPRODUCT($B$49:$B$58,F49:F58)+SUMPRODUCT($B$61:$B$68,F61:F68)+SUMPRODUCT($B$71:$B$74,F71:F74)+SUMPRODUCT($B$77:$B$78,F77:F78)+SUMPRODUCT($B$99:$B$104,F99:F104))/12</f>
        <v>0</v>
      </c>
      <c r="G81" s="384" t="n">
        <f aca="false">(SUMPRODUCT($B$49:$B$58,G49:G58)+SUMPRODUCT($B$61:$B$68,G61:G68)+SUMPRODUCT($B$71:$B$74,G71:G74)+SUMPRODUCT($B$77:$B$78,G77:G78)+SUMPRODUCT($B$99:$B$104,G99:G104))/12</f>
        <v>0</v>
      </c>
      <c r="H81" s="384" t="n">
        <f aca="false">(SUMPRODUCT($B$49:$B$58,H49:H58)+SUMPRODUCT($B$61:$B$68,H61:H68)+SUMPRODUCT($B$71:$B$74,H71:H74)+SUMPRODUCT($B$77:$B$78,H77:H78)+SUMPRODUCT($B$99:$B$104,H99:H104))/12</f>
        <v>0</v>
      </c>
      <c r="I81" s="384" t="n">
        <f aca="false">(SUMPRODUCT($B$49:$B$58,I49:I58)+SUMPRODUCT($B$61:$B$68,I61:I68)+SUMPRODUCT($B$71:$B$74,I71:I74)+SUMPRODUCT($B$77:$B$78,I77:I78)+SUMPRODUCT($B$99:$B$104,I99:I104))/12</f>
        <v>10833.3333333333</v>
      </c>
      <c r="J81" s="384" t="n">
        <f aca="false">(SUMPRODUCT($B$49:$B$58,J49:J58)+SUMPRODUCT($B$61:$B$68,J61:J68)+SUMPRODUCT($B$71:$B$74,J71:J74)+SUMPRODUCT($B$77:$B$78,J77:J78)+SUMPRODUCT($B$99:$B$104,J99:J104))/12</f>
        <v>0</v>
      </c>
      <c r="K81" s="384" t="n">
        <f aca="false">(SUMPRODUCT($B$49:$B$58,K49:K58)+SUMPRODUCT($B$61:$B$68,K61:K68)+SUMPRODUCT($B$71:$B$74,K71:K74)+SUMPRODUCT($B$77:$B$78,K77:K78)+SUMPRODUCT($B$99:$B$104,K99:K104))/12</f>
        <v>0</v>
      </c>
      <c r="L81" s="384" t="n">
        <f aca="false">(SUMPRODUCT($B$49:$B$58,L49:L58)+SUMPRODUCT($B$61:$B$68,L61:L68)+SUMPRODUCT($B$71:$B$74,L71:L74)+SUMPRODUCT($B$77:$B$78,L77:L78)+SUMPRODUCT($B$99:$B$104,L99:L104))/12</f>
        <v>0</v>
      </c>
      <c r="M81" s="384" t="n">
        <f aca="false">(SUMPRODUCT($B$49:$B$58,M49:M58)+SUMPRODUCT($B$61:$B$68,M61:M68)+SUMPRODUCT($B$71:$B$74,M71:M74)+SUMPRODUCT($B$77:$B$78,M77:M78)+SUMPRODUCT($B$99:$B$104,M99:M104))/12</f>
        <v>23750</v>
      </c>
      <c r="N81" s="384" t="n">
        <f aca="false">(SUMPRODUCT($B$49:$B$58,N49:N58)+SUMPRODUCT($B$61:$B$68,N61:N68)+SUMPRODUCT($B$71:$B$74,N71:N74)+SUMPRODUCT($B$77:$B$78,N77:N78)+SUMPRODUCT($B$99:$B$104,N99:N104))/12</f>
        <v>47916.6666666667</v>
      </c>
      <c r="O81" s="384" t="n">
        <f aca="false">(SUMPRODUCT($B$49:$B$58,O49:O58)+SUMPRODUCT($B$61:$B$68,O61:O68)+SUMPRODUCT($B$71:$B$74,O71:O74)+SUMPRODUCT($B$77:$B$78,O77:O78)+SUMPRODUCT($B$99:$B$104,O99:O104))/12</f>
        <v>93333.3333333333</v>
      </c>
      <c r="P81" s="384" t="n">
        <f aca="false">(SUMPRODUCT($B$49:$B$58,P49:P58)+SUMPRODUCT($B$61:$B$68,P61:P68)+SUMPRODUCT($B$71:$B$74,P71:P74)+SUMPRODUCT($B$77:$B$78,P77:P78)+SUMPRODUCT($B$99:$B$104,P99:P104))/12</f>
        <v>93333.3333333333</v>
      </c>
      <c r="Q81" s="384" t="n">
        <f aca="false">(SUMPRODUCT($B$49:$B$58,Q49:Q58)+SUMPRODUCT($B$61:$B$68,Q61:Q68)+SUMPRODUCT($B$71:$B$74,Q71:Q74)+SUMPRODUCT($B$77:$B$78,Q77:Q78)+SUMPRODUCT($B$99:$B$104,Q99:Q104))/12</f>
        <v>117083.333333333</v>
      </c>
      <c r="R81" s="384" t="n">
        <f aca="false">(SUMPRODUCT($B$49:$B$58,R49:R58)+SUMPRODUCT($B$61:$B$68,R61:R68)+SUMPRODUCT($B$71:$B$74,R71:R74)+SUMPRODUCT($B$77:$B$78,R77:R78)+SUMPRODUCT($B$99:$B$104,R99:R104))/12</f>
        <v>147916.666666667</v>
      </c>
      <c r="S81" s="384" t="n">
        <f aca="false">(SUMPRODUCT($B$49:$B$58,S49:S58)+SUMPRODUCT($B$61:$B$68,S61:S68)+SUMPRODUCT($B$71:$B$74,S71:S74)+SUMPRODUCT($B$77:$B$78,S77:S78)+SUMPRODUCT($B$99:$B$104,S99:S104))/12</f>
        <v>158333.333333333</v>
      </c>
      <c r="T81" s="384" t="n">
        <f aca="false">(SUMPRODUCT($B$49:$B$58,T49:T58)+SUMPRODUCT($B$61:$B$68,T61:T68)+SUMPRODUCT($B$71:$B$74,T71:T74)+SUMPRODUCT($B$77:$B$78,T77:T78)+SUMPRODUCT($B$99:$B$104,T99:T104))/12</f>
        <v>168750</v>
      </c>
      <c r="U81" s="384" t="n">
        <f aca="false">(SUMPRODUCT($B$49:$B$58,U49:U58)+SUMPRODUCT($B$61:$B$68,U61:U68)+SUMPRODUCT($B$71:$B$74,U71:U74)+SUMPRODUCT($B$77:$B$78,U77:U78)+SUMPRODUCT($B$99:$B$104,U99:U104))/12</f>
        <v>168750</v>
      </c>
      <c r="V81" s="384" t="n">
        <f aca="false">(SUMPRODUCT($B$49:$B$58,V49:V58)+SUMPRODUCT($B$61:$B$68,V61:V68)+SUMPRODUCT($B$71:$B$74,V71:V74)+SUMPRODUCT($B$77:$B$78,V77:V78)+SUMPRODUCT($B$99:$B$104,V99:V104))/12</f>
        <v>168750</v>
      </c>
      <c r="W81" s="384" t="n">
        <f aca="false">(SUMPRODUCT($B$49:$B$58,W49:W58)+SUMPRODUCT($B$61:$B$68,W61:W68)+SUMPRODUCT($B$71:$B$74,W71:W74)+SUMPRODUCT($B$77:$B$78,W77:W78)+SUMPRODUCT($B$99:$B$104,W99:W104))/12</f>
        <v>168750</v>
      </c>
      <c r="X81" s="384" t="n">
        <f aca="false">(SUMPRODUCT($B$49:$B$58,X49:X58)+SUMPRODUCT($B$61:$B$68,X61:X68)+SUMPRODUCT($B$71:$B$74,X71:X74)+SUMPRODUCT($B$77:$B$78,X77:X78)+SUMPRODUCT($B$99:$B$104,X99:X104))/12</f>
        <v>168750</v>
      </c>
      <c r="Y81" s="384" t="n">
        <f aca="false">(SUMPRODUCT($B$49:$B$58,Y49:Y58)+SUMPRODUCT($B$61:$B$68,Y61:Y68)+SUMPRODUCT($B$71:$B$74,Y71:Y74)+SUMPRODUCT($B$77:$B$78,Y77:Y78)+SUMPRODUCT($B$99:$B$104,Y99:Y104))/12</f>
        <v>168750</v>
      </c>
      <c r="Z81" s="384" t="n">
        <f aca="false">(SUMPRODUCT($B$49:$B$58,Z49:Z58)+SUMPRODUCT($B$61:$B$68,Z61:Z68)+SUMPRODUCT($B$71:$B$74,Z71:Z74)+SUMPRODUCT($B$77:$B$78,Z77:Z78)+SUMPRODUCT($B$99:$B$104,Z99:Z104))/12</f>
        <v>158333.333333333</v>
      </c>
      <c r="AA81" s="384" t="n">
        <f aca="false">(SUMPRODUCT($B$49:$B$58,AA49:AA58)+SUMPRODUCT($B$61:$B$68,AA61:AA68)+SUMPRODUCT($B$71:$B$74,AA71:AA74)+SUMPRODUCT($B$77:$B$78,AA77:AA78)+SUMPRODUCT($B$99:$B$104,AA99:AA104))/12</f>
        <v>158333.333333333</v>
      </c>
      <c r="AB81" s="384" t="n">
        <f aca="false">(SUMPRODUCT($B$49:$B$58,AB49:AB58)+SUMPRODUCT($B$61:$B$68,AB61:AB68)+SUMPRODUCT($B$71:$B$74,AB71:AB74)+SUMPRODUCT($B$77:$B$78,AB77:AB78)+SUMPRODUCT($B$99:$B$104,AB99:AB104))/12</f>
        <v>151666.666666667</v>
      </c>
      <c r="AC81" s="384" t="n">
        <f aca="false">(SUMPRODUCT($B$49:$B$58,AC49:AC58)+SUMPRODUCT($B$61:$B$68,AC61:AC68)+SUMPRODUCT($B$71:$B$74,AC71:AC74)+SUMPRODUCT($B$77:$B$78,AC77:AC78)+SUMPRODUCT($B$99:$B$104,AC99:AC104))/12</f>
        <v>151666.666666667</v>
      </c>
      <c r="AD81" s="384" t="n">
        <f aca="false">(SUMPRODUCT($B$49:$B$58,AD49:AD58)+SUMPRODUCT($B$61:$B$68,AD61:AD68)+SUMPRODUCT($B$71:$B$74,AD71:AD74)+SUMPRODUCT($B$77:$B$78,AD77:AD78)+SUMPRODUCT($B$99:$B$104,AD99:AD104))/12</f>
        <v>127916.666666667</v>
      </c>
      <c r="AE81" s="384" t="n">
        <f aca="false">(SUMPRODUCT($B$49:$B$58,AE49:AE58)+SUMPRODUCT($B$61:$B$68,AE61:AE68)+SUMPRODUCT($B$71:$B$74,AE71:AE74)+SUMPRODUCT($B$77:$B$78,AE77:AE78)+SUMPRODUCT($B$99:$B$104,AE99:AE104))/12</f>
        <v>127916.666666667</v>
      </c>
      <c r="AF81" s="384" t="n">
        <f aca="false">(SUMPRODUCT($B$49:$B$58,AF49:AF58)+SUMPRODUCT($B$61:$B$68,AF61:AF68)+SUMPRODUCT($B$71:$B$74,AF71:AF74)+SUMPRODUCT($B$77:$B$78,AF77:AF78)+SUMPRODUCT($B$99:$B$104,AF99:AF104))/12</f>
        <v>127916.666666667</v>
      </c>
      <c r="AG81" s="384" t="n">
        <f aca="false">(SUMPRODUCT($B$49:$B$58,AG49:AG58)+SUMPRODUCT($B$61:$B$68,AG61:AG68)+SUMPRODUCT($B$71:$B$74,AG71:AG74)+SUMPRODUCT($B$77:$B$78,AG77:AG78)+SUMPRODUCT($B$99:$B$104,AG99:AG104))/12</f>
        <v>127916.666666667</v>
      </c>
      <c r="AH81" s="384" t="n">
        <f aca="false">(SUMPRODUCT($B$49:$B$58,AH49:AH58)+SUMPRODUCT($B$61:$B$68,AH61:AH68)+SUMPRODUCT($B$71:$B$74,AH71:AH74)+SUMPRODUCT($B$77:$B$78,AH77:AH78)+SUMPRODUCT($B$99:$B$104,AH99:AH104))/12</f>
        <v>114583.333333333</v>
      </c>
      <c r="AI81" s="384" t="n">
        <f aca="false">(SUMPRODUCT($B$49:$B$58,AI49:AI58)+SUMPRODUCT($B$61:$B$68,AI61:AI68)+SUMPRODUCT($B$71:$B$74,AI71:AI74)+SUMPRODUCT($B$77:$B$78,AI77:AI78)+SUMPRODUCT($B$99:$B$104,AI99:AI104))/12</f>
        <v>114583.333333333</v>
      </c>
      <c r="AJ81" s="384" t="n">
        <f aca="false">(SUMPRODUCT($B$49:$B$58,AJ49:AJ58)+SUMPRODUCT($B$61:$B$68,AJ61:AJ68)+SUMPRODUCT($B$71:$B$74,AJ71:AJ74)+SUMPRODUCT($B$77:$B$78,AJ77:AJ78)+SUMPRODUCT($B$99:$B$104,AJ99:AJ104))/12</f>
        <v>114583.333333333</v>
      </c>
      <c r="AK81" s="384" t="n">
        <f aca="false">(SUMPRODUCT($B$49:$B$58,AK49:AK58)+SUMPRODUCT($B$61:$B$68,AK61:AK68)+SUMPRODUCT($B$71:$B$74,AK71:AK74)+SUMPRODUCT($B$77:$B$78,AK77:AK78)+SUMPRODUCT($B$99:$B$104,AK99:AK104))/12</f>
        <v>114583.333333333</v>
      </c>
      <c r="AL81" s="384" t="n">
        <f aca="false">(SUMPRODUCT($B$49:$B$58,AL49:AL58)+SUMPRODUCT($B$61:$B$68,AL61:AL68)+SUMPRODUCT($B$71:$B$74,AL71:AL74)+SUMPRODUCT($B$77:$B$78,AL77:AL78)+SUMPRODUCT($B$99:$B$104,AL99:AL104))/12</f>
        <v>107916.666666667</v>
      </c>
      <c r="AM81" s="384" t="n">
        <f aca="false">(SUMPRODUCT($B$49:$B$58,AM49:AM58)+SUMPRODUCT($B$61:$B$68,AM61:AM68)+SUMPRODUCT($B$71:$B$74,AM71:AM74)+SUMPRODUCT($B$77:$B$78,AM77:AM78)+SUMPRODUCT($B$99:$B$104,AM99:AM104))/12</f>
        <v>55416.6666666667</v>
      </c>
      <c r="AN81" s="384" t="n">
        <f aca="false">(SUMPRODUCT($B$49:$B$58,AN49:AN58)+SUMPRODUCT($B$61:$B$68,AN61:AN68)+SUMPRODUCT($B$71:$B$74,AN71:AN74)+SUMPRODUCT($B$77:$B$78,AN77:AN78)+SUMPRODUCT($B$99:$B$104,AN99:AN104))/12</f>
        <v>31666.6666666667</v>
      </c>
      <c r="AO81" s="384" t="n">
        <f aca="false">(SUMPRODUCT($B$49:$B$58,AO49:AO58)+SUMPRODUCT($B$61:$B$68,AO61:AO68)+SUMPRODUCT($B$71:$B$74,AO71:AO74)+SUMPRODUCT($B$77:$B$78,AO77:AO78)+SUMPRODUCT($B$99:$B$104,AO99:AO104))/12</f>
        <v>31666.6666666667</v>
      </c>
      <c r="AP81" s="384" t="n">
        <f aca="false">(SUMPRODUCT($B$49:$B$58,AP49:AP58)+SUMPRODUCT($B$61:$B$68,AP61:AP68)+SUMPRODUCT($B$71:$B$74,AP71:AP74)+SUMPRODUCT($B$77:$B$78,AP77:AP78)+SUMPRODUCT($B$99:$B$104,AP99:AP104))/12</f>
        <v>31666.6666666667</v>
      </c>
      <c r="AQ81" s="384" t="n">
        <f aca="false">(SUMPRODUCT($B$49:$B$58,AQ49:AQ58)+SUMPRODUCT($B$61:$B$68,AQ61:AQ68)+SUMPRODUCT($B$71:$B$74,AQ71:AQ74)+SUMPRODUCT($B$77:$B$78,AQ77:AQ78)+SUMPRODUCT($B$99:$B$104,AQ99:AQ104))/12</f>
        <v>10416.6666666667</v>
      </c>
      <c r="AR81" s="384" t="n">
        <f aca="false">(SUMPRODUCT($B$49:$B$58,AR49:AR58)+SUMPRODUCT($B$61:$B$68,AR61:AR68)+SUMPRODUCT($B$71:$B$74,AR71:AR74)+SUMPRODUCT($B$77:$B$78,AR77:AR78)+SUMPRODUCT($B$99:$B$104,AR99:AR104))/12</f>
        <v>10416.6666666667</v>
      </c>
      <c r="AS81" s="384" t="n">
        <f aca="false">(SUMPRODUCT($B$49:$B$58,AS49:AS58)+SUMPRODUCT($B$61:$B$68,AS61:AS68)+SUMPRODUCT($B$71:$B$74,AS71:AS74)+SUMPRODUCT($B$77:$B$78,AS77:AS78)+SUMPRODUCT($B$99:$B$104,AS99:AS104))/12</f>
        <v>0</v>
      </c>
      <c r="AT81" s="384" t="n">
        <f aca="false">(SUMPRODUCT($B$49:$B$58,AT49:AT58)+SUMPRODUCT($B$61:$B$68,AT61:AT68)+SUMPRODUCT($B$71:$B$74,AT71:AT74)+SUMPRODUCT($B$77:$B$78,AT77:AT78)+SUMPRODUCT($B$99:$B$104,AT99:AT104))/12</f>
        <v>0</v>
      </c>
      <c r="AU81" s="384" t="n">
        <f aca="false">(SUMPRODUCT($B$49:$B$58,AU49:AU58)+SUMPRODUCT($B$61:$B$68,AU61:AU68)+SUMPRODUCT($B$71:$B$74,AU71:AU74)+SUMPRODUCT($B$77:$B$78,AU77:AU78)+SUMPRODUCT($B$99:$B$104,AU99:AU104))/12</f>
        <v>0</v>
      </c>
      <c r="AV81" s="384" t="n">
        <f aca="false">(SUMPRODUCT($B$49:$B$58,AV49:AV58)+SUMPRODUCT($B$61:$B$68,AV61:AV68)+SUMPRODUCT($B$71:$B$74,AV71:AV74)+SUMPRODUCT($B$77:$B$78,AV77:AV78)+SUMPRODUCT($B$99:$B$104,AV99:AV104))/12</f>
        <v>0</v>
      </c>
      <c r="AW81" s="384" t="n">
        <f aca="false">(SUMPRODUCT($B$49:$B$58,AW49:AW58)+SUMPRODUCT($B$61:$B$68,AW61:AW68)+SUMPRODUCT($B$71:$B$74,AW71:AW74)+SUMPRODUCT($B$77:$B$78,AW77:AW78)+SUMPRODUCT($B$99:$B$104,AW99:AW104))/12</f>
        <v>0</v>
      </c>
      <c r="AX81" s="384" t="n">
        <f aca="false">(SUMPRODUCT($B$49:$B$58,AX49:AX58)+SUMPRODUCT($B$61:$B$68,AX61:AX68)+SUMPRODUCT($B$71:$B$74,AX71:AX74)+SUMPRODUCT($B$77:$B$78,AX77:AX78)+SUMPRODUCT($B$99:$B$104,AX99:AX104))/12</f>
        <v>0</v>
      </c>
      <c r="AY81" s="384" t="n">
        <f aca="false">(SUMPRODUCT($B$49:$B$58,AY49:AY58)+SUMPRODUCT($B$61:$B$68,AY61:AY68)+SUMPRODUCT($B$71:$B$74,AY71:AY74)+SUMPRODUCT($B$77:$B$78,AY77:AY78)+SUMPRODUCT($B$99:$B$104,AY99:AY104))/12</f>
        <v>0</v>
      </c>
      <c r="AZ81" s="384" t="n">
        <f aca="false">(SUMPRODUCT($B$49:$B$58,AZ49:AZ58)+SUMPRODUCT($B$61:$B$68,AZ61:AZ68)+SUMPRODUCT($B$71:$B$74,AZ71:AZ74)+SUMPRODUCT($B$77:$B$78,AZ77:AZ78)+SUMPRODUCT($B$99:$B$104,AZ99:AZ104))/12</f>
        <v>0</v>
      </c>
      <c r="BA81" s="384" t="n">
        <f aca="false">(SUMPRODUCT($B$49:$B$58,BA49:BA58)+SUMPRODUCT($B$61:$B$68,BA61:BA68)+SUMPRODUCT($B$71:$B$74,BA71:BA74)+SUMPRODUCT($B$77:$B$78,BA77:BA78)+SUMPRODUCT($B$99:$B$104,BA99:BA104))/12</f>
        <v>0</v>
      </c>
      <c r="BB81" s="384" t="n">
        <f aca="false">(SUMPRODUCT($B$49:$B$58,BB49:BB58)+SUMPRODUCT($B$61:$B$68,BB61:BB68)+SUMPRODUCT($B$71:$B$74,BB71:BB74)+SUMPRODUCT($B$77:$B$78,BB77:BB78)+SUMPRODUCT($B$99:$B$104,BB99:BB104))/12</f>
        <v>0</v>
      </c>
      <c r="BC81" s="384" t="n">
        <f aca="false">(SUMPRODUCT($B$49:$B$58,BC49:BC58)+SUMPRODUCT($B$61:$B$68,BC61:BC68)+SUMPRODUCT($B$71:$B$74,BC71:BC74)+SUMPRODUCT($B$77:$B$78,BC77:BC78)+SUMPRODUCT($B$99:$B$104,BC99:BC104))/12</f>
        <v>0</v>
      </c>
      <c r="BD81" s="384" t="n">
        <f aca="false">(SUMPRODUCT($B$49:$B$58,BD49:BD58)+SUMPRODUCT($B$61:$B$68,BD61:BD68)+SUMPRODUCT($B$71:$B$74,BD71:BD74)+SUMPRODUCT($B$77:$B$78,BD77:BD78)+SUMPRODUCT($B$99:$B$104,BD99:BD104))/12</f>
        <v>0</v>
      </c>
      <c r="BE81" s="384" t="n">
        <f aca="false">(SUMPRODUCT($B$49:$B$58,BE49:BE58)+SUMPRODUCT($B$61:$B$68,BE61:BE68)+SUMPRODUCT($B$71:$B$74,BE71:BE74)+SUMPRODUCT($B$77:$B$78,BE77:BE78)+SUMPRODUCT($B$99:$B$104,BE99:BE104))/12</f>
        <v>0</v>
      </c>
      <c r="BF81" s="384" t="n">
        <f aca="false">(SUMPRODUCT($B$49:$B$58,BF49:BF58)+SUMPRODUCT($B$61:$B$68,BF61:BF68)+SUMPRODUCT($B$71:$B$74,BF71:BF74)+SUMPRODUCT($B$77:$B$78,BF77:BF78)+SUMPRODUCT($B$99:$B$104,BF99:BF104))/12</f>
        <v>0</v>
      </c>
      <c r="BG81" s="384" t="n">
        <f aca="false">(SUMPRODUCT($B$49:$B$58,BG49:BG58)+SUMPRODUCT($B$61:$B$68,BG61:BG68)+SUMPRODUCT($B$71:$B$74,BG71:BG74)+SUMPRODUCT($B$77:$B$78,BG77:BG78)+SUMPRODUCT($B$99:$B$104,BG99:BG104))/12</f>
        <v>0</v>
      </c>
      <c r="BH81" s="384" t="n">
        <f aca="false">(SUMPRODUCT($B$49:$B$58,BH49:BH58)+SUMPRODUCT($B$61:$B$68,BH61:BH68)+SUMPRODUCT($B$71:$B$74,BH71:BH74)+SUMPRODUCT($B$77:$B$78,BH77:BH78)+SUMPRODUCT($B$99:$B$104,BH99:BH104))/12</f>
        <v>0</v>
      </c>
      <c r="BI81" s="384" t="n">
        <f aca="false">(SUMPRODUCT($B$49:$B$58,BI49:BI58)+SUMPRODUCT($B$61:$B$68,BI61:BI68)+SUMPRODUCT($B$71:$B$74,BI71:BI74)+SUMPRODUCT($B$77:$B$78,BI77:BI78)+SUMPRODUCT($B$99:$B$104,BI99:BI104))/12</f>
        <v>0</v>
      </c>
      <c r="BJ81" s="384" t="n">
        <f aca="false">(SUMPRODUCT($B$49:$B$58,BJ49:BJ58)+SUMPRODUCT($B$61:$B$68,BJ61:BJ68)+SUMPRODUCT($B$71:$B$74,BJ71:BJ74)+SUMPRODUCT($B$77:$B$78,BJ77:BJ78)+SUMPRODUCT($B$99:$B$104,BJ99:BJ104))/12</f>
        <v>0</v>
      </c>
      <c r="BK81" s="384" t="n">
        <f aca="false">(SUMPRODUCT($B$49:$B$58,BK49:BK58)+SUMPRODUCT($B$61:$B$68,BK61:BK68)+SUMPRODUCT($B$71:$B$74,BK71:BK74)+SUMPRODUCT($B$77:$B$78,BK77:BK78)+SUMPRODUCT($B$99:$B$104,BK99:BK104))/12</f>
        <v>0</v>
      </c>
      <c r="BL81" s="384" t="n">
        <f aca="false">(SUMPRODUCT($B$49:$B$58,BL49:BL58)+SUMPRODUCT($B$61:$B$68,BL61:BL68)+SUMPRODUCT($B$71:$B$74,BL71:BL74)+SUMPRODUCT($B$77:$B$78,BL77:BL78)+SUMPRODUCT($B$99:$B$104,BL99:BL104))/12</f>
        <v>0</v>
      </c>
      <c r="BM81" s="384" t="n">
        <f aca="false">(SUMPRODUCT($B$49:$B$58,BM49:BM58)+SUMPRODUCT($B$61:$B$68,BM61:BM68)+SUMPRODUCT($B$71:$B$74,BM71:BM74)+SUMPRODUCT($B$77:$B$78,BM77:BM78)+SUMPRODUCT($B$99:$B$104,BM99:BM104))/12</f>
        <v>0</v>
      </c>
      <c r="BN81" s="384" t="n">
        <f aca="false">(SUMPRODUCT($B$49:$B$58,BN49:BN58)+SUMPRODUCT($B$61:$B$68,BN61:BN68)+SUMPRODUCT($B$71:$B$74,BN71:BN74)+SUMPRODUCT($B$77:$B$78,BN77:BN78)+SUMPRODUCT($B$99:$B$104,BN99:BN104))/12</f>
        <v>0</v>
      </c>
      <c r="BO81" s="384" t="n">
        <f aca="false">(SUMPRODUCT($B$49:$B$58,BO49:BO58)+SUMPRODUCT($B$61:$B$68,BO61:BO68)+SUMPRODUCT($B$71:$B$74,BO71:BO74)+SUMPRODUCT($B$77:$B$78,BO77:BO78)+SUMPRODUCT($B$99:$B$104,BO99:BO104))/12</f>
        <v>0</v>
      </c>
      <c r="BP81" s="384" t="n">
        <f aca="false">(SUMPRODUCT($B$49:$B$58,BP49:BP58)+SUMPRODUCT($B$61:$B$68,BP61:BP68)+SUMPRODUCT($B$71:$B$74,BP71:BP74)+SUMPRODUCT($B$77:$B$78,BP77:BP78)+SUMPRODUCT($B$99:$B$104,BP99:BP104))/12</f>
        <v>0</v>
      </c>
      <c r="BQ81" s="384" t="n">
        <f aca="false">(SUMPRODUCT($B$49:$B$58,BQ49:BQ58)+SUMPRODUCT($B$61:$B$68,BQ61:BQ68)+SUMPRODUCT($B$71:$B$74,BQ71:BQ74)+SUMPRODUCT($B$77:$B$78,BQ77:BQ78)+SUMPRODUCT($B$99:$B$104,BQ99:BQ104))/12</f>
        <v>0</v>
      </c>
      <c r="BR81" s="384" t="n">
        <f aca="false">(SUMPRODUCT($B$49:$B$58,BR49:BR58)+SUMPRODUCT($B$61:$B$68,BR61:BR68)+SUMPRODUCT($B$71:$B$74,BR71:BR74)+SUMPRODUCT($B$77:$B$78,BR77:BR78)+SUMPRODUCT($B$99:$B$104,BR99:BR104))/12</f>
        <v>0</v>
      </c>
      <c r="BS81" s="384" t="n">
        <f aca="false">(SUMPRODUCT($B$49:$B$58,BS49:BS58)+SUMPRODUCT($B$61:$B$68,BS61:BS68)+SUMPRODUCT($B$71:$B$74,BS71:BS74)+SUMPRODUCT($B$77:$B$78,BS77:BS78)+SUMPRODUCT($B$99:$B$104,BS99:BS104))/12</f>
        <v>0</v>
      </c>
      <c r="BT81" s="384" t="n">
        <f aca="false">(SUMPRODUCT($B$49:$B$58,BT49:BT58)+SUMPRODUCT($B$61:$B$68,BT61:BT68)+SUMPRODUCT($B$71:$B$74,BT71:BT74)+SUMPRODUCT($B$77:$B$78,BT77:BT78)+SUMPRODUCT($B$99:$B$104,BT99:BT104))/12</f>
        <v>0</v>
      </c>
      <c r="BU81" s="384" t="n">
        <f aca="false">(SUMPRODUCT($B$49:$B$58,BU49:BU58)+SUMPRODUCT($B$61:$B$68,BU61:BU68)+SUMPRODUCT($B$71:$B$74,BU71:BU74)+SUMPRODUCT($B$77:$B$78,BU77:BU78)+SUMPRODUCT($B$99:$B$104,BU99:BU104))/12</f>
        <v>0</v>
      </c>
      <c r="BV81" s="384" t="n">
        <f aca="false">(SUMPRODUCT($B$49:$B$58,BV49:BV58)+SUMPRODUCT($B$61:$B$68,BV61:BV68)+SUMPRODUCT($B$71:$B$74,BV71:BV74)+SUMPRODUCT($B$77:$B$78,BV77:BV78)+SUMPRODUCT($B$99:$B$104,BV99:BV104))/12</f>
        <v>0</v>
      </c>
      <c r="BW81" s="384" t="n">
        <f aca="false">(SUMPRODUCT($B$49:$B$58,BW49:BW58)+SUMPRODUCT($B$61:$B$68,BW61:BW68)+SUMPRODUCT($B$71:$B$74,BW71:BW74)+SUMPRODUCT($B$77:$B$78,BW77:BW78)+SUMPRODUCT($B$99:$B$104,BW99:BW104))/12</f>
        <v>0</v>
      </c>
      <c r="BX81" s="384" t="n">
        <f aca="false">(SUMPRODUCT($B$49:$B$58,BX49:BX58)+SUMPRODUCT($B$61:$B$68,BX61:BX68)+SUMPRODUCT($B$71:$B$74,BX71:BX74)+SUMPRODUCT($B$77:$B$78,BX77:BX78)+SUMPRODUCT($B$99:$B$104,BX99:BX104))/12</f>
        <v>0</v>
      </c>
      <c r="BY81" s="384" t="n">
        <f aca="false">(SUMPRODUCT($B$49:$B$58,BY49:BY58)+SUMPRODUCT($B$61:$B$68,BY61:BY68)+SUMPRODUCT($B$71:$B$74,BY71:BY74)+SUMPRODUCT($B$77:$B$78,BY77:BY78)+SUMPRODUCT($B$99:$B$104,BY99:BY104))/12</f>
        <v>0</v>
      </c>
      <c r="BZ81" s="384" t="n">
        <f aca="false">(SUMPRODUCT($B$49:$B$58,BZ49:BZ58)+SUMPRODUCT($B$61:$B$68,BZ61:BZ68)+SUMPRODUCT($B$71:$B$74,BZ71:BZ74)+SUMPRODUCT($B$77:$B$78,BZ77:BZ78)+SUMPRODUCT($B$99:$B$104,BZ99:BZ104))/12</f>
        <v>0</v>
      </c>
      <c r="CA81" s="384" t="n">
        <f aca="false">(SUMPRODUCT($B$49:$B$58,CA49:CA58)+SUMPRODUCT($B$61:$B$68,CA61:CA68)+SUMPRODUCT($B$71:$B$74,CA71:CA74)+SUMPRODUCT($B$77:$B$78,CA77:CA78)+SUMPRODUCT($B$99:$B$104,CA99:CA104))/12</f>
        <v>0</v>
      </c>
      <c r="CB81" s="384" t="n">
        <f aca="false">(SUMPRODUCT($B$49:$B$58,CB49:CB58)+SUMPRODUCT($B$61:$B$68,CB61:CB68)+SUMPRODUCT($B$71:$B$74,CB71:CB74)+SUMPRODUCT($B$77:$B$78,CB77:CB78)+SUMPRODUCT($B$99:$B$104,CB99:CB104))/12</f>
        <v>0</v>
      </c>
      <c r="CC81" s="384" t="n">
        <f aca="false">(SUMPRODUCT($B$49:$B$58,CC49:CC58)+SUMPRODUCT($B$61:$B$68,CC61:CC68)+SUMPRODUCT($B$71:$B$74,CC71:CC74)+SUMPRODUCT($B$77:$B$78,CC77:CC78)+SUMPRODUCT($B$99:$B$104,CC99:CC104))/12</f>
        <v>0</v>
      </c>
      <c r="CD81" s="384" t="n">
        <f aca="false">(SUMPRODUCT($B$49:$B$58,CD49:CD58)+SUMPRODUCT($B$61:$B$68,CD61:CD68)+SUMPRODUCT($B$71:$B$74,CD71:CD74)+SUMPRODUCT($B$77:$B$78,CD77:CD78)+SUMPRODUCT($B$99:$B$104,CD99:CD104))/12</f>
        <v>0</v>
      </c>
      <c r="CE81" s="384" t="n">
        <f aca="false">(SUMPRODUCT($B$49:$B$58,CE49:CE58)+SUMPRODUCT($B$61:$B$68,CE61:CE68)+SUMPRODUCT($B$71:$B$74,CE71:CE74)+SUMPRODUCT($B$77:$B$78,CE77:CE78)+SUMPRODUCT($B$99:$B$104,CE99:CE104))/12</f>
        <v>0</v>
      </c>
      <c r="CF81" s="384" t="n">
        <f aca="false">(SUMPRODUCT($B$49:$B$58,CF49:CF58)+SUMPRODUCT($B$61:$B$68,CF61:CF68)+SUMPRODUCT($B$71:$B$74,CF71:CF74)+SUMPRODUCT($B$77:$B$78,CF77:CF78)+SUMPRODUCT($B$99:$B$104,CF99:CF104))/12</f>
        <v>0</v>
      </c>
      <c r="CG81" s="384" t="n">
        <f aca="false">(SUMPRODUCT($B$49:$B$58,CG49:CG58)+SUMPRODUCT($B$61:$B$68,CG61:CG68)+SUMPRODUCT($B$71:$B$74,CG71:CG74)+SUMPRODUCT($B$77:$B$78,CG77:CG78)+SUMPRODUCT($B$99:$B$104,CG99:CG104))/12</f>
        <v>0</v>
      </c>
      <c r="CH81" s="384" t="n">
        <f aca="false">(SUMPRODUCT($B$49:$B$58,CH49:CH58)+SUMPRODUCT($B$61:$B$68,CH61:CH68)+SUMPRODUCT($B$71:$B$74,CH71:CH74)+SUMPRODUCT($B$77:$B$78,CH77:CH78)+SUMPRODUCT($B$99:$B$104,CH99:CH104))/12</f>
        <v>0</v>
      </c>
      <c r="CI81" s="384" t="n">
        <f aca="false">(SUMPRODUCT($B$49:$B$58,CI49:CI58)+SUMPRODUCT($B$61:$B$68,CI61:CI68)+SUMPRODUCT($B$71:$B$74,CI71:CI74)+SUMPRODUCT($B$77:$B$78,CI77:CI78)+SUMPRODUCT($B$99:$B$104,CI99:CI104))/12</f>
        <v>0</v>
      </c>
      <c r="CJ81" s="384" t="n">
        <f aca="false">(SUMPRODUCT($B$49:$B$58,CJ49:CJ58)+SUMPRODUCT($B$61:$B$68,CJ61:CJ68)+SUMPRODUCT($B$71:$B$74,CJ71:CJ74)+SUMPRODUCT($B$77:$B$78,CJ77:CJ78)+SUMPRODUCT($B$99:$B$104,CJ99:CJ104))/12</f>
        <v>0</v>
      </c>
      <c r="CK81" s="384" t="n">
        <f aca="false">(SUMPRODUCT($B$49:$B$58,CK49:CK58)+SUMPRODUCT($B$61:$B$68,CK61:CK68)+SUMPRODUCT($B$71:$B$74,CK71:CK74)+SUMPRODUCT($B$77:$B$78,CK77:CK78)+SUMPRODUCT($B$99:$B$104,CK99:CK104))/12</f>
        <v>0</v>
      </c>
      <c r="CL81" s="384" t="n">
        <f aca="false">(SUMPRODUCT($B$49:$B$58,CL49:CL58)+SUMPRODUCT($B$61:$B$68,CL61:CL68)+SUMPRODUCT($B$71:$B$74,CL71:CL74)+SUMPRODUCT($B$77:$B$78,CL77:CL78)+SUMPRODUCT($B$99:$B$104,CL99:CL104))/12</f>
        <v>0</v>
      </c>
      <c r="CM81" s="384" t="n">
        <f aca="false">(SUMPRODUCT($B$49:$B$58,CM49:CM58)+SUMPRODUCT($B$61:$B$68,CM61:CM68)+SUMPRODUCT($B$71:$B$74,CM71:CM74)+SUMPRODUCT($B$77:$B$78,CM77:CM78)+SUMPRODUCT($B$99:$B$104,CM99:CM104))/12</f>
        <v>0</v>
      </c>
      <c r="CN81" s="384" t="n">
        <f aca="false">(SUMPRODUCT($B$49:$B$58,CN49:CN58)+SUMPRODUCT($B$61:$B$68,CN61:CN68)+SUMPRODUCT($B$71:$B$74,CN71:CN74)+SUMPRODUCT($B$77:$B$78,CN77:CN78)+SUMPRODUCT($B$99:$B$104,CN99:CN104))/12</f>
        <v>0</v>
      </c>
      <c r="CO81" s="384" t="n">
        <f aca="false">(SUMPRODUCT($B$49:$B$58,CO49:CO58)+SUMPRODUCT($B$61:$B$68,CO61:CO68)+SUMPRODUCT($B$71:$B$74,CO71:CO74)+SUMPRODUCT($B$77:$B$78,CO77:CO78)+SUMPRODUCT($B$99:$B$104,CO99:CO104))/12</f>
        <v>0</v>
      </c>
      <c r="CP81" s="384" t="n">
        <f aca="false">(SUMPRODUCT($B$49:$B$58,CP49:CP58)+SUMPRODUCT($B$61:$B$68,CP61:CP68)+SUMPRODUCT($B$71:$B$74,CP71:CP74)+SUMPRODUCT($B$77:$B$78,CP77:CP78)+SUMPRODUCT($B$99:$B$104,CP99:CP104))/12</f>
        <v>0</v>
      </c>
      <c r="CQ81" s="384" t="n">
        <f aca="false">(SUMPRODUCT($B$49:$B$58,CQ49:CQ58)+SUMPRODUCT($B$61:$B$68,CQ61:CQ68)+SUMPRODUCT($B$71:$B$74,CQ71:CQ74)+SUMPRODUCT($B$77:$B$78,CQ77:CQ78)+SUMPRODUCT($B$99:$B$104,CQ99:CQ104))/12</f>
        <v>0</v>
      </c>
      <c r="CR81" s="384" t="n">
        <f aca="false">(SUMPRODUCT($B$49:$B$58,CR49:CR58)+SUMPRODUCT($B$61:$B$68,CR61:CR68)+SUMPRODUCT($B$71:$B$74,CR71:CR74)+SUMPRODUCT($B$77:$B$78,CR77:CR78)+SUMPRODUCT($B$99:$B$104,CR99:CR104))/12</f>
        <v>0</v>
      </c>
      <c r="CS81" s="384" t="n">
        <f aca="false">(SUMPRODUCT($B$49:$B$58,CS49:CS58)+SUMPRODUCT($B$61:$B$68,CS61:CS68)+SUMPRODUCT($B$71:$B$74,CS71:CS74)+SUMPRODUCT($B$77:$B$78,CS77:CS78)+SUMPRODUCT($B$99:$B$104,CS99:CS104))/12</f>
        <v>0</v>
      </c>
      <c r="CT81" s="384" t="n">
        <f aca="false">(SUMPRODUCT($B$49:$B$58,CT49:CT58)+SUMPRODUCT($B$61:$B$68,CT61:CT68)+SUMPRODUCT($B$71:$B$74,CT71:CT74)+SUMPRODUCT($B$77:$B$78,CT77:CT78)+SUMPRODUCT($B$99:$B$104,CT99:CT104))/12</f>
        <v>0</v>
      </c>
      <c r="CU81" s="384" t="n">
        <f aca="false">(SUMPRODUCT($B$49:$B$58,CU49:CU58)+SUMPRODUCT($B$61:$B$68,CU61:CU68)+SUMPRODUCT($B$71:$B$74,CU71:CU74)+SUMPRODUCT($B$77:$B$78,CU77:CU78)+SUMPRODUCT($B$99:$B$104,CU99:CU104))/12</f>
        <v>0</v>
      </c>
      <c r="CV81" s="384" t="n">
        <f aca="false">(SUMPRODUCT($B$49:$B$58,CV49:CV58)+SUMPRODUCT($B$61:$B$68,CV61:CV68)+SUMPRODUCT($B$71:$B$74,CV71:CV74)+SUMPRODUCT($B$77:$B$78,CV77:CV78)+SUMPRODUCT($B$99:$B$104,CV99:CV104))/12</f>
        <v>0</v>
      </c>
      <c r="CW81" s="384" t="n">
        <f aca="false">(SUMPRODUCT($B$49:$B$58,CW49:CW58)+SUMPRODUCT($B$61:$B$68,CW61:CW68)+SUMPRODUCT($B$71:$B$74,CW71:CW74)+SUMPRODUCT($B$77:$B$78,CW77:CW78)+SUMPRODUCT($B$99:$B$104,CW99:CW104))/12</f>
        <v>0</v>
      </c>
      <c r="CX81" s="384" t="n">
        <f aca="false">(SUMPRODUCT($B$49:$B$58,CX49:CX58)+SUMPRODUCT($B$61:$B$68,CX61:CX68)+SUMPRODUCT($B$71:$B$74,CX71:CX74)+SUMPRODUCT($B$77:$B$78,CX77:CX78)+SUMPRODUCT($B$99:$B$104,CX99:CX104))/12</f>
        <v>0</v>
      </c>
      <c r="CY81" s="384" t="n">
        <f aca="false">(SUMPRODUCT($B$49:$B$58,CY49:CY58)+SUMPRODUCT($B$61:$B$68,CY61:CY68)+SUMPRODUCT($B$71:$B$74,CY71:CY74)+SUMPRODUCT($B$77:$B$78,CY77:CY78)+SUMPRODUCT($B$99:$B$104,CY99:CY104))/12</f>
        <v>0</v>
      </c>
      <c r="CZ81" s="384" t="n">
        <f aca="false">(SUMPRODUCT($B$49:$B$58,CZ49:CZ58)+SUMPRODUCT($B$61:$B$68,CZ61:CZ68)+SUMPRODUCT($B$71:$B$74,CZ71:CZ74)+SUMPRODUCT($B$77:$B$78,CZ77:CZ78)+SUMPRODUCT($B$99:$B$104,CZ99:CZ104))/12</f>
        <v>0</v>
      </c>
      <c r="DA81" s="384" t="n">
        <f aca="false">(SUMPRODUCT($B$49:$B$58,DA49:DA58)+SUMPRODUCT($B$61:$B$68,DA61:DA68)+SUMPRODUCT($B$71:$B$74,DA71:DA74)+SUMPRODUCT($B$77:$B$78,DA77:DA78)+SUMPRODUCT($B$99:$B$104,DA99:DA104))/12</f>
        <v>0</v>
      </c>
      <c r="DB81" s="384" t="n">
        <f aca="false">(SUMPRODUCT($B$49:$B$58,DB49:DB58)+SUMPRODUCT($B$61:$B$68,DB61:DB68)+SUMPRODUCT($B$71:$B$74,DB71:DB74)+SUMPRODUCT($B$77:$B$78,DB77:DB78)+SUMPRODUCT($B$99:$B$104,DB99:DB104))/12</f>
        <v>0</v>
      </c>
      <c r="DC81" s="384" t="n">
        <f aca="false">(SUMPRODUCT($B$49:$B$58,DC49:DC58)+SUMPRODUCT($B$61:$B$68,DC61:DC68)+SUMPRODUCT($B$71:$B$74,DC71:DC74)+SUMPRODUCT($B$77:$B$78,DC77:DC78)+SUMPRODUCT($B$99:$B$104,DC99:DC104))/12</f>
        <v>0</v>
      </c>
      <c r="DD81" s="384" t="n">
        <f aca="false">(SUMPRODUCT($B$49:$B$58,DD49:DD58)+SUMPRODUCT($B$61:$B$68,DD61:DD68)+SUMPRODUCT($B$71:$B$74,DD71:DD74)+SUMPRODUCT($B$77:$B$78,DD77:DD78)+SUMPRODUCT($B$99:$B$104,DD99:DD104))/12</f>
        <v>0</v>
      </c>
      <c r="DE81" s="384" t="n">
        <f aca="false">(SUMPRODUCT($B$49:$B$58,DE49:DE58)+SUMPRODUCT($B$61:$B$68,DE61:DE68)+SUMPRODUCT($B$71:$B$74,DE71:DE74)+SUMPRODUCT($B$77:$B$78,DE77:DE78)+SUMPRODUCT($B$99:$B$104,DE99:DE104))/12</f>
        <v>0</v>
      </c>
    </row>
    <row r="82" customFormat="false" ht="13.5" hidden="false" customHeight="true" outlineLevel="0" collapsed="false">
      <c r="A82" s="110" t="s">
        <v>1403</v>
      </c>
      <c r="E82" s="384" t="n">
        <v>0</v>
      </c>
      <c r="F82" s="384" t="n">
        <f aca="false">(SUMPRODUCT($B$49:$B$58,(F49:F58&gt;E49:E58)*1)+SUMPRODUCT($B$61:$B$68,(F61:F68&gt;E61:E68)*1)+SUMPRODUCT($B$71:$B$74,(F71:F74&gt;E71:E74)*1)+SUMPRODUCT($B$77:$B$78,(F77:F78&gt;E77:E78)*1)+SUMPRODUCT($B$99:$B$104,(F99:F104&gt;E99:E104)*1))*$B$21</f>
        <v>0</v>
      </c>
      <c r="G82" s="384" t="n">
        <f aca="false">(SUMPRODUCT($B$49:$B$58,(G49:G58&gt;F49:F58)*1)+SUMPRODUCT($B$61:$B$68,(G61:G68&gt;F61:F68)*1)+SUMPRODUCT($B$71:$B$74,(G71:G74&gt;F71:F74)*1)+SUMPRODUCT($B$77:$B$78,(G77:G78&gt;F77:F78)*1)+SUMPRODUCT($B$99:$B$104,(G99:G104&gt;F99:F104)*1))*$B$21</f>
        <v>0</v>
      </c>
      <c r="H82" s="384" t="n">
        <f aca="false">(SUMPRODUCT($B$49:$B$58,(H49:H58&gt;G49:G58)*1)+SUMPRODUCT($B$61:$B$68,(H61:H68&gt;G61:G68)*1)+SUMPRODUCT($B$71:$B$74,(H71:H74&gt;G71:G74)*1)+SUMPRODUCT($B$77:$B$78,(H77:H78&gt;G77:G78)*1)+SUMPRODUCT($B$99:$B$104,(H99:H104&gt;G99:G104)*1))*$B$21</f>
        <v>0</v>
      </c>
      <c r="I82" s="384" t="n">
        <f aca="false">(SUMPRODUCT($B$49:$B$58,(I49:I58&gt;H49:H58)*1)+SUMPRODUCT($B$61:$B$68,(I61:I68&gt;H61:H68)*1)+SUMPRODUCT($B$71:$B$74,(I71:I74&gt;H71:H74)*1)+SUMPRODUCT($B$77:$B$78,(I77:I78&gt;H77:H78)*1)+SUMPRODUCT($B$99:$B$104,(I99:I104&gt;H99:H104)*1))*$B$21</f>
        <v>19500</v>
      </c>
      <c r="J82" s="384" t="n">
        <f aca="false">(SUMPRODUCT($B$49:$B$58,(J49:J58&gt;I49:I58)*1)+SUMPRODUCT($B$61:$B$68,(J61:J68&gt;I61:I68)*1)+SUMPRODUCT($B$71:$B$74,(J71:J74&gt;I71:I74)*1)+SUMPRODUCT($B$77:$B$78,(J77:J78&gt;I77:I78)*1)+SUMPRODUCT($B$99:$B$104,(J99:J104&gt;I99:I104)*1))*$B$21</f>
        <v>0</v>
      </c>
      <c r="K82" s="384" t="n">
        <f aca="false">(SUMPRODUCT($B$49:$B$58,(K49:K58&gt;J49:J58)*1)+SUMPRODUCT($B$61:$B$68,(K61:K68&gt;J61:J68)*1)+SUMPRODUCT($B$71:$B$74,(K71:K74&gt;J71:J74)*1)+SUMPRODUCT($B$77:$B$78,(K77:K78&gt;J77:J78)*1)+SUMPRODUCT($B$99:$B$104,(K99:K104&gt;J99:J104)*1))*$B$21</f>
        <v>0</v>
      </c>
      <c r="L82" s="384" t="n">
        <f aca="false">(SUMPRODUCT($B$49:$B$58,(L49:L58&gt;K49:K58)*1)+SUMPRODUCT($B$61:$B$68,(L61:L68&gt;K61:K68)*1)+SUMPRODUCT($B$71:$B$74,(L71:L74&gt;K71:K74)*1)+SUMPRODUCT($B$77:$B$78,(L77:L78&gt;K77:K78)*1)+SUMPRODUCT($B$99:$B$104,(L99:L104&gt;K99:K104)*1))*$B$21</f>
        <v>0</v>
      </c>
      <c r="M82" s="384" t="n">
        <f aca="false">(SUMPRODUCT($B$49:$B$58,(M49:M58&gt;L49:L58)*1)+SUMPRODUCT($B$61:$B$68,(M61:M68&gt;L61:L68)*1)+SUMPRODUCT($B$71:$B$74,(M71:M74&gt;L71:L74)*1)+SUMPRODUCT($B$77:$B$78,(M77:M78&gt;L77:L78)*1)+SUMPRODUCT($B$99:$B$104,(M99:M104&gt;L99:L104)*1))*$B$21</f>
        <v>42750</v>
      </c>
      <c r="N82" s="384" t="n">
        <f aca="false">(SUMPRODUCT($B$49:$B$58,(N49:N58&gt;M49:M58)*1)+SUMPRODUCT($B$61:$B$68,(N61:N68&gt;M61:M68)*1)+SUMPRODUCT($B$71:$B$74,(N71:N74&gt;M71:M74)*1)+SUMPRODUCT($B$77:$B$78,(N77:N78&gt;M77:M78)*1)+SUMPRODUCT($B$99:$B$104,(N99:N104&gt;M99:M104)*1))*$B$21</f>
        <v>43500</v>
      </c>
      <c r="O82" s="384" t="n">
        <f aca="false">(SUMPRODUCT($B$49:$B$58,(O49:O58&gt;N49:N58)*1)+SUMPRODUCT($B$61:$B$68,(O61:O68&gt;N61:N68)*1)+SUMPRODUCT($B$71:$B$74,(O71:O74&gt;N71:N74)*1)+SUMPRODUCT($B$77:$B$78,(O77:O78&gt;N77:N78)*1)+SUMPRODUCT($B$99:$B$104,(O99:O104&gt;N99:N104)*1))*$B$21</f>
        <v>81750</v>
      </c>
      <c r="P82" s="384" t="n">
        <f aca="false">(SUMPRODUCT($B$49:$B$58,(P49:P58&gt;O49:O58)*1)+SUMPRODUCT($B$61:$B$68,(P61:P68&gt;O61:O68)*1)+SUMPRODUCT($B$71:$B$74,(P71:P74&gt;O71:O74)*1)+SUMPRODUCT($B$77:$B$78,(P77:P78&gt;O77:O78)*1)+SUMPRODUCT($B$99:$B$104,(P99:P104&gt;O99:O104)*1))*$B$21</f>
        <v>0</v>
      </c>
      <c r="Q82" s="384" t="n">
        <f aca="false">(SUMPRODUCT($B$49:$B$58,(Q49:Q58&gt;P49:P58)*1)+SUMPRODUCT($B$61:$B$68,(Q61:Q68&gt;P61:P68)*1)+SUMPRODUCT($B$71:$B$74,(Q71:Q74&gt;P71:P74)*1)+SUMPRODUCT($B$77:$B$78,(Q77:Q78&gt;P77:P78)*1)+SUMPRODUCT($B$99:$B$104,(Q99:Q104&gt;P99:P104)*1))*$B$21</f>
        <v>42750</v>
      </c>
      <c r="R82" s="384" t="n">
        <f aca="false">(SUMPRODUCT($B$49:$B$58,(R49:R58&gt;Q49:Q58)*1)+SUMPRODUCT($B$61:$B$68,(R61:R68&gt;Q61:Q68)*1)+SUMPRODUCT($B$71:$B$74,(R71:R74&gt;Q71:Q74)*1)+SUMPRODUCT($B$77:$B$78,(R77:R78&gt;Q77:Q78)*1)+SUMPRODUCT($B$99:$B$104,(R99:R104&gt;Q99:Q104)*1))*$B$21</f>
        <v>55500</v>
      </c>
      <c r="S82" s="384" t="n">
        <f aca="false">(SUMPRODUCT($B$49:$B$58,(S49:S58&gt;R49:R58)*1)+SUMPRODUCT($B$61:$B$68,(S61:S68&gt;R61:R68)*1)+SUMPRODUCT($B$71:$B$74,(S71:S74&gt;R71:R74)*1)+SUMPRODUCT($B$77:$B$78,(S77:S78&gt;R77:R78)*1)+SUMPRODUCT($B$99:$B$104,(S99:S104&gt;R99:R104)*1))*$B$21</f>
        <v>18750</v>
      </c>
      <c r="T82" s="384" t="n">
        <f aca="false">(SUMPRODUCT($B$49:$B$58,(T49:T58&gt;S49:S58)*1)+SUMPRODUCT($B$61:$B$68,(T61:T68&gt;S61:S68)*1)+SUMPRODUCT($B$71:$B$74,(T71:T74&gt;S71:S74)*1)+SUMPRODUCT($B$77:$B$78,(T77:T78&gt;S77:S78)*1)+SUMPRODUCT($B$99:$B$104,(T99:T104&gt;S99:S104)*1))*$B$21</f>
        <v>18750</v>
      </c>
      <c r="U82" s="384" t="n">
        <f aca="false">(SUMPRODUCT($B$49:$B$58,(U49:U58&gt;T49:T58)*1)+SUMPRODUCT($B$61:$B$68,(U61:U68&gt;T61:T68)*1)+SUMPRODUCT($B$71:$B$74,(U71:U74&gt;T71:T74)*1)+SUMPRODUCT($B$77:$B$78,(U77:U78&gt;T77:T78)*1)+SUMPRODUCT($B$99:$B$104,(U99:U104&gt;T99:T104)*1))*$B$21</f>
        <v>0</v>
      </c>
      <c r="V82" s="384" t="n">
        <f aca="false">(SUMPRODUCT($B$49:$B$58,(V49:V58&gt;U49:U58)*1)+SUMPRODUCT($B$61:$B$68,(V61:V68&gt;U61:U68)*1)+SUMPRODUCT($B$71:$B$74,(V71:V74&gt;U71:U74)*1)+SUMPRODUCT($B$77:$B$78,(V77:V78&gt;U77:U78)*1)+SUMPRODUCT($B$99:$B$104,(V99:V104&gt;U99:U104)*1))*$B$21</f>
        <v>0</v>
      </c>
      <c r="W82" s="384" t="n">
        <f aca="false">(SUMPRODUCT($B$49:$B$58,(W49:W58&gt;V49:V58)*1)+SUMPRODUCT($B$61:$B$68,(W61:W68&gt;V61:V68)*1)+SUMPRODUCT($B$71:$B$74,(W71:W74&gt;V71:V74)*1)+SUMPRODUCT($B$77:$B$78,(W77:W78&gt;V77:V78)*1)+SUMPRODUCT($B$99:$B$104,(W99:W104&gt;V99:V104)*1))*$B$21</f>
        <v>0</v>
      </c>
      <c r="X82" s="384" t="n">
        <f aca="false">(SUMPRODUCT($B$49:$B$58,(X49:X58&gt;W49:W58)*1)+SUMPRODUCT($B$61:$B$68,(X61:X68&gt;W61:W68)*1)+SUMPRODUCT($B$71:$B$74,(X71:X74&gt;W71:W74)*1)+SUMPRODUCT($B$77:$B$78,(X77:X78&gt;W77:W78)*1)+SUMPRODUCT($B$99:$B$104,(X99:X104&gt;W99:W104)*1))*$B$21</f>
        <v>0</v>
      </c>
      <c r="Y82" s="384" t="n">
        <f aca="false">(SUMPRODUCT($B$49:$B$58,(Y49:Y58&gt;X49:X58)*1)+SUMPRODUCT($B$61:$B$68,(Y61:Y68&gt;X61:X68)*1)+SUMPRODUCT($B$71:$B$74,(Y71:Y74&gt;X71:X74)*1)+SUMPRODUCT($B$77:$B$78,(Y77:Y78&gt;X77:X78)*1)+SUMPRODUCT($B$99:$B$104,(Y99:Y104&gt;X99:X104)*1))*$B$21</f>
        <v>0</v>
      </c>
      <c r="Z82" s="384" t="n">
        <f aca="false">(SUMPRODUCT($B$49:$B$58,(Z49:Z58&gt;Y49:Y58)*1)+SUMPRODUCT($B$61:$B$68,(Z61:Z68&gt;Y61:Y68)*1)+SUMPRODUCT($B$71:$B$74,(Z71:Z74&gt;Y71:Y74)*1)+SUMPRODUCT($B$77:$B$78,(Z77:Z78&gt;Y77:Y78)*1)+SUMPRODUCT($B$99:$B$104,(Z99:Z104&gt;Y99:Y104)*1))*$B$21</f>
        <v>0</v>
      </c>
      <c r="AA82" s="384" t="n">
        <f aca="false">(SUMPRODUCT($B$49:$B$58,(AA49:AA58&gt;Z49:Z58)*1)+SUMPRODUCT($B$61:$B$68,(AA61:AA68&gt;Z61:Z68)*1)+SUMPRODUCT($B$71:$B$74,(AA71:AA74&gt;Z71:Z74)*1)+SUMPRODUCT($B$77:$B$78,(AA77:AA78&gt;Z77:Z78)*1)+SUMPRODUCT($B$99:$B$104,(AA99:AA104&gt;Z99:Z104)*1))*$B$21</f>
        <v>0</v>
      </c>
      <c r="AB82" s="384" t="n">
        <f aca="false">(SUMPRODUCT($B$49:$B$58,(AB49:AB58&gt;AA49:AA58)*1)+SUMPRODUCT($B$61:$B$68,(AB61:AB68&gt;AA61:AA68)*1)+SUMPRODUCT($B$71:$B$74,(AB71:AB74&gt;AA71:AA74)*1)+SUMPRODUCT($B$77:$B$78,(AB77:AB78&gt;AA77:AA78)*1)+SUMPRODUCT($B$99:$B$104,(AB99:AB104&gt;AA99:AA104)*1))*$B$21</f>
        <v>0</v>
      </c>
      <c r="AC82" s="384" t="n">
        <f aca="false">(SUMPRODUCT($B$49:$B$58,(AC49:AC58&gt;AB49:AB58)*1)+SUMPRODUCT($B$61:$B$68,(AC61:AC68&gt;AB61:AB68)*1)+SUMPRODUCT($B$71:$B$74,(AC71:AC74&gt;AB71:AB74)*1)+SUMPRODUCT($B$77:$B$78,(AC77:AC78&gt;AB77:AB78)*1)+SUMPRODUCT($B$99:$B$104,(AC99:AC104&gt;AB99:AB104)*1))*$B$21</f>
        <v>0</v>
      </c>
      <c r="AD82" s="384" t="n">
        <f aca="false">(SUMPRODUCT($B$49:$B$58,(AD49:AD58&gt;AC49:AC58)*1)+SUMPRODUCT($B$61:$B$68,(AD61:AD68&gt;AC61:AC68)*1)+SUMPRODUCT($B$71:$B$74,(AD71:AD74&gt;AC71:AC74)*1)+SUMPRODUCT($B$77:$B$78,(AD77:AD78&gt;AC77:AC78)*1)+SUMPRODUCT($B$99:$B$104,(AD99:AD104&gt;AC99:AC104)*1))*$B$21</f>
        <v>0</v>
      </c>
      <c r="AE82" s="384" t="n">
        <f aca="false">(SUMPRODUCT($B$49:$B$58,(AE49:AE58&gt;AD49:AD58)*1)+SUMPRODUCT($B$61:$B$68,(AE61:AE68&gt;AD61:AD68)*1)+SUMPRODUCT($B$71:$B$74,(AE71:AE74&gt;AD71:AD74)*1)+SUMPRODUCT($B$77:$B$78,(AE77:AE78&gt;AD77:AD78)*1)+SUMPRODUCT($B$99:$B$104,(AE99:AE104&gt;AD99:AD104)*1))*$B$21</f>
        <v>0</v>
      </c>
      <c r="AF82" s="384" t="n">
        <f aca="false">(SUMPRODUCT($B$49:$B$58,(AF49:AF58&gt;AE49:AE58)*1)+SUMPRODUCT($B$61:$B$68,(AF61:AF68&gt;AE61:AE68)*1)+SUMPRODUCT($B$71:$B$74,(AF71:AF74&gt;AE71:AE74)*1)+SUMPRODUCT($B$77:$B$78,(AF77:AF78&gt;AE77:AE78)*1)+SUMPRODUCT($B$99:$B$104,(AF99:AF104&gt;AE99:AE104)*1))*$B$21</f>
        <v>0</v>
      </c>
      <c r="AG82" s="384" t="n">
        <f aca="false">(SUMPRODUCT($B$49:$B$58,(AG49:AG58&gt;AF49:AF58)*1)+SUMPRODUCT($B$61:$B$68,(AG61:AG68&gt;AF61:AF68)*1)+SUMPRODUCT($B$71:$B$74,(AG71:AG74&gt;AF71:AF74)*1)+SUMPRODUCT($B$77:$B$78,(AG77:AG78&gt;AF77:AF78)*1)+SUMPRODUCT($B$99:$B$104,(AG99:AG104&gt;AF99:AF104)*1))*$B$21</f>
        <v>0</v>
      </c>
      <c r="AH82" s="384" t="n">
        <f aca="false">(SUMPRODUCT($B$49:$B$58,(AH49:AH58&gt;AG49:AG58)*1)+SUMPRODUCT($B$61:$B$68,(AH61:AH68&gt;AG61:AG68)*1)+SUMPRODUCT($B$71:$B$74,(AH71:AH74&gt;AG71:AG74)*1)+SUMPRODUCT($B$77:$B$78,(AH77:AH78&gt;AG77:AG78)*1)+SUMPRODUCT($B$99:$B$104,(AH99:AH104&gt;AG99:AG104)*1))*$B$21</f>
        <v>0</v>
      </c>
      <c r="AI82" s="384" t="n">
        <f aca="false">(SUMPRODUCT($B$49:$B$58,(AI49:AI58&gt;AH49:AH58)*1)+SUMPRODUCT($B$61:$B$68,(AI61:AI68&gt;AH61:AH68)*1)+SUMPRODUCT($B$71:$B$74,(AI71:AI74&gt;AH71:AH74)*1)+SUMPRODUCT($B$77:$B$78,(AI77:AI78&gt;AH77:AH78)*1)+SUMPRODUCT($B$99:$B$104,(AI99:AI104&gt;AH99:AH104)*1))*$B$21</f>
        <v>0</v>
      </c>
      <c r="AJ82" s="384" t="n">
        <f aca="false">(SUMPRODUCT($B$49:$B$58,(AJ49:AJ58&gt;AI49:AI58)*1)+SUMPRODUCT($B$61:$B$68,(AJ61:AJ68&gt;AI61:AI68)*1)+SUMPRODUCT($B$71:$B$74,(AJ71:AJ74&gt;AI71:AI74)*1)+SUMPRODUCT($B$77:$B$78,(AJ77:AJ78&gt;AI77:AI78)*1)+SUMPRODUCT($B$99:$B$104,(AJ99:AJ104&gt;AI99:AI104)*1))*$B$21</f>
        <v>0</v>
      </c>
      <c r="AK82" s="384" t="n">
        <f aca="false">(SUMPRODUCT($B$49:$B$58,(AK49:AK58&gt;AJ49:AJ58)*1)+SUMPRODUCT($B$61:$B$68,(AK61:AK68&gt;AJ61:AJ68)*1)+SUMPRODUCT($B$71:$B$74,(AK71:AK74&gt;AJ71:AJ74)*1)+SUMPRODUCT($B$77:$B$78,(AK77:AK78&gt;AJ77:AJ78)*1)+SUMPRODUCT($B$99:$B$104,(AK99:AK104&gt;AJ99:AJ104)*1))*$B$21</f>
        <v>0</v>
      </c>
      <c r="AL82" s="384" t="n">
        <f aca="false">(SUMPRODUCT($B$49:$B$58,(AL49:AL58&gt;AK49:AK58)*1)+SUMPRODUCT($B$61:$B$68,(AL61:AL68&gt;AK61:AK68)*1)+SUMPRODUCT($B$71:$B$74,(AL71:AL74&gt;AK71:AK74)*1)+SUMPRODUCT($B$77:$B$78,(AL77:AL78&gt;AK77:AK78)*1)+SUMPRODUCT($B$99:$B$104,(AL99:AL104&gt;AK99:AK104)*1))*$B$21</f>
        <v>0</v>
      </c>
      <c r="AM82" s="384" t="n">
        <f aca="false">(SUMPRODUCT($B$49:$B$58,(AM49:AM58&gt;AL49:AL58)*1)+SUMPRODUCT($B$61:$B$68,(AM61:AM68&gt;AL61:AL68)*1)+SUMPRODUCT($B$71:$B$74,(AM71:AM74&gt;AL71:AL74)*1)+SUMPRODUCT($B$77:$B$78,(AM77:AM78&gt;AL77:AL78)*1)+SUMPRODUCT($B$99:$B$104,(AM99:AM104&gt;AL99:AL104)*1))*$B$21</f>
        <v>0</v>
      </c>
      <c r="AN82" s="384" t="n">
        <f aca="false">(SUMPRODUCT($B$49:$B$58,(AN49:AN58&gt;AM49:AM58)*1)+SUMPRODUCT($B$61:$B$68,(AN61:AN68&gt;AM61:AM68)*1)+SUMPRODUCT($B$71:$B$74,(AN71:AN74&gt;AM71:AM74)*1)+SUMPRODUCT($B$77:$B$78,(AN77:AN78&gt;AM77:AM78)*1)+SUMPRODUCT($B$99:$B$104,(AN99:AN104&gt;AM99:AM104)*1))*$B$21</f>
        <v>0</v>
      </c>
      <c r="AO82" s="384" t="n">
        <f aca="false">(SUMPRODUCT($B$49:$B$58,(AO49:AO58&gt;AN49:AN58)*1)+SUMPRODUCT($B$61:$B$68,(AO61:AO68&gt;AN61:AN68)*1)+SUMPRODUCT($B$71:$B$74,(AO71:AO74&gt;AN71:AN74)*1)+SUMPRODUCT($B$77:$B$78,(AO77:AO78&gt;AN77:AN78)*1)+SUMPRODUCT($B$99:$B$104,(AO99:AO104&gt;AN99:AN104)*1))*$B$21</f>
        <v>0</v>
      </c>
      <c r="AP82" s="384" t="n">
        <f aca="false">(SUMPRODUCT($B$49:$B$58,(AP49:AP58&gt;AO49:AO58)*1)+SUMPRODUCT($B$61:$B$68,(AP61:AP68&gt;AO61:AO68)*1)+SUMPRODUCT($B$71:$B$74,(AP71:AP74&gt;AO71:AO74)*1)+SUMPRODUCT($B$77:$B$78,(AP77:AP78&gt;AO77:AO78)*1)+SUMPRODUCT($B$99:$B$104,(AP99:AP104&gt;AO99:AO104)*1))*$B$21</f>
        <v>0</v>
      </c>
      <c r="AQ82" s="384" t="n">
        <f aca="false">(SUMPRODUCT($B$49:$B$58,(AQ49:AQ58&gt;AP49:AP58)*1)+SUMPRODUCT($B$61:$B$68,(AQ61:AQ68&gt;AP61:AP68)*1)+SUMPRODUCT($B$71:$B$74,(AQ71:AQ74&gt;AP71:AP74)*1)+SUMPRODUCT($B$77:$B$78,(AQ77:AQ78&gt;AP77:AP78)*1)+SUMPRODUCT($B$99:$B$104,(AQ99:AQ104&gt;AP99:AP104)*1))*$B$21</f>
        <v>0</v>
      </c>
      <c r="AR82" s="384" t="n">
        <f aca="false">(SUMPRODUCT($B$49:$B$58,(AR49:AR58&gt;AQ49:AQ58)*1)+SUMPRODUCT($B$61:$B$68,(AR61:AR68&gt;AQ61:AQ68)*1)+SUMPRODUCT($B$71:$B$74,(AR71:AR74&gt;AQ71:AQ74)*1)+SUMPRODUCT($B$77:$B$78,(AR77:AR78&gt;AQ77:AQ78)*1)+SUMPRODUCT($B$99:$B$104,(AR99:AR104&gt;AQ99:AQ104)*1))*$B$21</f>
        <v>0</v>
      </c>
      <c r="AS82" s="384" t="n">
        <f aca="false">(SUMPRODUCT($B$49:$B$58,(AS49:AS58&gt;AR49:AR58)*1)+SUMPRODUCT($B$61:$B$68,(AS61:AS68&gt;AR61:AR68)*1)+SUMPRODUCT($B$71:$B$74,(AS71:AS74&gt;AR71:AR74)*1)+SUMPRODUCT($B$77:$B$78,(AS77:AS78&gt;AR77:AR78)*1)+SUMPRODUCT($B$99:$B$104,(AS99:AS104&gt;AR99:AR104)*1))*$B$21</f>
        <v>0</v>
      </c>
      <c r="AT82" s="384" t="n">
        <f aca="false">(SUMPRODUCT($B$49:$B$58,(AT49:AT58&gt;AS49:AS58)*1)+SUMPRODUCT($B$61:$B$68,(AT61:AT68&gt;AS61:AS68)*1)+SUMPRODUCT($B$71:$B$74,(AT71:AT74&gt;AS71:AS74)*1)+SUMPRODUCT($B$77:$B$78,(AT77:AT78&gt;AS77:AS78)*1)+SUMPRODUCT($B$99:$B$104,(AT99:AT104&gt;AS99:AS104)*1))*$B$21</f>
        <v>0</v>
      </c>
      <c r="AU82" s="384" t="n">
        <f aca="false">(SUMPRODUCT($B$49:$B$58,(AU49:AU58&gt;AT49:AT58)*1)+SUMPRODUCT($B$61:$B$68,(AU61:AU68&gt;AT61:AT68)*1)+SUMPRODUCT($B$71:$B$74,(AU71:AU74&gt;AT71:AT74)*1)+SUMPRODUCT($B$77:$B$78,(AU77:AU78&gt;AT77:AT78)*1)+SUMPRODUCT($B$99:$B$104,(AU99:AU104&gt;AT99:AT104)*1))*$B$21</f>
        <v>0</v>
      </c>
      <c r="AV82" s="384" t="n">
        <f aca="false">(SUMPRODUCT($B$49:$B$58,(AV49:AV58&gt;AU49:AU58)*1)+SUMPRODUCT($B$61:$B$68,(AV61:AV68&gt;AU61:AU68)*1)+SUMPRODUCT($B$71:$B$74,(AV71:AV74&gt;AU71:AU74)*1)+SUMPRODUCT($B$77:$B$78,(AV77:AV78&gt;AU77:AU78)*1)+SUMPRODUCT($B$99:$B$104,(AV99:AV104&gt;AU99:AU104)*1))*$B$21</f>
        <v>0</v>
      </c>
      <c r="AW82" s="384" t="n">
        <f aca="false">(SUMPRODUCT($B$49:$B$58,(AW49:AW58&gt;AV49:AV58)*1)+SUMPRODUCT($B$61:$B$68,(AW61:AW68&gt;AV61:AV68)*1)+SUMPRODUCT($B$71:$B$74,(AW71:AW74&gt;AV71:AV74)*1)+SUMPRODUCT($B$77:$B$78,(AW77:AW78&gt;AV77:AV78)*1)+SUMPRODUCT($B$99:$B$104,(AW99:AW104&gt;AV99:AV104)*1))*$B$21</f>
        <v>0</v>
      </c>
      <c r="AX82" s="384" t="n">
        <f aca="false">(SUMPRODUCT($B$49:$B$58,(AX49:AX58&gt;AW49:AW58)*1)+SUMPRODUCT($B$61:$B$68,(AX61:AX68&gt;AW61:AW68)*1)+SUMPRODUCT($B$71:$B$74,(AX71:AX74&gt;AW71:AW74)*1)+SUMPRODUCT($B$77:$B$78,(AX77:AX78&gt;AW77:AW78)*1)+SUMPRODUCT($B$99:$B$104,(AX99:AX104&gt;AW99:AW104)*1))*$B$21</f>
        <v>0</v>
      </c>
      <c r="AY82" s="384" t="n">
        <f aca="false">(SUMPRODUCT($B$49:$B$58,(AY49:AY58&gt;AX49:AX58)*1)+SUMPRODUCT($B$61:$B$68,(AY61:AY68&gt;AX61:AX68)*1)+SUMPRODUCT($B$71:$B$74,(AY71:AY74&gt;AX71:AX74)*1)+SUMPRODUCT($B$77:$B$78,(AY77:AY78&gt;AX77:AX78)*1)+SUMPRODUCT($B$99:$B$104,(AY99:AY104&gt;AX99:AX104)*1))*$B$21</f>
        <v>0</v>
      </c>
      <c r="AZ82" s="384" t="n">
        <f aca="false">(SUMPRODUCT($B$49:$B$58,(AZ49:AZ58&gt;AY49:AY58)*1)+SUMPRODUCT($B$61:$B$68,(AZ61:AZ68&gt;AY61:AY68)*1)+SUMPRODUCT($B$71:$B$74,(AZ71:AZ74&gt;AY71:AY74)*1)+SUMPRODUCT($B$77:$B$78,(AZ77:AZ78&gt;AY77:AY78)*1)+SUMPRODUCT($B$99:$B$104,(AZ99:AZ104&gt;AY99:AY104)*1))*$B$21</f>
        <v>0</v>
      </c>
      <c r="BA82" s="384" t="n">
        <f aca="false">(SUMPRODUCT($B$49:$B$58,(BA49:BA58&gt;AZ49:AZ58)*1)+SUMPRODUCT($B$61:$B$68,(BA61:BA68&gt;AZ61:AZ68)*1)+SUMPRODUCT($B$71:$B$74,(BA71:BA74&gt;AZ71:AZ74)*1)+SUMPRODUCT($B$77:$B$78,(BA77:BA78&gt;AZ77:AZ78)*1)+SUMPRODUCT($B$99:$B$104,(BA99:BA104&gt;AZ99:AZ104)*1))*$B$21</f>
        <v>0</v>
      </c>
      <c r="BB82" s="384" t="n">
        <f aca="false">(SUMPRODUCT($B$49:$B$58,(BB49:BB58&gt;BA49:BA58)*1)+SUMPRODUCT($B$61:$B$68,(BB61:BB68&gt;BA61:BA68)*1)+SUMPRODUCT($B$71:$B$74,(BB71:BB74&gt;BA71:BA74)*1)+SUMPRODUCT($B$77:$B$78,(BB77:BB78&gt;BA77:BA78)*1)+SUMPRODUCT($B$99:$B$104,(BB99:BB104&gt;BA99:BA104)*1))*$B$21</f>
        <v>0</v>
      </c>
      <c r="BC82" s="384" t="n">
        <f aca="false">(SUMPRODUCT($B$49:$B$58,(BC49:BC58&gt;BB49:BB58)*1)+SUMPRODUCT($B$61:$B$68,(BC61:BC68&gt;BB61:BB68)*1)+SUMPRODUCT($B$71:$B$74,(BC71:BC74&gt;BB71:BB74)*1)+SUMPRODUCT($B$77:$B$78,(BC77:BC78&gt;BB77:BB78)*1)+SUMPRODUCT($B$99:$B$104,(BC99:BC104&gt;BB99:BB104)*1))*$B$21</f>
        <v>0</v>
      </c>
      <c r="BD82" s="384" t="n">
        <f aca="false">(SUMPRODUCT($B$49:$B$58,(BD49:BD58&gt;BC49:BC58)*1)+SUMPRODUCT($B$61:$B$68,(BD61:BD68&gt;BC61:BC68)*1)+SUMPRODUCT($B$71:$B$74,(BD71:BD74&gt;BC71:BC74)*1)+SUMPRODUCT($B$77:$B$78,(BD77:BD78&gt;BC77:BC78)*1)+SUMPRODUCT($B$99:$B$104,(BD99:BD104&gt;BC99:BC104)*1))*$B$21</f>
        <v>0</v>
      </c>
      <c r="BE82" s="384" t="n">
        <f aca="false">(SUMPRODUCT($B$49:$B$58,(BE49:BE58&gt;BD49:BD58)*1)+SUMPRODUCT($B$61:$B$68,(BE61:BE68&gt;BD61:BD68)*1)+SUMPRODUCT($B$71:$B$74,(BE71:BE74&gt;BD71:BD74)*1)+SUMPRODUCT($B$77:$B$78,(BE77:BE78&gt;BD77:BD78)*1)+SUMPRODUCT($B$99:$B$104,(BE99:BE104&gt;BD99:BD104)*1))*$B$21</f>
        <v>0</v>
      </c>
      <c r="BF82" s="384" t="n">
        <f aca="false">(SUMPRODUCT($B$49:$B$58,(BF49:BF58&gt;BE49:BE58)*1)+SUMPRODUCT($B$61:$B$68,(BF61:BF68&gt;BE61:BE68)*1)+SUMPRODUCT($B$71:$B$74,(BF71:BF74&gt;BE71:BE74)*1)+SUMPRODUCT($B$77:$B$78,(BF77:BF78&gt;BE77:BE78)*1)+SUMPRODUCT($B$99:$B$104,(BF99:BF104&gt;BE99:BE104)*1))*$B$21</f>
        <v>0</v>
      </c>
      <c r="BG82" s="384" t="n">
        <f aca="false">(SUMPRODUCT($B$49:$B$58,(BG49:BG58&gt;BF49:BF58)*1)+SUMPRODUCT($B$61:$B$68,(BG61:BG68&gt;BF61:BF68)*1)+SUMPRODUCT($B$71:$B$74,(BG71:BG74&gt;BF71:BF74)*1)+SUMPRODUCT($B$77:$B$78,(BG77:BG78&gt;BF77:BF78)*1)+SUMPRODUCT($B$99:$B$104,(BG99:BG104&gt;BF99:BF104)*1))*$B$21</f>
        <v>0</v>
      </c>
      <c r="BH82" s="384" t="n">
        <f aca="false">(SUMPRODUCT($B$49:$B$58,(BH49:BH58&gt;BG49:BG58)*1)+SUMPRODUCT($B$61:$B$68,(BH61:BH68&gt;BG61:BG68)*1)+SUMPRODUCT($B$71:$B$74,(BH71:BH74&gt;BG71:BG74)*1)+SUMPRODUCT($B$77:$B$78,(BH77:BH78&gt;BG77:BG78)*1)+SUMPRODUCT($B$99:$B$104,(BH99:BH104&gt;BG99:BG104)*1))*$B$21</f>
        <v>0</v>
      </c>
      <c r="BI82" s="384" t="n">
        <f aca="false">(SUMPRODUCT($B$49:$B$58,(BI49:BI58&gt;BH49:BH58)*1)+SUMPRODUCT($B$61:$B$68,(BI61:BI68&gt;BH61:BH68)*1)+SUMPRODUCT($B$71:$B$74,(BI71:BI74&gt;BH71:BH74)*1)+SUMPRODUCT($B$77:$B$78,(BI77:BI78&gt;BH77:BH78)*1)+SUMPRODUCT($B$99:$B$104,(BI99:BI104&gt;BH99:BH104)*1))*$B$21</f>
        <v>0</v>
      </c>
      <c r="BJ82" s="384" t="n">
        <f aca="false">(SUMPRODUCT($B$49:$B$58,(BJ49:BJ58&gt;BI49:BI58)*1)+SUMPRODUCT($B$61:$B$68,(BJ61:BJ68&gt;BI61:BI68)*1)+SUMPRODUCT($B$71:$B$74,(BJ71:BJ74&gt;BI71:BI74)*1)+SUMPRODUCT($B$77:$B$78,(BJ77:BJ78&gt;BI77:BI78)*1)+SUMPRODUCT($B$99:$B$104,(BJ99:BJ104&gt;BI99:BI104)*1))*$B$21</f>
        <v>0</v>
      </c>
      <c r="BK82" s="384" t="n">
        <f aca="false">(SUMPRODUCT($B$49:$B$58,(BK49:BK58&gt;BJ49:BJ58)*1)+SUMPRODUCT($B$61:$B$68,(BK61:BK68&gt;BJ61:BJ68)*1)+SUMPRODUCT($B$71:$B$74,(BK71:BK74&gt;BJ71:BJ74)*1)+SUMPRODUCT($B$77:$B$78,(BK77:BK78&gt;BJ77:BJ78)*1)+SUMPRODUCT($B$99:$B$104,(BK99:BK104&gt;BJ99:BJ104)*1))*$B$21</f>
        <v>0</v>
      </c>
      <c r="BL82" s="384" t="n">
        <f aca="false">(SUMPRODUCT($B$49:$B$58,(BL49:BL58&gt;BK49:BK58)*1)+SUMPRODUCT($B$61:$B$68,(BL61:BL68&gt;BK61:BK68)*1)+SUMPRODUCT($B$71:$B$74,(BL71:BL74&gt;BK71:BK74)*1)+SUMPRODUCT($B$77:$B$78,(BL77:BL78&gt;BK77:BK78)*1)+SUMPRODUCT($B$99:$B$104,(BL99:BL104&gt;BK99:BK104)*1))*$B$21</f>
        <v>0</v>
      </c>
      <c r="BM82" s="384" t="n">
        <f aca="false">(SUMPRODUCT($B$49:$B$58,(BM49:BM58&gt;BL49:BL58)*1)+SUMPRODUCT($B$61:$B$68,(BM61:BM68&gt;BL61:BL68)*1)+SUMPRODUCT($B$71:$B$74,(BM71:BM74&gt;BL71:BL74)*1)+SUMPRODUCT($B$77:$B$78,(BM77:BM78&gt;BL77:BL78)*1)+SUMPRODUCT($B$99:$B$104,(BM99:BM104&gt;BL99:BL104)*1))*$B$21</f>
        <v>0</v>
      </c>
      <c r="BN82" s="384" t="n">
        <f aca="false">(SUMPRODUCT($B$49:$B$58,(BN49:BN58&gt;BM49:BM58)*1)+SUMPRODUCT($B$61:$B$68,(BN61:BN68&gt;BM61:BM68)*1)+SUMPRODUCT($B$71:$B$74,(BN71:BN74&gt;BM71:BM74)*1)+SUMPRODUCT($B$77:$B$78,(BN77:BN78&gt;BM77:BM78)*1)+SUMPRODUCT($B$99:$B$104,(BN99:BN104&gt;BM99:BM104)*1))*$B$21</f>
        <v>0</v>
      </c>
      <c r="BO82" s="384" t="n">
        <f aca="false">(SUMPRODUCT($B$49:$B$58,(BO49:BO58&gt;BN49:BN58)*1)+SUMPRODUCT($B$61:$B$68,(BO61:BO68&gt;BN61:BN68)*1)+SUMPRODUCT($B$71:$B$74,(BO71:BO74&gt;BN71:BN74)*1)+SUMPRODUCT($B$77:$B$78,(BO77:BO78&gt;BN77:BN78)*1)+SUMPRODUCT($B$99:$B$104,(BO99:BO104&gt;BN99:BN104)*1))*$B$21</f>
        <v>0</v>
      </c>
      <c r="BP82" s="384" t="n">
        <f aca="false">(SUMPRODUCT($B$49:$B$58,(BP49:BP58&gt;BO49:BO58)*1)+SUMPRODUCT($B$61:$B$68,(BP61:BP68&gt;BO61:BO68)*1)+SUMPRODUCT($B$71:$B$74,(BP71:BP74&gt;BO71:BO74)*1)+SUMPRODUCT($B$77:$B$78,(BP77:BP78&gt;BO77:BO78)*1)+SUMPRODUCT($B$99:$B$104,(BP99:BP104&gt;BO99:BO104)*1))*$B$21</f>
        <v>0</v>
      </c>
      <c r="BQ82" s="384" t="n">
        <f aca="false">(SUMPRODUCT($B$49:$B$58,(BQ49:BQ58&gt;BP49:BP58)*1)+SUMPRODUCT($B$61:$B$68,(BQ61:BQ68&gt;BP61:BP68)*1)+SUMPRODUCT($B$71:$B$74,(BQ71:BQ74&gt;BP71:BP74)*1)+SUMPRODUCT($B$77:$B$78,(BQ77:BQ78&gt;BP77:BP78)*1)+SUMPRODUCT($B$99:$B$104,(BQ99:BQ104&gt;BP99:BP104)*1))*$B$21</f>
        <v>0</v>
      </c>
      <c r="BR82" s="384" t="n">
        <f aca="false">(SUMPRODUCT($B$49:$B$58,(BR49:BR58&gt;BQ49:BQ58)*1)+SUMPRODUCT($B$61:$B$68,(BR61:BR68&gt;BQ61:BQ68)*1)+SUMPRODUCT($B$71:$B$74,(BR71:BR74&gt;BQ71:BQ74)*1)+SUMPRODUCT($B$77:$B$78,(BR77:BR78&gt;BQ77:BQ78)*1)+SUMPRODUCT($B$99:$B$104,(BR99:BR104&gt;BQ99:BQ104)*1))*$B$21</f>
        <v>0</v>
      </c>
      <c r="BS82" s="384" t="n">
        <f aca="false">(SUMPRODUCT($B$49:$B$58,(BS49:BS58&gt;BR49:BR58)*1)+SUMPRODUCT($B$61:$B$68,(BS61:BS68&gt;BR61:BR68)*1)+SUMPRODUCT($B$71:$B$74,(BS71:BS74&gt;BR71:BR74)*1)+SUMPRODUCT($B$77:$B$78,(BS77:BS78&gt;BR77:BR78)*1)+SUMPRODUCT($B$99:$B$104,(BS99:BS104&gt;BR99:BR104)*1))*$B$21</f>
        <v>0</v>
      </c>
      <c r="BT82" s="384" t="n">
        <f aca="false">(SUMPRODUCT($B$49:$B$58,(BT49:BT58&gt;BS49:BS58)*1)+SUMPRODUCT($B$61:$B$68,(BT61:BT68&gt;BS61:BS68)*1)+SUMPRODUCT($B$71:$B$74,(BT71:BT74&gt;BS71:BS74)*1)+SUMPRODUCT($B$77:$B$78,(BT77:BT78&gt;BS77:BS78)*1)+SUMPRODUCT($B$99:$B$104,(BT99:BT104&gt;BS99:BS104)*1))*$B$21</f>
        <v>0</v>
      </c>
      <c r="BU82" s="384" t="n">
        <f aca="false">(SUMPRODUCT($B$49:$B$58,(BU49:BU58&gt;BT49:BT58)*1)+SUMPRODUCT($B$61:$B$68,(BU61:BU68&gt;BT61:BT68)*1)+SUMPRODUCT($B$71:$B$74,(BU71:BU74&gt;BT71:BT74)*1)+SUMPRODUCT($B$77:$B$78,(BU77:BU78&gt;BT77:BT78)*1)+SUMPRODUCT($B$99:$B$104,(BU99:BU104&gt;BT99:BT104)*1))*$B$21</f>
        <v>0</v>
      </c>
      <c r="BV82" s="384" t="n">
        <f aca="false">(SUMPRODUCT($B$49:$B$58,(BV49:BV58&gt;BU49:BU58)*1)+SUMPRODUCT($B$61:$B$68,(BV61:BV68&gt;BU61:BU68)*1)+SUMPRODUCT($B$71:$B$74,(BV71:BV74&gt;BU71:BU74)*1)+SUMPRODUCT($B$77:$B$78,(BV77:BV78&gt;BU77:BU78)*1)+SUMPRODUCT($B$99:$B$104,(BV99:BV104&gt;BU99:BU104)*1))*$B$21</f>
        <v>0</v>
      </c>
      <c r="BW82" s="384" t="n">
        <f aca="false">(SUMPRODUCT($B$49:$B$58,(BW49:BW58&gt;BV49:BV58)*1)+SUMPRODUCT($B$61:$B$68,(BW61:BW68&gt;BV61:BV68)*1)+SUMPRODUCT($B$71:$B$74,(BW71:BW74&gt;BV71:BV74)*1)+SUMPRODUCT($B$77:$B$78,(BW77:BW78&gt;BV77:BV78)*1)+SUMPRODUCT($B$99:$B$104,(BW99:BW104&gt;BV99:BV104)*1))*$B$21</f>
        <v>0</v>
      </c>
      <c r="BX82" s="384" t="n">
        <f aca="false">(SUMPRODUCT($B$49:$B$58,(BX49:BX58&gt;BW49:BW58)*1)+SUMPRODUCT($B$61:$B$68,(BX61:BX68&gt;BW61:BW68)*1)+SUMPRODUCT($B$71:$B$74,(BX71:BX74&gt;BW71:BW74)*1)+SUMPRODUCT($B$77:$B$78,(BX77:BX78&gt;BW77:BW78)*1)+SUMPRODUCT($B$99:$B$104,(BX99:BX104&gt;BW99:BW104)*1))*$B$21</f>
        <v>0</v>
      </c>
      <c r="BY82" s="384" t="n">
        <f aca="false">(SUMPRODUCT($B$49:$B$58,(BY49:BY58&gt;BX49:BX58)*1)+SUMPRODUCT($B$61:$B$68,(BY61:BY68&gt;BX61:BX68)*1)+SUMPRODUCT($B$71:$B$74,(BY71:BY74&gt;BX71:BX74)*1)+SUMPRODUCT($B$77:$B$78,(BY77:BY78&gt;BX77:BX78)*1)+SUMPRODUCT($B$99:$B$104,(BY99:BY104&gt;BX99:BX104)*1))*$B$21</f>
        <v>0</v>
      </c>
      <c r="BZ82" s="384" t="n">
        <f aca="false">(SUMPRODUCT($B$49:$B$58,(BZ49:BZ58&gt;BY49:BY58)*1)+SUMPRODUCT($B$61:$B$68,(BZ61:BZ68&gt;BY61:BY68)*1)+SUMPRODUCT($B$71:$B$74,(BZ71:BZ74&gt;BY71:BY74)*1)+SUMPRODUCT($B$77:$B$78,(BZ77:BZ78&gt;BY77:BY78)*1)+SUMPRODUCT($B$99:$B$104,(BZ99:BZ104&gt;BY99:BY104)*1))*$B$21</f>
        <v>0</v>
      </c>
      <c r="CA82" s="384" t="n">
        <f aca="false">(SUMPRODUCT($B$49:$B$58,(CA49:CA58&gt;BZ49:BZ58)*1)+SUMPRODUCT($B$61:$B$68,(CA61:CA68&gt;BZ61:BZ68)*1)+SUMPRODUCT($B$71:$B$74,(CA71:CA74&gt;BZ71:BZ74)*1)+SUMPRODUCT($B$77:$B$78,(CA77:CA78&gt;BZ77:BZ78)*1)+SUMPRODUCT($B$99:$B$104,(CA99:CA104&gt;BZ99:BZ104)*1))*$B$21</f>
        <v>0</v>
      </c>
      <c r="CB82" s="384" t="n">
        <f aca="false">(SUMPRODUCT($B$49:$B$58,(CB49:CB58&gt;CA49:CA58)*1)+SUMPRODUCT($B$61:$B$68,(CB61:CB68&gt;CA61:CA68)*1)+SUMPRODUCT($B$71:$B$74,(CB71:CB74&gt;CA71:CA74)*1)+SUMPRODUCT($B$77:$B$78,(CB77:CB78&gt;CA77:CA78)*1)+SUMPRODUCT($B$99:$B$104,(CB99:CB104&gt;CA99:CA104)*1))*$B$21</f>
        <v>0</v>
      </c>
      <c r="CC82" s="384" t="n">
        <f aca="false">(SUMPRODUCT($B$49:$B$58,(CC49:CC58&gt;CB49:CB58)*1)+SUMPRODUCT($B$61:$B$68,(CC61:CC68&gt;CB61:CB68)*1)+SUMPRODUCT($B$71:$B$74,(CC71:CC74&gt;CB71:CB74)*1)+SUMPRODUCT($B$77:$B$78,(CC77:CC78&gt;CB77:CB78)*1)+SUMPRODUCT($B$99:$B$104,(CC99:CC104&gt;CB99:CB104)*1))*$B$21</f>
        <v>0</v>
      </c>
      <c r="CD82" s="384" t="n">
        <f aca="false">(SUMPRODUCT($B$49:$B$58,(CD49:CD58&gt;CC49:CC58)*1)+SUMPRODUCT($B$61:$B$68,(CD61:CD68&gt;CC61:CC68)*1)+SUMPRODUCT($B$71:$B$74,(CD71:CD74&gt;CC71:CC74)*1)+SUMPRODUCT($B$77:$B$78,(CD77:CD78&gt;CC77:CC78)*1)+SUMPRODUCT($B$99:$B$104,(CD99:CD104&gt;CC99:CC104)*1))*$B$21</f>
        <v>0</v>
      </c>
      <c r="CE82" s="384" t="n">
        <f aca="false">(SUMPRODUCT($B$49:$B$58,(CE49:CE58&gt;CD49:CD58)*1)+SUMPRODUCT($B$61:$B$68,(CE61:CE68&gt;CD61:CD68)*1)+SUMPRODUCT($B$71:$B$74,(CE71:CE74&gt;CD71:CD74)*1)+SUMPRODUCT($B$77:$B$78,(CE77:CE78&gt;CD77:CD78)*1)+SUMPRODUCT($B$99:$B$104,(CE99:CE104&gt;CD99:CD104)*1))*$B$21</f>
        <v>0</v>
      </c>
      <c r="CF82" s="384" t="n">
        <f aca="false">(SUMPRODUCT($B$49:$B$58,(CF49:CF58&gt;CE49:CE58)*1)+SUMPRODUCT($B$61:$B$68,(CF61:CF68&gt;CE61:CE68)*1)+SUMPRODUCT($B$71:$B$74,(CF71:CF74&gt;CE71:CE74)*1)+SUMPRODUCT($B$77:$B$78,(CF77:CF78&gt;CE77:CE78)*1)+SUMPRODUCT($B$99:$B$104,(CF99:CF104&gt;CE99:CE104)*1))*$B$21</f>
        <v>0</v>
      </c>
      <c r="CG82" s="384" t="n">
        <f aca="false">(SUMPRODUCT($B$49:$B$58,(CG49:CG58&gt;CF49:CF58)*1)+SUMPRODUCT($B$61:$B$68,(CG61:CG68&gt;CF61:CF68)*1)+SUMPRODUCT($B$71:$B$74,(CG71:CG74&gt;CF71:CF74)*1)+SUMPRODUCT($B$77:$B$78,(CG77:CG78&gt;CF77:CF78)*1)+SUMPRODUCT($B$99:$B$104,(CG99:CG104&gt;CF99:CF104)*1))*$B$21</f>
        <v>0</v>
      </c>
      <c r="CH82" s="384" t="n">
        <f aca="false">(SUMPRODUCT($B$49:$B$58,(CH49:CH58&gt;CG49:CG58)*1)+SUMPRODUCT($B$61:$B$68,(CH61:CH68&gt;CG61:CG68)*1)+SUMPRODUCT($B$71:$B$74,(CH71:CH74&gt;CG71:CG74)*1)+SUMPRODUCT($B$77:$B$78,(CH77:CH78&gt;CG77:CG78)*1)+SUMPRODUCT($B$99:$B$104,(CH99:CH104&gt;CG99:CG104)*1))*$B$21</f>
        <v>0</v>
      </c>
      <c r="CI82" s="384" t="n">
        <f aca="false">(SUMPRODUCT($B$49:$B$58,(CI49:CI58&gt;CH49:CH58)*1)+SUMPRODUCT($B$61:$B$68,(CI61:CI68&gt;CH61:CH68)*1)+SUMPRODUCT($B$71:$B$74,(CI71:CI74&gt;CH71:CH74)*1)+SUMPRODUCT($B$77:$B$78,(CI77:CI78&gt;CH77:CH78)*1)+SUMPRODUCT($B$99:$B$104,(CI99:CI104&gt;CH99:CH104)*1))*$B$21</f>
        <v>0</v>
      </c>
      <c r="CJ82" s="384" t="n">
        <f aca="false">(SUMPRODUCT($B$49:$B$58,(CJ49:CJ58&gt;CI49:CI58)*1)+SUMPRODUCT($B$61:$B$68,(CJ61:CJ68&gt;CI61:CI68)*1)+SUMPRODUCT($B$71:$B$74,(CJ71:CJ74&gt;CI71:CI74)*1)+SUMPRODUCT($B$77:$B$78,(CJ77:CJ78&gt;CI77:CI78)*1)+SUMPRODUCT($B$99:$B$104,(CJ99:CJ104&gt;CI99:CI104)*1))*$B$21</f>
        <v>0</v>
      </c>
      <c r="CK82" s="384" t="n">
        <f aca="false">(SUMPRODUCT($B$49:$B$58,(CK49:CK58&gt;CJ49:CJ58)*1)+SUMPRODUCT($B$61:$B$68,(CK61:CK68&gt;CJ61:CJ68)*1)+SUMPRODUCT($B$71:$B$74,(CK71:CK74&gt;CJ71:CJ74)*1)+SUMPRODUCT($B$77:$B$78,(CK77:CK78&gt;CJ77:CJ78)*1)+SUMPRODUCT($B$99:$B$104,(CK99:CK104&gt;CJ99:CJ104)*1))*$B$21</f>
        <v>0</v>
      </c>
      <c r="CL82" s="384" t="n">
        <f aca="false">(SUMPRODUCT($B$49:$B$58,(CL49:CL58&gt;CK49:CK58)*1)+SUMPRODUCT($B$61:$B$68,(CL61:CL68&gt;CK61:CK68)*1)+SUMPRODUCT($B$71:$B$74,(CL71:CL74&gt;CK71:CK74)*1)+SUMPRODUCT($B$77:$B$78,(CL77:CL78&gt;CK77:CK78)*1)+SUMPRODUCT($B$99:$B$104,(CL99:CL104&gt;CK99:CK104)*1))*$B$21</f>
        <v>0</v>
      </c>
      <c r="CM82" s="384" t="n">
        <f aca="false">(SUMPRODUCT($B$49:$B$58,(CM49:CM58&gt;CL49:CL58)*1)+SUMPRODUCT($B$61:$B$68,(CM61:CM68&gt;CL61:CL68)*1)+SUMPRODUCT($B$71:$B$74,(CM71:CM74&gt;CL71:CL74)*1)+SUMPRODUCT($B$77:$B$78,(CM77:CM78&gt;CL77:CL78)*1)+SUMPRODUCT($B$99:$B$104,(CM99:CM104&gt;CL99:CL104)*1))*$B$21</f>
        <v>0</v>
      </c>
      <c r="CN82" s="384" t="n">
        <f aca="false">(SUMPRODUCT($B$49:$B$58,(CN49:CN58&gt;CM49:CM58)*1)+SUMPRODUCT($B$61:$B$68,(CN61:CN68&gt;CM61:CM68)*1)+SUMPRODUCT($B$71:$B$74,(CN71:CN74&gt;CM71:CM74)*1)+SUMPRODUCT($B$77:$B$78,(CN77:CN78&gt;CM77:CM78)*1)+SUMPRODUCT($B$99:$B$104,(CN99:CN104&gt;CM99:CM104)*1))*$B$21</f>
        <v>0</v>
      </c>
      <c r="CO82" s="384" t="n">
        <f aca="false">(SUMPRODUCT($B$49:$B$58,(CO49:CO58&gt;CN49:CN58)*1)+SUMPRODUCT($B$61:$B$68,(CO61:CO68&gt;CN61:CN68)*1)+SUMPRODUCT($B$71:$B$74,(CO71:CO74&gt;CN71:CN74)*1)+SUMPRODUCT($B$77:$B$78,(CO77:CO78&gt;CN77:CN78)*1)+SUMPRODUCT($B$99:$B$104,(CO99:CO104&gt;CN99:CN104)*1))*$B$21</f>
        <v>0</v>
      </c>
      <c r="CP82" s="384" t="n">
        <f aca="false">(SUMPRODUCT($B$49:$B$58,(CP49:CP58&gt;CO49:CO58)*1)+SUMPRODUCT($B$61:$B$68,(CP61:CP68&gt;CO61:CO68)*1)+SUMPRODUCT($B$71:$B$74,(CP71:CP74&gt;CO71:CO74)*1)+SUMPRODUCT($B$77:$B$78,(CP77:CP78&gt;CO77:CO78)*1)+SUMPRODUCT($B$99:$B$104,(CP99:CP104&gt;CO99:CO104)*1))*$B$21</f>
        <v>0</v>
      </c>
      <c r="CQ82" s="384" t="n">
        <f aca="false">(SUMPRODUCT($B$49:$B$58,(CQ49:CQ58&gt;CP49:CP58)*1)+SUMPRODUCT($B$61:$B$68,(CQ61:CQ68&gt;CP61:CP68)*1)+SUMPRODUCT($B$71:$B$74,(CQ71:CQ74&gt;CP71:CP74)*1)+SUMPRODUCT($B$77:$B$78,(CQ77:CQ78&gt;CP77:CP78)*1)+SUMPRODUCT($B$99:$B$104,(CQ99:CQ104&gt;CP99:CP104)*1))*$B$21</f>
        <v>0</v>
      </c>
      <c r="CR82" s="384" t="n">
        <f aca="false">(SUMPRODUCT($B$49:$B$58,(CR49:CR58&gt;CQ49:CQ58)*1)+SUMPRODUCT($B$61:$B$68,(CR61:CR68&gt;CQ61:CQ68)*1)+SUMPRODUCT($B$71:$B$74,(CR71:CR74&gt;CQ71:CQ74)*1)+SUMPRODUCT($B$77:$B$78,(CR77:CR78&gt;CQ77:CQ78)*1)+SUMPRODUCT($B$99:$B$104,(CR99:CR104&gt;CQ99:CQ104)*1))*$B$21</f>
        <v>0</v>
      </c>
      <c r="CS82" s="384" t="n">
        <f aca="false">(SUMPRODUCT($B$49:$B$58,(CS49:CS58&gt;CR49:CR58)*1)+SUMPRODUCT($B$61:$B$68,(CS61:CS68&gt;CR61:CR68)*1)+SUMPRODUCT($B$71:$B$74,(CS71:CS74&gt;CR71:CR74)*1)+SUMPRODUCT($B$77:$B$78,(CS77:CS78&gt;CR77:CR78)*1)+SUMPRODUCT($B$99:$B$104,(CS99:CS104&gt;CR99:CR104)*1))*$B$21</f>
        <v>0</v>
      </c>
      <c r="CT82" s="384" t="n">
        <f aca="false">(SUMPRODUCT($B$49:$B$58,(CT49:CT58&gt;CS49:CS58)*1)+SUMPRODUCT($B$61:$B$68,(CT61:CT68&gt;CS61:CS68)*1)+SUMPRODUCT($B$71:$B$74,(CT71:CT74&gt;CS71:CS74)*1)+SUMPRODUCT($B$77:$B$78,(CT77:CT78&gt;CS77:CS78)*1)+SUMPRODUCT($B$99:$B$104,(CT99:CT104&gt;CS99:CS104)*1))*$B$21</f>
        <v>0</v>
      </c>
      <c r="CU82" s="384" t="n">
        <f aca="false">(SUMPRODUCT($B$49:$B$58,(CU49:CU58&gt;CT49:CT58)*1)+SUMPRODUCT($B$61:$B$68,(CU61:CU68&gt;CT61:CT68)*1)+SUMPRODUCT($B$71:$B$74,(CU71:CU74&gt;CT71:CT74)*1)+SUMPRODUCT($B$77:$B$78,(CU77:CU78&gt;CT77:CT78)*1)+SUMPRODUCT($B$99:$B$104,(CU99:CU104&gt;CT99:CT104)*1))*$B$21</f>
        <v>0</v>
      </c>
      <c r="CV82" s="384" t="n">
        <f aca="false">(SUMPRODUCT($B$49:$B$58,(CV49:CV58&gt;CU49:CU58)*1)+SUMPRODUCT($B$61:$B$68,(CV61:CV68&gt;CU61:CU68)*1)+SUMPRODUCT($B$71:$B$74,(CV71:CV74&gt;CU71:CU74)*1)+SUMPRODUCT($B$77:$B$78,(CV77:CV78&gt;CU77:CU78)*1)+SUMPRODUCT($B$99:$B$104,(CV99:CV104&gt;CU99:CU104)*1))*$B$21</f>
        <v>0</v>
      </c>
      <c r="CW82" s="384" t="n">
        <f aca="false">(SUMPRODUCT($B$49:$B$58,(CW49:CW58&gt;CV49:CV58)*1)+SUMPRODUCT($B$61:$B$68,(CW61:CW68&gt;CV61:CV68)*1)+SUMPRODUCT($B$71:$B$74,(CW71:CW74&gt;CV71:CV74)*1)+SUMPRODUCT($B$77:$B$78,(CW77:CW78&gt;CV77:CV78)*1)+SUMPRODUCT($B$99:$B$104,(CW99:CW104&gt;CV99:CV104)*1))*$B$21</f>
        <v>0</v>
      </c>
      <c r="CX82" s="384" t="n">
        <f aca="false">(SUMPRODUCT($B$49:$B$58,(CX49:CX58&gt;CW49:CW58)*1)+SUMPRODUCT($B$61:$B$68,(CX61:CX68&gt;CW61:CW68)*1)+SUMPRODUCT($B$71:$B$74,(CX71:CX74&gt;CW71:CW74)*1)+SUMPRODUCT($B$77:$B$78,(CX77:CX78&gt;CW77:CW78)*1)+SUMPRODUCT($B$99:$B$104,(CX99:CX104&gt;CW99:CW104)*1))*$B$21</f>
        <v>0</v>
      </c>
      <c r="CY82" s="384" t="n">
        <f aca="false">(SUMPRODUCT($B$49:$B$58,(CY49:CY58&gt;CX49:CX58)*1)+SUMPRODUCT($B$61:$B$68,(CY61:CY68&gt;CX61:CX68)*1)+SUMPRODUCT($B$71:$B$74,(CY71:CY74&gt;CX71:CX74)*1)+SUMPRODUCT($B$77:$B$78,(CY77:CY78&gt;CX77:CX78)*1)+SUMPRODUCT($B$99:$B$104,(CY99:CY104&gt;CX99:CX104)*1))*$B$21</f>
        <v>0</v>
      </c>
      <c r="CZ82" s="384" t="n">
        <f aca="false">(SUMPRODUCT($B$49:$B$58,(CZ49:CZ58&gt;CY49:CY58)*1)+SUMPRODUCT($B$61:$B$68,(CZ61:CZ68&gt;CY61:CY68)*1)+SUMPRODUCT($B$71:$B$74,(CZ71:CZ74&gt;CY71:CY74)*1)+SUMPRODUCT($B$77:$B$78,(CZ77:CZ78&gt;CY77:CY78)*1)+SUMPRODUCT($B$99:$B$104,(CZ99:CZ104&gt;CY99:CY104)*1))*$B$21</f>
        <v>0</v>
      </c>
      <c r="DA82" s="384" t="n">
        <f aca="false">(SUMPRODUCT($B$49:$B$58,(DA49:DA58&gt;CZ49:CZ58)*1)+SUMPRODUCT($B$61:$B$68,(DA61:DA68&gt;CZ61:CZ68)*1)+SUMPRODUCT($B$71:$B$74,(DA71:DA74&gt;CZ71:CZ74)*1)+SUMPRODUCT($B$77:$B$78,(DA77:DA78&gt;CZ77:CZ78)*1)+SUMPRODUCT($B$99:$B$104,(DA99:DA104&gt;CZ99:CZ104)*1))*$B$21</f>
        <v>0</v>
      </c>
      <c r="DB82" s="384" t="n">
        <f aca="false">(SUMPRODUCT($B$49:$B$58,(DB49:DB58&gt;DA49:DA58)*1)+SUMPRODUCT($B$61:$B$68,(DB61:DB68&gt;DA61:DA68)*1)+SUMPRODUCT($B$71:$B$74,(DB71:DB74&gt;DA71:DA74)*1)+SUMPRODUCT($B$77:$B$78,(DB77:DB78&gt;DA77:DA78)*1)+SUMPRODUCT($B$99:$B$104,(DB99:DB104&gt;DA99:DA104)*1))*$B$21</f>
        <v>0</v>
      </c>
      <c r="DC82" s="384" t="n">
        <f aca="false">(SUMPRODUCT($B$49:$B$58,(DC49:DC58&gt;DB49:DB58)*1)+SUMPRODUCT($B$61:$B$68,(DC61:DC68&gt;DB61:DB68)*1)+SUMPRODUCT($B$71:$B$74,(DC71:DC74&gt;DB71:DB74)*1)+SUMPRODUCT($B$77:$B$78,(DC77:DC78&gt;DB77:DB78)*1)+SUMPRODUCT($B$99:$B$104,(DC99:DC104&gt;DB99:DB104)*1))*$B$21</f>
        <v>0</v>
      </c>
      <c r="DD82" s="384" t="n">
        <f aca="false">(SUMPRODUCT($B$49:$B$58,(DD49:DD58&gt;DC49:DC58)*1)+SUMPRODUCT($B$61:$B$68,(DD61:DD68&gt;DC61:DC68)*1)+SUMPRODUCT($B$71:$B$74,(DD71:DD74&gt;DC71:DC74)*1)+SUMPRODUCT($B$77:$B$78,(DD77:DD78&gt;DC77:DC78)*1)+SUMPRODUCT($B$99:$B$104,(DD99:DD104&gt;DC99:DC104)*1))*$B$21</f>
        <v>0</v>
      </c>
      <c r="DE82" s="384"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1404</v>
      </c>
      <c r="E83" s="384" t="n">
        <v>0</v>
      </c>
      <c r="F83" s="384" t="n">
        <f aca="false">(SUMPRODUCT($B$49:$B$58,(E49:E58&gt;F49:F58)*1)+SUMPRODUCT($B$61:$B$68,(E61:E68&gt;F61:F68)*1)+SUMPRODUCT($B$71:$B$74,(E71:E74&gt;F71:F74)*1)+SUMPRODUCT($B$77:$B$78,(E77:E78&gt;F77:F78)*1)+SUMPRODUCT($B$99:$B$104,(E99:E104&gt;F99:F104)*1))*$B$20/52</f>
        <v>0</v>
      </c>
      <c r="G83" s="384" t="n">
        <f aca="false">(SUMPRODUCT($B$49:$B$58,(F49:F58&gt;G49:G58)*1)+SUMPRODUCT($B$61:$B$68,(F61:F68&gt;G61:G68)*1)+SUMPRODUCT($B$71:$B$74,(F71:F74&gt;G71:G74)*1)+SUMPRODUCT($B$77:$B$78,(F77:F78&gt;G77:G78)*1)+SUMPRODUCT($B$99:$B$104,(F99:F104&gt;G99:G104)*1))*$B$20/52</f>
        <v>0</v>
      </c>
      <c r="H83" s="384" t="n">
        <f aca="false">(SUMPRODUCT($B$49:$B$58,(G49:G58&gt;H49:H58)*1)+SUMPRODUCT($B$61:$B$68,(G61:G68&gt;H61:H68)*1)+SUMPRODUCT($B$71:$B$74,(G71:G74&gt;H71:H74)*1)+SUMPRODUCT($B$77:$B$78,(G77:G78&gt;H77:H78)*1)+SUMPRODUCT($B$99:$B$104,(G99:G104&gt;H99:H104)*1))*$B$20/52</f>
        <v>0</v>
      </c>
      <c r="I83" s="384" t="n">
        <f aca="false">(SUMPRODUCT($B$49:$B$58,(H49:H58&gt;I49:I58)*1)+SUMPRODUCT($B$61:$B$68,(H61:H68&gt;I61:I68)*1)+SUMPRODUCT($B$71:$B$74,(H71:H74&gt;I71:I74)*1)+SUMPRODUCT($B$77:$B$78,(H77:H78&gt;I77:I78)*1)+SUMPRODUCT($B$99:$B$104,(H99:H104&gt;I99:I104)*1))*$B$20/52</f>
        <v>0</v>
      </c>
      <c r="J83" s="384" t="n">
        <f aca="false">(SUMPRODUCT($B$49:$B$58,(I49:I58&gt;J49:J58)*1)+SUMPRODUCT($B$61:$B$68,(I61:I68&gt;J61:J68)*1)+SUMPRODUCT($B$71:$B$74,(I71:I74&gt;J71:J74)*1)+SUMPRODUCT($B$77:$B$78,(I77:I78&gt;J77:J78)*1)+SUMPRODUCT($B$99:$B$104,(I99:I104&gt;J99:J104)*1))*$B$20/52</f>
        <v>10000</v>
      </c>
      <c r="K83" s="384" t="n">
        <f aca="false">(SUMPRODUCT($B$49:$B$58,(J49:J58&gt;K49:K58)*1)+SUMPRODUCT($B$61:$B$68,(J61:J68&gt;K61:K68)*1)+SUMPRODUCT($B$71:$B$74,(J71:J74&gt;K71:K74)*1)+SUMPRODUCT($B$77:$B$78,(J77:J78&gt;K77:K78)*1)+SUMPRODUCT($B$99:$B$104,(J99:J104&gt;K99:K104)*1))*$B$20/52</f>
        <v>0</v>
      </c>
      <c r="L83" s="384" t="n">
        <f aca="false">(SUMPRODUCT($B$49:$B$58,(K49:K58&gt;L49:L58)*1)+SUMPRODUCT($B$61:$B$68,(K61:K68&gt;L61:L68)*1)+SUMPRODUCT($B$71:$B$74,(K71:K74&gt;L71:L74)*1)+SUMPRODUCT($B$77:$B$78,(K77:K78&gt;L77:L78)*1)+SUMPRODUCT($B$99:$B$104,(K99:K104&gt;L99:L104)*1))*$B$20/52</f>
        <v>0</v>
      </c>
      <c r="M83" s="384" t="n">
        <f aca="false">(SUMPRODUCT($B$49:$B$58,(L49:L58&gt;M49:M58)*1)+SUMPRODUCT($B$61:$B$68,(L61:L68&gt;M61:M68)*1)+SUMPRODUCT($B$71:$B$74,(L71:L74&gt;M71:M74)*1)+SUMPRODUCT($B$77:$B$78,(L77:L78&gt;M77:M78)*1)+SUMPRODUCT($B$99:$B$104,(L99:L104&gt;M99:M104)*1))*$B$20/52</f>
        <v>0</v>
      </c>
      <c r="N83" s="384" t="n">
        <f aca="false">(SUMPRODUCT($B$49:$B$58,(M49:M58&gt;N49:N58)*1)+SUMPRODUCT($B$61:$B$68,(M61:M68&gt;N61:N68)*1)+SUMPRODUCT($B$71:$B$74,(M71:M74&gt;N71:N74)*1)+SUMPRODUCT($B$77:$B$78,(M77:M78&gt;N77:N78)*1)+SUMPRODUCT($B$99:$B$104,(M99:M104&gt;N99:N104)*1))*$B$20/52</f>
        <v>0</v>
      </c>
      <c r="O83" s="384" t="n">
        <f aca="false">(SUMPRODUCT($B$49:$B$58,(N49:N58&gt;O49:O58)*1)+SUMPRODUCT($B$61:$B$68,(N61:N68&gt;O61:O68)*1)+SUMPRODUCT($B$71:$B$74,(N71:N74&gt;O71:O74)*1)+SUMPRODUCT($B$77:$B$78,(N77:N78&gt;O77:O78)*1)+SUMPRODUCT($B$99:$B$104,(N99:N104&gt;O99:O104)*1))*$B$20/52</f>
        <v>0</v>
      </c>
      <c r="P83" s="384" t="n">
        <f aca="false">(SUMPRODUCT($B$49:$B$58,(O49:O58&gt;P49:P58)*1)+SUMPRODUCT($B$61:$B$68,(O61:O68&gt;P61:P68)*1)+SUMPRODUCT($B$71:$B$74,(O71:O74&gt;P71:P74)*1)+SUMPRODUCT($B$77:$B$78,(O77:O78&gt;P77:P78)*1)+SUMPRODUCT($B$99:$B$104,(O99:O104&gt;P99:P104)*1))*$B$20/52</f>
        <v>0</v>
      </c>
      <c r="Q83" s="384" t="n">
        <f aca="false">(SUMPRODUCT($B$49:$B$58,(P49:P58&gt;Q49:Q58)*1)+SUMPRODUCT($B$61:$B$68,(P61:P68&gt;Q61:Q68)*1)+SUMPRODUCT($B$71:$B$74,(P71:P74&gt;Q71:Q74)*1)+SUMPRODUCT($B$77:$B$78,(P77:P78&gt;Q77:Q78)*1)+SUMPRODUCT($B$99:$B$104,(P99:P104&gt;Q99:Q104)*1))*$B$20/52</f>
        <v>0</v>
      </c>
      <c r="R83" s="384" t="n">
        <f aca="false">(SUMPRODUCT($B$49:$B$58,(Q49:Q58&gt;R49:R58)*1)+SUMPRODUCT($B$61:$B$68,(Q61:Q68&gt;R61:R68)*1)+SUMPRODUCT($B$71:$B$74,(Q71:Q74&gt;R71:R74)*1)+SUMPRODUCT($B$77:$B$78,(Q77:Q78&gt;R77:R78)*1)+SUMPRODUCT($B$99:$B$104,(Q99:Q104&gt;R99:R104)*1))*$B$20/52</f>
        <v>0</v>
      </c>
      <c r="S83" s="384" t="n">
        <f aca="false">(SUMPRODUCT($B$49:$B$58,(R49:R58&gt;S49:S58)*1)+SUMPRODUCT($B$61:$B$68,(R61:R68&gt;S61:S68)*1)+SUMPRODUCT($B$71:$B$74,(R71:R74&gt;S71:S74)*1)+SUMPRODUCT($B$77:$B$78,(R77:R78&gt;S77:S78)*1)+SUMPRODUCT($B$99:$B$104,(R99:R104&gt;S99:S104)*1))*$B$20/52</f>
        <v>0</v>
      </c>
      <c r="T83" s="384" t="n">
        <f aca="false">(SUMPRODUCT($B$49:$B$58,(S49:S58&gt;T49:T58)*1)+SUMPRODUCT($B$61:$B$68,(S61:S68&gt;T61:T68)*1)+SUMPRODUCT($B$71:$B$74,(S71:S74&gt;T71:T74)*1)+SUMPRODUCT($B$77:$B$78,(S77:S78&gt;T77:T78)*1)+SUMPRODUCT($B$99:$B$104,(S99:S104&gt;T99:T104)*1))*$B$20/52</f>
        <v>0</v>
      </c>
      <c r="U83" s="384" t="n">
        <f aca="false">(SUMPRODUCT($B$49:$B$58,(T49:T58&gt;U49:U58)*1)+SUMPRODUCT($B$61:$B$68,(T61:T68&gt;U61:U68)*1)+SUMPRODUCT($B$71:$B$74,(T71:T74&gt;U71:U74)*1)+SUMPRODUCT($B$77:$B$78,(T77:T78&gt;U77:U78)*1)+SUMPRODUCT($B$99:$B$104,(T99:T104&gt;U99:U104)*1))*$B$20/52</f>
        <v>0</v>
      </c>
      <c r="V83" s="384" t="n">
        <f aca="false">(SUMPRODUCT($B$49:$B$58,(U49:U58&gt;V49:V58)*1)+SUMPRODUCT($B$61:$B$68,(U61:U68&gt;V61:V68)*1)+SUMPRODUCT($B$71:$B$74,(U71:U74&gt;V71:V74)*1)+SUMPRODUCT($B$77:$B$78,(U77:U78&gt;V77:V78)*1)+SUMPRODUCT($B$99:$B$104,(U99:U104&gt;V99:V104)*1))*$B$20/52</f>
        <v>0</v>
      </c>
      <c r="W83" s="384" t="n">
        <f aca="false">(SUMPRODUCT($B$49:$B$58,(V49:V58&gt;W49:W58)*1)+SUMPRODUCT($B$61:$B$68,(V61:V68&gt;W61:W68)*1)+SUMPRODUCT($B$71:$B$74,(V71:V74&gt;W71:W74)*1)+SUMPRODUCT($B$77:$B$78,(V77:V78&gt;W77:W78)*1)+SUMPRODUCT($B$99:$B$104,(V99:V104&gt;W99:W104)*1))*$B$20/52</f>
        <v>0</v>
      </c>
      <c r="X83" s="384" t="n">
        <f aca="false">(SUMPRODUCT($B$49:$B$58,(W49:W58&gt;X49:X58)*1)+SUMPRODUCT($B$61:$B$68,(W61:W68&gt;X61:X68)*1)+SUMPRODUCT($B$71:$B$74,(W71:W74&gt;X71:X74)*1)+SUMPRODUCT($B$77:$B$78,(W77:W78&gt;X77:X78)*1)+SUMPRODUCT($B$99:$B$104,(W99:W104&gt;X99:X104)*1))*$B$20/52</f>
        <v>0</v>
      </c>
      <c r="Y83" s="384" t="n">
        <f aca="false">(SUMPRODUCT($B$49:$B$58,(X49:X58&gt;Y49:Y58)*1)+SUMPRODUCT($B$61:$B$68,(X61:X68&gt;Y61:Y68)*1)+SUMPRODUCT($B$71:$B$74,(X71:X74&gt;Y71:Y74)*1)+SUMPRODUCT($B$77:$B$78,(X77:X78&gt;Y77:Y78)*1)+SUMPRODUCT($B$99:$B$104,(X99:X104&gt;Y99:Y104)*1))*$B$20/52</f>
        <v>0</v>
      </c>
      <c r="Z83" s="384" t="n">
        <f aca="false">(SUMPRODUCT($B$49:$B$58,(Y49:Y58&gt;Z49:Z58)*1)+SUMPRODUCT($B$61:$B$68,(Y61:Y68&gt;Z61:Z68)*1)+SUMPRODUCT($B$71:$B$74,(Y71:Y74&gt;Z71:Z74)*1)+SUMPRODUCT($B$77:$B$78,(Y77:Y78&gt;Z77:Z78)*1)+SUMPRODUCT($B$99:$B$104,(Y99:Y104&gt;Z99:Z104)*1))*$B$20/52</f>
        <v>9615.38461538462</v>
      </c>
      <c r="AA83" s="384" t="n">
        <f aca="false">(SUMPRODUCT($B$49:$B$58,(Z49:Z58&gt;AA49:AA58)*1)+SUMPRODUCT($B$61:$B$68,(Z61:Z68&gt;AA61:AA68)*1)+SUMPRODUCT($B$71:$B$74,(Z71:Z74&gt;AA71:AA74)*1)+SUMPRODUCT($B$77:$B$78,(Z77:Z78&gt;AA77:AA78)*1)+SUMPRODUCT($B$99:$B$104,(Z99:Z104&gt;AA99:AA104)*1))*$B$20/52</f>
        <v>0</v>
      </c>
      <c r="AB83" s="384" t="n">
        <f aca="false">(SUMPRODUCT($B$49:$B$58,(AA49:AA58&gt;AB49:AB58)*1)+SUMPRODUCT($B$61:$B$68,(AA61:AA68&gt;AB61:AB68)*1)+SUMPRODUCT($B$71:$B$74,(AA71:AA74&gt;AB71:AB74)*1)+SUMPRODUCT($B$77:$B$78,(AA77:AA78&gt;AB77:AB78)*1)+SUMPRODUCT($B$99:$B$104,(AA99:AA104&gt;AB99:AB104)*1))*$B$20/52</f>
        <v>6153.84615384615</v>
      </c>
      <c r="AC83" s="384" t="n">
        <f aca="false">(SUMPRODUCT($B$49:$B$58,(AB49:AB58&gt;AC49:AC58)*1)+SUMPRODUCT($B$61:$B$68,(AB61:AB68&gt;AC61:AC68)*1)+SUMPRODUCT($B$71:$B$74,(AB71:AB74&gt;AC71:AC74)*1)+SUMPRODUCT($B$77:$B$78,(AB77:AB78&gt;AC77:AC78)*1)+SUMPRODUCT($B$99:$B$104,(AB99:AB104&gt;AC99:AC104)*1))*$B$20/52</f>
        <v>0</v>
      </c>
      <c r="AD83" s="384" t="n">
        <f aca="false">(SUMPRODUCT($B$49:$B$58,(AC49:AC58&gt;AD49:AD58)*1)+SUMPRODUCT($B$61:$B$68,(AC61:AC68&gt;AD61:AD68)*1)+SUMPRODUCT($B$71:$B$74,(AC71:AC74&gt;AD71:AD74)*1)+SUMPRODUCT($B$77:$B$78,(AC77:AC78&gt;AD77:AD78)*1)+SUMPRODUCT($B$99:$B$104,(AC99:AC104&gt;AD99:AD104)*1))*$B$20/52</f>
        <v>21923.0769230769</v>
      </c>
      <c r="AE83" s="384" t="n">
        <f aca="false">(SUMPRODUCT($B$49:$B$58,(AD49:AD58&gt;AE49:AE58)*1)+SUMPRODUCT($B$61:$B$68,(AD61:AD68&gt;AE61:AE68)*1)+SUMPRODUCT($B$71:$B$74,(AD71:AD74&gt;AE71:AE74)*1)+SUMPRODUCT($B$77:$B$78,(AD77:AD78&gt;AE77:AE78)*1)+SUMPRODUCT($B$99:$B$104,(AD99:AD104&gt;AE99:AE104)*1))*$B$20/52</f>
        <v>0</v>
      </c>
      <c r="AF83" s="384" t="n">
        <f aca="false">(SUMPRODUCT($B$49:$B$58,(AE49:AE58&gt;AF49:AF58)*1)+SUMPRODUCT($B$61:$B$68,(AE61:AE68&gt;AF61:AF68)*1)+SUMPRODUCT($B$71:$B$74,(AE71:AE74&gt;AF71:AF74)*1)+SUMPRODUCT($B$77:$B$78,(AE77:AE78&gt;AF77:AF78)*1)+SUMPRODUCT($B$99:$B$104,(AE99:AE104&gt;AF99:AF104)*1))*$B$20/52</f>
        <v>0</v>
      </c>
      <c r="AG83" s="384" t="n">
        <f aca="false">(SUMPRODUCT($B$49:$B$58,(AF49:AF58&gt;AG49:AG58)*1)+SUMPRODUCT($B$61:$B$68,(AF61:AF68&gt;AG61:AG68)*1)+SUMPRODUCT($B$71:$B$74,(AF71:AF74&gt;AG71:AG74)*1)+SUMPRODUCT($B$77:$B$78,(AF77:AF78&gt;AG77:AG78)*1)+SUMPRODUCT($B$99:$B$104,(AF99:AF104&gt;AG99:AG104)*1))*$B$20/52</f>
        <v>0</v>
      </c>
      <c r="AH83" s="384" t="n">
        <f aca="false">(SUMPRODUCT($B$49:$B$58,(AG49:AG58&gt;AH49:AH58)*1)+SUMPRODUCT($B$61:$B$68,(AG61:AG68&gt;AH61:AH68)*1)+SUMPRODUCT($B$71:$B$74,(AG71:AG74&gt;AH71:AH74)*1)+SUMPRODUCT($B$77:$B$78,(AG77:AG78&gt;AH77:AH78)*1)+SUMPRODUCT($B$99:$B$104,(AG99:AG104&gt;AH99:AH104)*1))*$B$20/52</f>
        <v>12307.6923076923</v>
      </c>
      <c r="AI83" s="384" t="n">
        <f aca="false">(SUMPRODUCT($B$49:$B$58,(AH49:AH58&gt;AI49:AI58)*1)+SUMPRODUCT($B$61:$B$68,(AH61:AH68&gt;AI61:AI68)*1)+SUMPRODUCT($B$71:$B$74,(AH71:AH74&gt;AI71:AI74)*1)+SUMPRODUCT($B$77:$B$78,(AH77:AH78&gt;AI77:AI78)*1)+SUMPRODUCT($B$99:$B$104,(AH99:AH104&gt;AI99:AI104)*1))*$B$20/52</f>
        <v>0</v>
      </c>
      <c r="AJ83" s="384" t="n">
        <f aca="false">(SUMPRODUCT($B$49:$B$58,(AI49:AI58&gt;AJ49:AJ58)*1)+SUMPRODUCT($B$61:$B$68,(AI61:AI68&gt;AJ61:AJ68)*1)+SUMPRODUCT($B$71:$B$74,(AI71:AI74&gt;AJ71:AJ74)*1)+SUMPRODUCT($B$77:$B$78,(AI77:AI78&gt;AJ77:AJ78)*1)+SUMPRODUCT($B$99:$B$104,(AI99:AI104&gt;AJ99:AJ104)*1))*$B$20/52</f>
        <v>0</v>
      </c>
      <c r="AK83" s="384" t="n">
        <f aca="false">(SUMPRODUCT($B$49:$B$58,(AJ49:AJ58&gt;AK49:AK58)*1)+SUMPRODUCT($B$61:$B$68,(AJ61:AJ68&gt;AK61:AK68)*1)+SUMPRODUCT($B$71:$B$74,(AJ71:AJ74&gt;AK71:AK74)*1)+SUMPRODUCT($B$77:$B$78,(AJ77:AJ78&gt;AK77:AK78)*1)+SUMPRODUCT($B$99:$B$104,(AJ99:AJ104&gt;AK99:AK104)*1))*$B$20/52</f>
        <v>0</v>
      </c>
      <c r="AL83" s="384" t="n">
        <f aca="false">(SUMPRODUCT($B$49:$B$58,(AK49:AK58&gt;AL49:AL58)*1)+SUMPRODUCT($B$61:$B$68,(AK61:AK68&gt;AL61:AL68)*1)+SUMPRODUCT($B$71:$B$74,(AK71:AK74&gt;AL71:AL74)*1)+SUMPRODUCT($B$77:$B$78,(AK77:AK78&gt;AL77:AL78)*1)+SUMPRODUCT($B$99:$B$104,(AK99:AK104&gt;AL99:AL104)*1))*$B$20/52</f>
        <v>6153.84615384615</v>
      </c>
      <c r="AM83" s="384" t="n">
        <f aca="false">(SUMPRODUCT($B$49:$B$58,(AL49:AL58&gt;AM49:AM58)*1)+SUMPRODUCT($B$61:$B$68,(AL61:AL68&gt;AM61:AM68)*1)+SUMPRODUCT($B$71:$B$74,(AL71:AL74&gt;AM71:AM74)*1)+SUMPRODUCT($B$77:$B$78,(AL77:AL78&gt;AM77:AM78)*1)+SUMPRODUCT($B$99:$B$104,(AL99:AL104&gt;AM99:AM104)*1))*$B$20/52</f>
        <v>48461.5384615385</v>
      </c>
      <c r="AN83" s="384" t="n">
        <f aca="false">(SUMPRODUCT($B$49:$B$58,(AM49:AM58&gt;AN49:AN58)*1)+SUMPRODUCT($B$61:$B$68,(AM61:AM68&gt;AN61:AN68)*1)+SUMPRODUCT($B$71:$B$74,(AM71:AM74&gt;AN71:AN74)*1)+SUMPRODUCT($B$77:$B$78,(AM77:AM78&gt;AN77:AN78)*1)+SUMPRODUCT($B$99:$B$104,(AM99:AM104&gt;AN99:AN104)*1))*$B$20/52</f>
        <v>21923.0769230769</v>
      </c>
      <c r="AO83" s="384" t="n">
        <f aca="false">(SUMPRODUCT($B$49:$B$58,(AN49:AN58&gt;AO49:AO58)*1)+SUMPRODUCT($B$61:$B$68,(AN61:AN68&gt;AO61:AO68)*1)+SUMPRODUCT($B$71:$B$74,(AN71:AN74&gt;AO71:AO74)*1)+SUMPRODUCT($B$77:$B$78,(AN77:AN78&gt;AO77:AO78)*1)+SUMPRODUCT($B$99:$B$104,(AN99:AN104&gt;AO99:AO104)*1))*$B$20/52</f>
        <v>0</v>
      </c>
      <c r="AP83" s="384" t="n">
        <f aca="false">(SUMPRODUCT($B$49:$B$58,(AO49:AO58&gt;AP49:AP58)*1)+SUMPRODUCT($B$61:$B$68,(AO61:AO68&gt;AP61:AP68)*1)+SUMPRODUCT($B$71:$B$74,(AO71:AO74&gt;AP71:AP74)*1)+SUMPRODUCT($B$77:$B$78,(AO77:AO78&gt;AP77:AP78)*1)+SUMPRODUCT($B$99:$B$104,(AO99:AO104&gt;AP99:AP104)*1))*$B$20/52</f>
        <v>0</v>
      </c>
      <c r="AQ83" s="384" t="n">
        <f aca="false">(SUMPRODUCT($B$49:$B$58,(AP49:AP58&gt;AQ49:AQ58)*1)+SUMPRODUCT($B$61:$B$68,(AP61:AP68&gt;AQ61:AQ68)*1)+SUMPRODUCT($B$71:$B$74,(AP71:AP74&gt;AQ71:AQ74)*1)+SUMPRODUCT($B$77:$B$78,(AP77:AP78&gt;AQ77:AQ78)*1)+SUMPRODUCT($B$99:$B$104,(AP99:AP104&gt;AQ99:AQ104)*1))*$B$20/52</f>
        <v>19615.3846153846</v>
      </c>
      <c r="AR83" s="384" t="n">
        <f aca="false">(SUMPRODUCT($B$49:$B$58,(AQ49:AQ58&gt;AR49:AR58)*1)+SUMPRODUCT($B$61:$B$68,(AQ61:AQ68&gt;AR61:AR68)*1)+SUMPRODUCT($B$71:$B$74,(AQ71:AQ74&gt;AR71:AR74)*1)+SUMPRODUCT($B$77:$B$78,(AQ77:AQ78&gt;AR77:AR78)*1)+SUMPRODUCT($B$99:$B$104,(AQ99:AQ104&gt;AR99:AR104)*1))*$B$20/52</f>
        <v>0</v>
      </c>
      <c r="AS83" s="384" t="n">
        <f aca="false">(SUMPRODUCT($B$49:$B$58,(AR49:AR58&gt;AS49:AS58)*1)+SUMPRODUCT($B$61:$B$68,(AR61:AR68&gt;AS61:AS68)*1)+SUMPRODUCT($B$71:$B$74,(AR71:AR74&gt;AS71:AS74)*1)+SUMPRODUCT($B$77:$B$78,(AR77:AR78&gt;AS77:AS78)*1)+SUMPRODUCT($B$99:$B$104,(AR99:AR104&gt;AS99:AS104)*1))*$B$20/52</f>
        <v>9615.38461538462</v>
      </c>
      <c r="AT83" s="384" t="n">
        <f aca="false">(SUMPRODUCT($B$49:$B$58,(AS49:AS58&gt;AT49:AT58)*1)+SUMPRODUCT($B$61:$B$68,(AS61:AS68&gt;AT61:AT68)*1)+SUMPRODUCT($B$71:$B$74,(AS71:AS74&gt;AT71:AT74)*1)+SUMPRODUCT($B$77:$B$78,(AS77:AS78&gt;AT77:AT78)*1)+SUMPRODUCT($B$99:$B$104,(AS99:AS104&gt;AT99:AT104)*1))*$B$20/52</f>
        <v>0</v>
      </c>
      <c r="AU83" s="384" t="n">
        <f aca="false">(SUMPRODUCT($B$49:$B$58,(AT49:AT58&gt;AU49:AU58)*1)+SUMPRODUCT($B$61:$B$68,(AT61:AT68&gt;AU61:AU68)*1)+SUMPRODUCT($B$71:$B$74,(AT71:AT74&gt;AU71:AU74)*1)+SUMPRODUCT($B$77:$B$78,(AT77:AT78&gt;AU77:AU78)*1)+SUMPRODUCT($B$99:$B$104,(AT99:AT104&gt;AU99:AU104)*1))*$B$20/52</f>
        <v>0</v>
      </c>
      <c r="AV83" s="384" t="n">
        <f aca="false">(SUMPRODUCT($B$49:$B$58,(AU49:AU58&gt;AV49:AV58)*1)+SUMPRODUCT($B$61:$B$68,(AU61:AU68&gt;AV61:AV68)*1)+SUMPRODUCT($B$71:$B$74,(AU71:AU74&gt;AV71:AV74)*1)+SUMPRODUCT($B$77:$B$78,(AU77:AU78&gt;AV77:AV78)*1)+SUMPRODUCT($B$99:$B$104,(AU99:AU104&gt;AV99:AV104)*1))*$B$20/52</f>
        <v>0</v>
      </c>
      <c r="AW83" s="384" t="n">
        <f aca="false">(SUMPRODUCT($B$49:$B$58,(AV49:AV58&gt;AW49:AW58)*1)+SUMPRODUCT($B$61:$B$68,(AV61:AV68&gt;AW61:AW68)*1)+SUMPRODUCT($B$71:$B$74,(AV71:AV74&gt;AW71:AW74)*1)+SUMPRODUCT($B$77:$B$78,(AV77:AV78&gt;AW77:AW78)*1)+SUMPRODUCT($B$99:$B$104,(AV99:AV104&gt;AW99:AW104)*1))*$B$20/52</f>
        <v>0</v>
      </c>
      <c r="AX83" s="384" t="n">
        <f aca="false">(SUMPRODUCT($B$49:$B$58,(AW49:AW58&gt;AX49:AX58)*1)+SUMPRODUCT($B$61:$B$68,(AW61:AW68&gt;AX61:AX68)*1)+SUMPRODUCT($B$71:$B$74,(AW71:AW74&gt;AX71:AX74)*1)+SUMPRODUCT($B$77:$B$78,(AW77:AW78&gt;AX77:AX78)*1)+SUMPRODUCT($B$99:$B$104,(AW99:AW104&gt;AX99:AX104)*1))*$B$20/52</f>
        <v>0</v>
      </c>
      <c r="AY83" s="384" t="n">
        <f aca="false">(SUMPRODUCT($B$49:$B$58,(AX49:AX58&gt;AY49:AY58)*1)+SUMPRODUCT($B$61:$B$68,(AX61:AX68&gt;AY61:AY68)*1)+SUMPRODUCT($B$71:$B$74,(AX71:AX74&gt;AY71:AY74)*1)+SUMPRODUCT($B$77:$B$78,(AX77:AX78&gt;AY77:AY78)*1)+SUMPRODUCT($B$99:$B$104,(AX99:AX104&gt;AY99:AY104)*1))*$B$20/52</f>
        <v>0</v>
      </c>
      <c r="AZ83" s="384" t="n">
        <f aca="false">(SUMPRODUCT($B$49:$B$58,(AY49:AY58&gt;AZ49:AZ58)*1)+SUMPRODUCT($B$61:$B$68,(AY61:AY68&gt;AZ61:AZ68)*1)+SUMPRODUCT($B$71:$B$74,(AY71:AY74&gt;AZ71:AZ74)*1)+SUMPRODUCT($B$77:$B$78,(AY77:AY78&gt;AZ77:AZ78)*1)+SUMPRODUCT($B$99:$B$104,(AY99:AY104&gt;AZ99:AZ104)*1))*$B$20/52</f>
        <v>0</v>
      </c>
      <c r="BA83" s="384" t="n">
        <f aca="false">(SUMPRODUCT($B$49:$B$58,(AZ49:AZ58&gt;BA49:BA58)*1)+SUMPRODUCT($B$61:$B$68,(AZ61:AZ68&gt;BA61:BA68)*1)+SUMPRODUCT($B$71:$B$74,(AZ71:AZ74&gt;BA71:BA74)*1)+SUMPRODUCT($B$77:$B$78,(AZ77:AZ78&gt;BA77:BA78)*1)+SUMPRODUCT($B$99:$B$104,(AZ99:AZ104&gt;BA99:BA104)*1))*$B$20/52</f>
        <v>0</v>
      </c>
      <c r="BB83" s="384" t="n">
        <f aca="false">(SUMPRODUCT($B$49:$B$58,(BA49:BA58&gt;BB49:BB58)*1)+SUMPRODUCT($B$61:$B$68,(BA61:BA68&gt;BB61:BB68)*1)+SUMPRODUCT($B$71:$B$74,(BA71:BA74&gt;BB71:BB74)*1)+SUMPRODUCT($B$77:$B$78,(BA77:BA78&gt;BB77:BB78)*1)+SUMPRODUCT($B$99:$B$104,(BA99:BA104&gt;BB99:BB104)*1))*$B$20/52</f>
        <v>0</v>
      </c>
      <c r="BC83" s="384" t="n">
        <f aca="false">(SUMPRODUCT($B$49:$B$58,(BB49:BB58&gt;BC49:BC58)*1)+SUMPRODUCT($B$61:$B$68,(BB61:BB68&gt;BC61:BC68)*1)+SUMPRODUCT($B$71:$B$74,(BB71:BB74&gt;BC71:BC74)*1)+SUMPRODUCT($B$77:$B$78,(BB77:BB78&gt;BC77:BC78)*1)+SUMPRODUCT($B$99:$B$104,(BB99:BB104&gt;BC99:BC104)*1))*$B$20/52</f>
        <v>0</v>
      </c>
      <c r="BD83" s="384" t="n">
        <f aca="false">(SUMPRODUCT($B$49:$B$58,(BC49:BC58&gt;BD49:BD58)*1)+SUMPRODUCT($B$61:$B$68,(BC61:BC68&gt;BD61:BD68)*1)+SUMPRODUCT($B$71:$B$74,(BC71:BC74&gt;BD71:BD74)*1)+SUMPRODUCT($B$77:$B$78,(BC77:BC78&gt;BD77:BD78)*1)+SUMPRODUCT($B$99:$B$104,(BC99:BC104&gt;BD99:BD104)*1))*$B$20/52</f>
        <v>0</v>
      </c>
      <c r="BE83" s="384" t="n">
        <f aca="false">(SUMPRODUCT($B$49:$B$58,(BD49:BD58&gt;BE49:BE58)*1)+SUMPRODUCT($B$61:$B$68,(BD61:BD68&gt;BE61:BE68)*1)+SUMPRODUCT($B$71:$B$74,(BD71:BD74&gt;BE71:BE74)*1)+SUMPRODUCT($B$77:$B$78,(BD77:BD78&gt;BE77:BE78)*1)+SUMPRODUCT($B$99:$B$104,(BD99:BD104&gt;BE99:BE104)*1))*$B$20/52</f>
        <v>0</v>
      </c>
      <c r="BF83" s="384" t="n">
        <f aca="false">(SUMPRODUCT($B$49:$B$58,(BE49:BE58&gt;BF49:BF58)*1)+SUMPRODUCT($B$61:$B$68,(BE61:BE68&gt;BF61:BF68)*1)+SUMPRODUCT($B$71:$B$74,(BE71:BE74&gt;BF71:BF74)*1)+SUMPRODUCT($B$77:$B$78,(BE77:BE78&gt;BF77:BF78)*1)+SUMPRODUCT($B$99:$B$104,(BE99:BE104&gt;BF99:BF104)*1))*$B$20/52</f>
        <v>0</v>
      </c>
      <c r="BG83" s="384" t="n">
        <f aca="false">(SUMPRODUCT($B$49:$B$58,(BF49:BF58&gt;BG49:BG58)*1)+SUMPRODUCT($B$61:$B$68,(BF61:BF68&gt;BG61:BG68)*1)+SUMPRODUCT($B$71:$B$74,(BF71:BF74&gt;BG71:BG74)*1)+SUMPRODUCT($B$77:$B$78,(BF77:BF78&gt;BG77:BG78)*1)+SUMPRODUCT($B$99:$B$104,(BF99:BF104&gt;BG99:BG104)*1))*$B$20/52</f>
        <v>0</v>
      </c>
      <c r="BH83" s="384" t="n">
        <f aca="false">(SUMPRODUCT($B$49:$B$58,(BG49:BG58&gt;BH49:BH58)*1)+SUMPRODUCT($B$61:$B$68,(BG61:BG68&gt;BH61:BH68)*1)+SUMPRODUCT($B$71:$B$74,(BG71:BG74&gt;BH71:BH74)*1)+SUMPRODUCT($B$77:$B$78,(BG77:BG78&gt;BH77:BH78)*1)+SUMPRODUCT($B$99:$B$104,(BG99:BG104&gt;BH99:BH104)*1))*$B$20/52</f>
        <v>0</v>
      </c>
      <c r="BI83" s="384" t="n">
        <f aca="false">(SUMPRODUCT($B$49:$B$58,(BH49:BH58&gt;BI49:BI58)*1)+SUMPRODUCT($B$61:$B$68,(BH61:BH68&gt;BI61:BI68)*1)+SUMPRODUCT($B$71:$B$74,(BH71:BH74&gt;BI71:BI74)*1)+SUMPRODUCT($B$77:$B$78,(BH77:BH78&gt;BI77:BI78)*1)+SUMPRODUCT($B$99:$B$104,(BH99:BH104&gt;BI99:BI104)*1))*$B$20/52</f>
        <v>0</v>
      </c>
      <c r="BJ83" s="384" t="n">
        <f aca="false">(SUMPRODUCT($B$49:$B$58,(BI49:BI58&gt;BJ49:BJ58)*1)+SUMPRODUCT($B$61:$B$68,(BI61:BI68&gt;BJ61:BJ68)*1)+SUMPRODUCT($B$71:$B$74,(BI71:BI74&gt;BJ71:BJ74)*1)+SUMPRODUCT($B$77:$B$78,(BI77:BI78&gt;BJ77:BJ78)*1)+SUMPRODUCT($B$99:$B$104,(BI99:BI104&gt;BJ99:BJ104)*1))*$B$20/52</f>
        <v>0</v>
      </c>
      <c r="BK83" s="384" t="n">
        <f aca="false">(SUMPRODUCT($B$49:$B$58,(BJ49:BJ58&gt;BK49:BK58)*1)+SUMPRODUCT($B$61:$B$68,(BJ61:BJ68&gt;BK61:BK68)*1)+SUMPRODUCT($B$71:$B$74,(BJ71:BJ74&gt;BK71:BK74)*1)+SUMPRODUCT($B$77:$B$78,(BJ77:BJ78&gt;BK77:BK78)*1)+SUMPRODUCT($B$99:$B$104,(BJ99:BJ104&gt;BK99:BK104)*1))*$B$20/52</f>
        <v>0</v>
      </c>
      <c r="BL83" s="384" t="n">
        <f aca="false">(SUMPRODUCT($B$49:$B$58,(BK49:BK58&gt;BL49:BL58)*1)+SUMPRODUCT($B$61:$B$68,(BK61:BK68&gt;BL61:BL68)*1)+SUMPRODUCT($B$71:$B$74,(BK71:BK74&gt;BL71:BL74)*1)+SUMPRODUCT($B$77:$B$78,(BK77:BK78&gt;BL77:BL78)*1)+SUMPRODUCT($B$99:$B$104,(BK99:BK104&gt;BL99:BL104)*1))*$B$20/52</f>
        <v>0</v>
      </c>
      <c r="BM83" s="384" t="n">
        <f aca="false">(SUMPRODUCT($B$49:$B$58,(BL49:BL58&gt;BM49:BM58)*1)+SUMPRODUCT($B$61:$B$68,(BL61:BL68&gt;BM61:BM68)*1)+SUMPRODUCT($B$71:$B$74,(BL71:BL74&gt;BM71:BM74)*1)+SUMPRODUCT($B$77:$B$78,(BL77:BL78&gt;BM77:BM78)*1)+SUMPRODUCT($B$99:$B$104,(BL99:BL104&gt;BM99:BM104)*1))*$B$20/52</f>
        <v>0</v>
      </c>
      <c r="BN83" s="384" t="n">
        <f aca="false">(SUMPRODUCT($B$49:$B$58,(BM49:BM58&gt;BN49:BN58)*1)+SUMPRODUCT($B$61:$B$68,(BM61:BM68&gt;BN61:BN68)*1)+SUMPRODUCT($B$71:$B$74,(BM71:BM74&gt;BN71:BN74)*1)+SUMPRODUCT($B$77:$B$78,(BM77:BM78&gt;BN77:BN78)*1)+SUMPRODUCT($B$99:$B$104,(BM99:BM104&gt;BN99:BN104)*1))*$B$20/52</f>
        <v>0</v>
      </c>
      <c r="BO83" s="384" t="n">
        <f aca="false">(SUMPRODUCT($B$49:$B$58,(BN49:BN58&gt;BO49:BO58)*1)+SUMPRODUCT($B$61:$B$68,(BN61:BN68&gt;BO61:BO68)*1)+SUMPRODUCT($B$71:$B$74,(BN71:BN74&gt;BO71:BO74)*1)+SUMPRODUCT($B$77:$B$78,(BN77:BN78&gt;BO77:BO78)*1)+SUMPRODUCT($B$99:$B$104,(BN99:BN104&gt;BO99:BO104)*1))*$B$20/52</f>
        <v>0</v>
      </c>
      <c r="BP83" s="384" t="n">
        <f aca="false">(SUMPRODUCT($B$49:$B$58,(BO49:BO58&gt;BP49:BP58)*1)+SUMPRODUCT($B$61:$B$68,(BO61:BO68&gt;BP61:BP68)*1)+SUMPRODUCT($B$71:$B$74,(BO71:BO74&gt;BP71:BP74)*1)+SUMPRODUCT($B$77:$B$78,(BO77:BO78&gt;BP77:BP78)*1)+SUMPRODUCT($B$99:$B$104,(BO99:BO104&gt;BP99:BP104)*1))*$B$20/52</f>
        <v>0</v>
      </c>
      <c r="BQ83" s="384" t="n">
        <f aca="false">(SUMPRODUCT($B$49:$B$58,(BP49:BP58&gt;BQ49:BQ58)*1)+SUMPRODUCT($B$61:$B$68,(BP61:BP68&gt;BQ61:BQ68)*1)+SUMPRODUCT($B$71:$B$74,(BP71:BP74&gt;BQ71:BQ74)*1)+SUMPRODUCT($B$77:$B$78,(BP77:BP78&gt;BQ77:BQ78)*1)+SUMPRODUCT($B$99:$B$104,(BP99:BP104&gt;BQ99:BQ104)*1))*$B$20/52</f>
        <v>0</v>
      </c>
      <c r="BR83" s="384" t="n">
        <f aca="false">(SUMPRODUCT($B$49:$B$58,(BQ49:BQ58&gt;BR49:BR58)*1)+SUMPRODUCT($B$61:$B$68,(BQ61:BQ68&gt;BR61:BR68)*1)+SUMPRODUCT($B$71:$B$74,(BQ71:BQ74&gt;BR71:BR74)*1)+SUMPRODUCT($B$77:$B$78,(BQ77:BQ78&gt;BR77:BR78)*1)+SUMPRODUCT($B$99:$B$104,(BQ99:BQ104&gt;BR99:BR104)*1))*$B$20/52</f>
        <v>0</v>
      </c>
      <c r="BS83" s="384" t="n">
        <f aca="false">(SUMPRODUCT($B$49:$B$58,(BR49:BR58&gt;BS49:BS58)*1)+SUMPRODUCT($B$61:$B$68,(BR61:BR68&gt;BS61:BS68)*1)+SUMPRODUCT($B$71:$B$74,(BR71:BR74&gt;BS71:BS74)*1)+SUMPRODUCT($B$77:$B$78,(BR77:BR78&gt;BS77:BS78)*1)+SUMPRODUCT($B$99:$B$104,(BR99:BR104&gt;BS99:BS104)*1))*$B$20/52</f>
        <v>0</v>
      </c>
      <c r="BT83" s="384" t="n">
        <f aca="false">(SUMPRODUCT($B$49:$B$58,(BS49:BS58&gt;BT49:BT58)*1)+SUMPRODUCT($B$61:$B$68,(BS61:BS68&gt;BT61:BT68)*1)+SUMPRODUCT($B$71:$B$74,(BS71:BS74&gt;BT71:BT74)*1)+SUMPRODUCT($B$77:$B$78,(BS77:BS78&gt;BT77:BT78)*1)+SUMPRODUCT($B$99:$B$104,(BS99:BS104&gt;BT99:BT104)*1))*$B$20/52</f>
        <v>0</v>
      </c>
      <c r="BU83" s="384" t="n">
        <f aca="false">(SUMPRODUCT($B$49:$B$58,(BT49:BT58&gt;BU49:BU58)*1)+SUMPRODUCT($B$61:$B$68,(BT61:BT68&gt;BU61:BU68)*1)+SUMPRODUCT($B$71:$B$74,(BT71:BT74&gt;BU71:BU74)*1)+SUMPRODUCT($B$77:$B$78,(BT77:BT78&gt;BU77:BU78)*1)+SUMPRODUCT($B$99:$B$104,(BT99:BT104&gt;BU99:BU104)*1))*$B$20/52</f>
        <v>0</v>
      </c>
      <c r="BV83" s="384" t="n">
        <f aca="false">(SUMPRODUCT($B$49:$B$58,(BU49:BU58&gt;BV49:BV58)*1)+SUMPRODUCT($B$61:$B$68,(BU61:BU68&gt;BV61:BV68)*1)+SUMPRODUCT($B$71:$B$74,(BU71:BU74&gt;BV71:BV74)*1)+SUMPRODUCT($B$77:$B$78,(BU77:BU78&gt;BV77:BV78)*1)+SUMPRODUCT($B$99:$B$104,(BU99:BU104&gt;BV99:BV104)*1))*$B$20/52</f>
        <v>0</v>
      </c>
      <c r="BW83" s="384" t="n">
        <f aca="false">(SUMPRODUCT($B$49:$B$58,(BV49:BV58&gt;BW49:BW58)*1)+SUMPRODUCT($B$61:$B$68,(BV61:BV68&gt;BW61:BW68)*1)+SUMPRODUCT($B$71:$B$74,(BV71:BV74&gt;BW71:BW74)*1)+SUMPRODUCT($B$77:$B$78,(BV77:BV78&gt;BW77:BW78)*1)+SUMPRODUCT($B$99:$B$104,(BV99:BV104&gt;BW99:BW104)*1))*$B$20/52</f>
        <v>0</v>
      </c>
      <c r="BX83" s="384" t="n">
        <f aca="false">(SUMPRODUCT($B$49:$B$58,(BW49:BW58&gt;BX49:BX58)*1)+SUMPRODUCT($B$61:$B$68,(BW61:BW68&gt;BX61:BX68)*1)+SUMPRODUCT($B$71:$B$74,(BW71:BW74&gt;BX71:BX74)*1)+SUMPRODUCT($B$77:$B$78,(BW77:BW78&gt;BX77:BX78)*1)+SUMPRODUCT($B$99:$B$104,(BW99:BW104&gt;BX99:BX104)*1))*$B$20/52</f>
        <v>0</v>
      </c>
      <c r="BY83" s="384" t="n">
        <f aca="false">(SUMPRODUCT($B$49:$B$58,(BX49:BX58&gt;BY49:BY58)*1)+SUMPRODUCT($B$61:$B$68,(BX61:BX68&gt;BY61:BY68)*1)+SUMPRODUCT($B$71:$B$74,(BX71:BX74&gt;BY71:BY74)*1)+SUMPRODUCT($B$77:$B$78,(BX77:BX78&gt;BY77:BY78)*1)+SUMPRODUCT($B$99:$B$104,(BX99:BX104&gt;BY99:BY104)*1))*$B$20/52</f>
        <v>0</v>
      </c>
      <c r="BZ83" s="384" t="n">
        <f aca="false">(SUMPRODUCT($B$49:$B$58,(BY49:BY58&gt;BZ49:BZ58)*1)+SUMPRODUCT($B$61:$B$68,(BY61:BY68&gt;BZ61:BZ68)*1)+SUMPRODUCT($B$71:$B$74,(BY71:BY74&gt;BZ71:BZ74)*1)+SUMPRODUCT($B$77:$B$78,(BY77:BY78&gt;BZ77:BZ78)*1)+SUMPRODUCT($B$99:$B$104,(BY99:BY104&gt;BZ99:BZ104)*1))*$B$20/52</f>
        <v>0</v>
      </c>
      <c r="CA83" s="384" t="n">
        <f aca="false">(SUMPRODUCT($B$49:$B$58,(BZ49:BZ58&gt;CA49:CA58)*1)+SUMPRODUCT($B$61:$B$68,(BZ61:BZ68&gt;CA61:CA68)*1)+SUMPRODUCT($B$71:$B$74,(BZ71:BZ74&gt;CA71:CA74)*1)+SUMPRODUCT($B$77:$B$78,(BZ77:BZ78&gt;CA77:CA78)*1)+SUMPRODUCT($B$99:$B$104,(BZ99:BZ104&gt;CA99:CA104)*1))*$B$20/52</f>
        <v>0</v>
      </c>
      <c r="CB83" s="384" t="n">
        <f aca="false">(SUMPRODUCT($B$49:$B$58,(CA49:CA58&gt;CB49:CB58)*1)+SUMPRODUCT($B$61:$B$68,(CA61:CA68&gt;CB61:CB68)*1)+SUMPRODUCT($B$71:$B$74,(CA71:CA74&gt;CB71:CB74)*1)+SUMPRODUCT($B$77:$B$78,(CA77:CA78&gt;CB77:CB78)*1)+SUMPRODUCT($B$99:$B$104,(CA99:CA104&gt;CB99:CB104)*1))*$B$20/52</f>
        <v>0</v>
      </c>
      <c r="CC83" s="384" t="n">
        <f aca="false">(SUMPRODUCT($B$49:$B$58,(CB49:CB58&gt;CC49:CC58)*1)+SUMPRODUCT($B$61:$B$68,(CB61:CB68&gt;CC61:CC68)*1)+SUMPRODUCT($B$71:$B$74,(CB71:CB74&gt;CC71:CC74)*1)+SUMPRODUCT($B$77:$B$78,(CB77:CB78&gt;CC77:CC78)*1)+SUMPRODUCT($B$99:$B$104,(CB99:CB104&gt;CC99:CC104)*1))*$B$20/52</f>
        <v>0</v>
      </c>
      <c r="CD83" s="384" t="n">
        <f aca="false">(SUMPRODUCT($B$49:$B$58,(CC49:CC58&gt;CD49:CD58)*1)+SUMPRODUCT($B$61:$B$68,(CC61:CC68&gt;CD61:CD68)*1)+SUMPRODUCT($B$71:$B$74,(CC71:CC74&gt;CD71:CD74)*1)+SUMPRODUCT($B$77:$B$78,(CC77:CC78&gt;CD77:CD78)*1)+SUMPRODUCT($B$99:$B$104,(CC99:CC104&gt;CD99:CD104)*1))*$B$20/52</f>
        <v>0</v>
      </c>
      <c r="CE83" s="384" t="n">
        <f aca="false">(SUMPRODUCT($B$49:$B$58,(CD49:CD58&gt;CE49:CE58)*1)+SUMPRODUCT($B$61:$B$68,(CD61:CD68&gt;CE61:CE68)*1)+SUMPRODUCT($B$71:$B$74,(CD71:CD74&gt;CE71:CE74)*1)+SUMPRODUCT($B$77:$B$78,(CD77:CD78&gt;CE77:CE78)*1)+SUMPRODUCT($B$99:$B$104,(CD99:CD104&gt;CE99:CE104)*1))*$B$20/52</f>
        <v>0</v>
      </c>
      <c r="CF83" s="384" t="n">
        <f aca="false">(SUMPRODUCT($B$49:$B$58,(CE49:CE58&gt;CF49:CF58)*1)+SUMPRODUCT($B$61:$B$68,(CE61:CE68&gt;CF61:CF68)*1)+SUMPRODUCT($B$71:$B$74,(CE71:CE74&gt;CF71:CF74)*1)+SUMPRODUCT($B$77:$B$78,(CE77:CE78&gt;CF77:CF78)*1)+SUMPRODUCT($B$99:$B$104,(CE99:CE104&gt;CF99:CF104)*1))*$B$20/52</f>
        <v>0</v>
      </c>
      <c r="CG83" s="384" t="n">
        <f aca="false">(SUMPRODUCT($B$49:$B$58,(CF49:CF58&gt;CG49:CG58)*1)+SUMPRODUCT($B$61:$B$68,(CF61:CF68&gt;CG61:CG68)*1)+SUMPRODUCT($B$71:$B$74,(CF71:CF74&gt;CG71:CG74)*1)+SUMPRODUCT($B$77:$B$78,(CF77:CF78&gt;CG77:CG78)*1)+SUMPRODUCT($B$99:$B$104,(CF99:CF104&gt;CG99:CG104)*1))*$B$20/52</f>
        <v>0</v>
      </c>
      <c r="CH83" s="384" t="n">
        <f aca="false">(SUMPRODUCT($B$49:$B$58,(CG49:CG58&gt;CH49:CH58)*1)+SUMPRODUCT($B$61:$B$68,(CG61:CG68&gt;CH61:CH68)*1)+SUMPRODUCT($B$71:$B$74,(CG71:CG74&gt;CH71:CH74)*1)+SUMPRODUCT($B$77:$B$78,(CG77:CG78&gt;CH77:CH78)*1)+SUMPRODUCT($B$99:$B$104,(CG99:CG104&gt;CH99:CH104)*1))*$B$20/52</f>
        <v>0</v>
      </c>
      <c r="CI83" s="384" t="n">
        <f aca="false">(SUMPRODUCT($B$49:$B$58,(CH49:CH58&gt;CI49:CI58)*1)+SUMPRODUCT($B$61:$B$68,(CH61:CH68&gt;CI61:CI68)*1)+SUMPRODUCT($B$71:$B$74,(CH71:CH74&gt;CI71:CI74)*1)+SUMPRODUCT($B$77:$B$78,(CH77:CH78&gt;CI77:CI78)*1)+SUMPRODUCT($B$99:$B$104,(CH99:CH104&gt;CI99:CI104)*1))*$B$20/52</f>
        <v>0</v>
      </c>
      <c r="CJ83" s="384" t="n">
        <f aca="false">(SUMPRODUCT($B$49:$B$58,(CI49:CI58&gt;CJ49:CJ58)*1)+SUMPRODUCT($B$61:$B$68,(CI61:CI68&gt;CJ61:CJ68)*1)+SUMPRODUCT($B$71:$B$74,(CI71:CI74&gt;CJ71:CJ74)*1)+SUMPRODUCT($B$77:$B$78,(CI77:CI78&gt;CJ77:CJ78)*1)+SUMPRODUCT($B$99:$B$104,(CI99:CI104&gt;CJ99:CJ104)*1))*$B$20/52</f>
        <v>0</v>
      </c>
      <c r="CK83" s="384" t="n">
        <f aca="false">(SUMPRODUCT($B$49:$B$58,(CJ49:CJ58&gt;CK49:CK58)*1)+SUMPRODUCT($B$61:$B$68,(CJ61:CJ68&gt;CK61:CK68)*1)+SUMPRODUCT($B$71:$B$74,(CJ71:CJ74&gt;CK71:CK74)*1)+SUMPRODUCT($B$77:$B$78,(CJ77:CJ78&gt;CK77:CK78)*1)+SUMPRODUCT($B$99:$B$104,(CJ99:CJ104&gt;CK99:CK104)*1))*$B$20/52</f>
        <v>0</v>
      </c>
      <c r="CL83" s="384" t="n">
        <f aca="false">(SUMPRODUCT($B$49:$B$58,(CK49:CK58&gt;CL49:CL58)*1)+SUMPRODUCT($B$61:$B$68,(CK61:CK68&gt;CL61:CL68)*1)+SUMPRODUCT($B$71:$B$74,(CK71:CK74&gt;CL71:CL74)*1)+SUMPRODUCT($B$77:$B$78,(CK77:CK78&gt;CL77:CL78)*1)+SUMPRODUCT($B$99:$B$104,(CK99:CK104&gt;CL99:CL104)*1))*$B$20/52</f>
        <v>0</v>
      </c>
      <c r="CM83" s="384" t="n">
        <f aca="false">(SUMPRODUCT($B$49:$B$58,(CL49:CL58&gt;CM49:CM58)*1)+SUMPRODUCT($B$61:$B$68,(CL61:CL68&gt;CM61:CM68)*1)+SUMPRODUCT($B$71:$B$74,(CL71:CL74&gt;CM71:CM74)*1)+SUMPRODUCT($B$77:$B$78,(CL77:CL78&gt;CM77:CM78)*1)+SUMPRODUCT($B$99:$B$104,(CL99:CL104&gt;CM99:CM104)*1))*$B$20/52</f>
        <v>0</v>
      </c>
      <c r="CN83" s="384" t="n">
        <f aca="false">(SUMPRODUCT($B$49:$B$58,(CM49:CM58&gt;CN49:CN58)*1)+SUMPRODUCT($B$61:$B$68,(CM61:CM68&gt;CN61:CN68)*1)+SUMPRODUCT($B$71:$B$74,(CM71:CM74&gt;CN71:CN74)*1)+SUMPRODUCT($B$77:$B$78,(CM77:CM78&gt;CN77:CN78)*1)+SUMPRODUCT($B$99:$B$104,(CM99:CM104&gt;CN99:CN104)*1))*$B$20/52</f>
        <v>0</v>
      </c>
      <c r="CO83" s="384" t="n">
        <f aca="false">(SUMPRODUCT($B$49:$B$58,(CN49:CN58&gt;CO49:CO58)*1)+SUMPRODUCT($B$61:$B$68,(CN61:CN68&gt;CO61:CO68)*1)+SUMPRODUCT($B$71:$B$74,(CN71:CN74&gt;CO71:CO74)*1)+SUMPRODUCT($B$77:$B$78,(CN77:CN78&gt;CO77:CO78)*1)+SUMPRODUCT($B$99:$B$104,(CN99:CN104&gt;CO99:CO104)*1))*$B$20/52</f>
        <v>0</v>
      </c>
      <c r="CP83" s="384" t="n">
        <f aca="false">(SUMPRODUCT($B$49:$B$58,(CO49:CO58&gt;CP49:CP58)*1)+SUMPRODUCT($B$61:$B$68,(CO61:CO68&gt;CP61:CP68)*1)+SUMPRODUCT($B$71:$B$74,(CO71:CO74&gt;CP71:CP74)*1)+SUMPRODUCT($B$77:$B$78,(CO77:CO78&gt;CP77:CP78)*1)+SUMPRODUCT($B$99:$B$104,(CO99:CO104&gt;CP99:CP104)*1))*$B$20/52</f>
        <v>0</v>
      </c>
      <c r="CQ83" s="384" t="n">
        <f aca="false">(SUMPRODUCT($B$49:$B$58,(CP49:CP58&gt;CQ49:CQ58)*1)+SUMPRODUCT($B$61:$B$68,(CP61:CP68&gt;CQ61:CQ68)*1)+SUMPRODUCT($B$71:$B$74,(CP71:CP74&gt;CQ71:CQ74)*1)+SUMPRODUCT($B$77:$B$78,(CP77:CP78&gt;CQ77:CQ78)*1)+SUMPRODUCT($B$99:$B$104,(CP99:CP104&gt;CQ99:CQ104)*1))*$B$20/52</f>
        <v>0</v>
      </c>
      <c r="CR83" s="384" t="n">
        <f aca="false">(SUMPRODUCT($B$49:$B$58,(CQ49:CQ58&gt;CR49:CR58)*1)+SUMPRODUCT($B$61:$B$68,(CQ61:CQ68&gt;CR61:CR68)*1)+SUMPRODUCT($B$71:$B$74,(CQ71:CQ74&gt;CR71:CR74)*1)+SUMPRODUCT($B$77:$B$78,(CQ77:CQ78&gt;CR77:CR78)*1)+SUMPRODUCT($B$99:$B$104,(CQ99:CQ104&gt;CR99:CR104)*1))*$B$20/52</f>
        <v>0</v>
      </c>
      <c r="CS83" s="384" t="n">
        <f aca="false">(SUMPRODUCT($B$49:$B$58,(CR49:CR58&gt;CS49:CS58)*1)+SUMPRODUCT($B$61:$B$68,(CR61:CR68&gt;CS61:CS68)*1)+SUMPRODUCT($B$71:$B$74,(CR71:CR74&gt;CS71:CS74)*1)+SUMPRODUCT($B$77:$B$78,(CR77:CR78&gt;CS77:CS78)*1)+SUMPRODUCT($B$99:$B$104,(CR99:CR104&gt;CS99:CS104)*1))*$B$20/52</f>
        <v>0</v>
      </c>
      <c r="CT83" s="384" t="n">
        <f aca="false">(SUMPRODUCT($B$49:$B$58,(CS49:CS58&gt;CT49:CT58)*1)+SUMPRODUCT($B$61:$B$68,(CS61:CS68&gt;CT61:CT68)*1)+SUMPRODUCT($B$71:$B$74,(CS71:CS74&gt;CT71:CT74)*1)+SUMPRODUCT($B$77:$B$78,(CS77:CS78&gt;CT77:CT78)*1)+SUMPRODUCT($B$99:$B$104,(CS99:CS104&gt;CT99:CT104)*1))*$B$20/52</f>
        <v>0</v>
      </c>
      <c r="CU83" s="384" t="n">
        <f aca="false">(SUMPRODUCT($B$49:$B$58,(CT49:CT58&gt;CU49:CU58)*1)+SUMPRODUCT($B$61:$B$68,(CT61:CT68&gt;CU61:CU68)*1)+SUMPRODUCT($B$71:$B$74,(CT71:CT74&gt;CU71:CU74)*1)+SUMPRODUCT($B$77:$B$78,(CT77:CT78&gt;CU77:CU78)*1)+SUMPRODUCT($B$99:$B$104,(CT99:CT104&gt;CU99:CU104)*1))*$B$20/52</f>
        <v>0</v>
      </c>
      <c r="CV83" s="384" t="n">
        <f aca="false">(SUMPRODUCT($B$49:$B$58,(CU49:CU58&gt;CV49:CV58)*1)+SUMPRODUCT($B$61:$B$68,(CU61:CU68&gt;CV61:CV68)*1)+SUMPRODUCT($B$71:$B$74,(CU71:CU74&gt;CV71:CV74)*1)+SUMPRODUCT($B$77:$B$78,(CU77:CU78&gt;CV77:CV78)*1)+SUMPRODUCT($B$99:$B$104,(CU99:CU104&gt;CV99:CV104)*1))*$B$20/52</f>
        <v>0</v>
      </c>
      <c r="CW83" s="384" t="n">
        <f aca="false">(SUMPRODUCT($B$49:$B$58,(CV49:CV58&gt;CW49:CW58)*1)+SUMPRODUCT($B$61:$B$68,(CV61:CV68&gt;CW61:CW68)*1)+SUMPRODUCT($B$71:$B$74,(CV71:CV74&gt;CW71:CW74)*1)+SUMPRODUCT($B$77:$B$78,(CV77:CV78&gt;CW77:CW78)*1)+SUMPRODUCT($B$99:$B$104,(CV99:CV104&gt;CW99:CW104)*1))*$B$20/52</f>
        <v>0</v>
      </c>
      <c r="CX83" s="384" t="n">
        <f aca="false">(SUMPRODUCT($B$49:$B$58,(CW49:CW58&gt;CX49:CX58)*1)+SUMPRODUCT($B$61:$B$68,(CW61:CW68&gt;CX61:CX68)*1)+SUMPRODUCT($B$71:$B$74,(CW71:CW74&gt;CX71:CX74)*1)+SUMPRODUCT($B$77:$B$78,(CW77:CW78&gt;CX77:CX78)*1)+SUMPRODUCT($B$99:$B$104,(CW99:CW104&gt;CX99:CX104)*1))*$B$20/52</f>
        <v>0</v>
      </c>
      <c r="CY83" s="384" t="n">
        <f aca="false">(SUMPRODUCT($B$49:$B$58,(CX49:CX58&gt;CY49:CY58)*1)+SUMPRODUCT($B$61:$B$68,(CX61:CX68&gt;CY61:CY68)*1)+SUMPRODUCT($B$71:$B$74,(CX71:CX74&gt;CY71:CY74)*1)+SUMPRODUCT($B$77:$B$78,(CX77:CX78&gt;CY77:CY78)*1)+SUMPRODUCT($B$99:$B$104,(CX99:CX104&gt;CY99:CY104)*1))*$B$20/52</f>
        <v>0</v>
      </c>
      <c r="CZ83" s="384" t="n">
        <f aca="false">(SUMPRODUCT($B$49:$B$58,(CY49:CY58&gt;CZ49:CZ58)*1)+SUMPRODUCT($B$61:$B$68,(CY61:CY68&gt;CZ61:CZ68)*1)+SUMPRODUCT($B$71:$B$74,(CY71:CY74&gt;CZ71:CZ74)*1)+SUMPRODUCT($B$77:$B$78,(CY77:CY78&gt;CZ77:CZ78)*1)+SUMPRODUCT($B$99:$B$104,(CY99:CY104&gt;CZ99:CZ104)*1))*$B$20/52</f>
        <v>0</v>
      </c>
      <c r="DA83" s="384" t="n">
        <f aca="false">(SUMPRODUCT($B$49:$B$58,(CZ49:CZ58&gt;DA49:DA58)*1)+SUMPRODUCT($B$61:$B$68,(CZ61:CZ68&gt;DA61:DA68)*1)+SUMPRODUCT($B$71:$B$74,(CZ71:CZ74&gt;DA71:DA74)*1)+SUMPRODUCT($B$77:$B$78,(CZ77:CZ78&gt;DA77:DA78)*1)+SUMPRODUCT($B$99:$B$104,(CZ99:CZ104&gt;DA99:DA104)*1))*$B$20/52</f>
        <v>0</v>
      </c>
      <c r="DB83" s="384" t="n">
        <f aca="false">(SUMPRODUCT($B$49:$B$58,(DA49:DA58&gt;DB49:DB58)*1)+SUMPRODUCT($B$61:$B$68,(DA61:DA68&gt;DB61:DB68)*1)+SUMPRODUCT($B$71:$B$74,(DA71:DA74&gt;DB71:DB74)*1)+SUMPRODUCT($B$77:$B$78,(DA77:DA78&gt;DB77:DB78)*1)+SUMPRODUCT($B$99:$B$104,(DA99:DA104&gt;DB99:DB104)*1))*$B$20/52</f>
        <v>0</v>
      </c>
      <c r="DC83" s="384" t="n">
        <f aca="false">(SUMPRODUCT($B$49:$B$58,(DB49:DB58&gt;DC49:DC58)*1)+SUMPRODUCT($B$61:$B$68,(DB61:DB68&gt;DC61:DC68)*1)+SUMPRODUCT($B$71:$B$74,(DB71:DB74&gt;DC71:DC74)*1)+SUMPRODUCT($B$77:$B$78,(DB77:DB78&gt;DC77:DC78)*1)+SUMPRODUCT($B$99:$B$104,(DB99:DB104&gt;DC99:DC104)*1))*$B$20/52</f>
        <v>0</v>
      </c>
      <c r="DD83" s="384" t="n">
        <f aca="false">(SUMPRODUCT($B$49:$B$58,(DC49:DC58&gt;DD49:DD58)*1)+SUMPRODUCT($B$61:$B$68,(DC61:DC68&gt;DD61:DD68)*1)+SUMPRODUCT($B$71:$B$74,(DC71:DC74&gt;DD71:DD74)*1)+SUMPRODUCT($B$77:$B$78,(DC77:DC78&gt;DD77:DD78)*1)+SUMPRODUCT($B$99:$B$104,(DC99:DC104&gt;DD99:DD104)*1))*$B$20/52</f>
        <v>0</v>
      </c>
      <c r="DE83" s="384"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1405</v>
      </c>
      <c r="E84" s="384" t="n">
        <f aca="false">E82+E83</f>
        <v>0</v>
      </c>
      <c r="F84" s="384" t="n">
        <f aca="false">F82+F83</f>
        <v>0</v>
      </c>
      <c r="G84" s="384" t="n">
        <f aca="false">G82+G83</f>
        <v>0</v>
      </c>
      <c r="H84" s="384" t="n">
        <f aca="false">H82+H83</f>
        <v>0</v>
      </c>
      <c r="I84" s="384" t="n">
        <f aca="false">I82+I83</f>
        <v>19500</v>
      </c>
      <c r="J84" s="384" t="n">
        <f aca="false">J82+J83</f>
        <v>10000</v>
      </c>
      <c r="K84" s="384" t="n">
        <f aca="false">K82+K83</f>
        <v>0</v>
      </c>
      <c r="L84" s="384" t="n">
        <f aca="false">L82+L83</f>
        <v>0</v>
      </c>
      <c r="M84" s="384" t="n">
        <f aca="false">M82+M83</f>
        <v>42750</v>
      </c>
      <c r="N84" s="384" t="n">
        <f aca="false">N82+N83</f>
        <v>43500</v>
      </c>
      <c r="O84" s="384" t="n">
        <f aca="false">O82+O83</f>
        <v>81750</v>
      </c>
      <c r="P84" s="384" t="n">
        <f aca="false">P82+P83</f>
        <v>0</v>
      </c>
      <c r="Q84" s="384" t="n">
        <f aca="false">Q82+Q83</f>
        <v>42750</v>
      </c>
      <c r="R84" s="384" t="n">
        <f aca="false">R82+R83</f>
        <v>55500</v>
      </c>
      <c r="S84" s="384" t="n">
        <f aca="false">S82+S83</f>
        <v>18750</v>
      </c>
      <c r="T84" s="384" t="n">
        <f aca="false">T82+T83</f>
        <v>18750</v>
      </c>
      <c r="U84" s="384" t="n">
        <f aca="false">U82+U83</f>
        <v>0</v>
      </c>
      <c r="V84" s="384" t="n">
        <f aca="false">V82+V83</f>
        <v>0</v>
      </c>
      <c r="W84" s="384" t="n">
        <f aca="false">W82+W83</f>
        <v>0</v>
      </c>
      <c r="X84" s="384" t="n">
        <f aca="false">X82+X83</f>
        <v>0</v>
      </c>
      <c r="Y84" s="384" t="n">
        <f aca="false">Y82+Y83</f>
        <v>0</v>
      </c>
      <c r="Z84" s="384" t="n">
        <f aca="false">Z82+Z83</f>
        <v>9615.38461538462</v>
      </c>
      <c r="AA84" s="384" t="n">
        <f aca="false">AA82+AA83</f>
        <v>0</v>
      </c>
      <c r="AB84" s="384" t="n">
        <f aca="false">AB82+AB83</f>
        <v>6153.84615384615</v>
      </c>
      <c r="AC84" s="384" t="n">
        <f aca="false">AC82+AC83</f>
        <v>0</v>
      </c>
      <c r="AD84" s="384" t="n">
        <f aca="false">AD82+AD83</f>
        <v>21923.0769230769</v>
      </c>
      <c r="AE84" s="384" t="n">
        <f aca="false">AE82+AE83</f>
        <v>0</v>
      </c>
      <c r="AF84" s="384" t="n">
        <f aca="false">AF82+AF83</f>
        <v>0</v>
      </c>
      <c r="AG84" s="384" t="n">
        <f aca="false">AG82+AG83</f>
        <v>0</v>
      </c>
      <c r="AH84" s="384" t="n">
        <f aca="false">AH82+AH83</f>
        <v>12307.6923076923</v>
      </c>
      <c r="AI84" s="384" t="n">
        <f aca="false">AI82+AI83</f>
        <v>0</v>
      </c>
      <c r="AJ84" s="384" t="n">
        <f aca="false">AJ82+AJ83</f>
        <v>0</v>
      </c>
      <c r="AK84" s="384" t="n">
        <f aca="false">AK82+AK83</f>
        <v>0</v>
      </c>
      <c r="AL84" s="384" t="n">
        <f aca="false">AL82+AL83</f>
        <v>6153.84615384615</v>
      </c>
      <c r="AM84" s="384" t="n">
        <f aca="false">AM82+AM83</f>
        <v>48461.5384615385</v>
      </c>
      <c r="AN84" s="384" t="n">
        <f aca="false">AN82+AN83</f>
        <v>21923.0769230769</v>
      </c>
      <c r="AO84" s="384" t="n">
        <f aca="false">AO82+AO83</f>
        <v>0</v>
      </c>
      <c r="AP84" s="384" t="n">
        <f aca="false">AP82+AP83</f>
        <v>0</v>
      </c>
      <c r="AQ84" s="384" t="n">
        <f aca="false">AQ82+AQ83</f>
        <v>19615.3846153846</v>
      </c>
      <c r="AR84" s="384" t="n">
        <f aca="false">AR82+AR83</f>
        <v>0</v>
      </c>
      <c r="AS84" s="384" t="n">
        <f aca="false">AS82+AS83</f>
        <v>9615.38461538462</v>
      </c>
      <c r="AT84" s="384" t="n">
        <f aca="false">AT82+AT83</f>
        <v>0</v>
      </c>
      <c r="AU84" s="384" t="n">
        <f aca="false">AU82+AU83</f>
        <v>0</v>
      </c>
      <c r="AV84" s="384" t="n">
        <f aca="false">AV82+AV83</f>
        <v>0</v>
      </c>
      <c r="AW84" s="384" t="n">
        <f aca="false">AW82+AW83</f>
        <v>0</v>
      </c>
      <c r="AX84" s="384" t="n">
        <f aca="false">AX82+AX83</f>
        <v>0</v>
      </c>
      <c r="AY84" s="384" t="n">
        <f aca="false">AY82+AY83</f>
        <v>0</v>
      </c>
      <c r="AZ84" s="384" t="n">
        <f aca="false">AZ82+AZ83</f>
        <v>0</v>
      </c>
      <c r="BA84" s="384" t="n">
        <f aca="false">BA82+BA83</f>
        <v>0</v>
      </c>
      <c r="BB84" s="384" t="n">
        <f aca="false">BB82+BB83</f>
        <v>0</v>
      </c>
      <c r="BC84" s="384" t="n">
        <f aca="false">BC82+BC83</f>
        <v>0</v>
      </c>
      <c r="BD84" s="384" t="n">
        <f aca="false">BD82+BD83</f>
        <v>0</v>
      </c>
      <c r="BE84" s="384" t="n">
        <f aca="false">BE82+BE83</f>
        <v>0</v>
      </c>
      <c r="BF84" s="384" t="n">
        <f aca="false">BF82+BF83</f>
        <v>0</v>
      </c>
      <c r="BG84" s="384" t="n">
        <f aca="false">BG82+BG83</f>
        <v>0</v>
      </c>
      <c r="BH84" s="384" t="n">
        <f aca="false">BH82+BH83</f>
        <v>0</v>
      </c>
      <c r="BI84" s="384" t="n">
        <f aca="false">BI82+BI83</f>
        <v>0</v>
      </c>
      <c r="BJ84" s="384" t="n">
        <f aca="false">BJ82+BJ83</f>
        <v>0</v>
      </c>
      <c r="BK84" s="384" t="n">
        <f aca="false">BK82+BK83</f>
        <v>0</v>
      </c>
      <c r="BL84" s="384" t="n">
        <f aca="false">BL82+BL83</f>
        <v>0</v>
      </c>
      <c r="BM84" s="384" t="n">
        <f aca="false">BM82+BM83</f>
        <v>0</v>
      </c>
      <c r="BN84" s="384" t="n">
        <f aca="false">BN82+BN83</f>
        <v>0</v>
      </c>
      <c r="BO84" s="384" t="n">
        <f aca="false">BO82+BO83</f>
        <v>0</v>
      </c>
      <c r="BP84" s="384" t="n">
        <f aca="false">BP82+BP83</f>
        <v>0</v>
      </c>
      <c r="BQ84" s="384" t="n">
        <f aca="false">BQ82+BQ83</f>
        <v>0</v>
      </c>
      <c r="BR84" s="384" t="n">
        <f aca="false">BR82+BR83</f>
        <v>0</v>
      </c>
      <c r="BS84" s="384" t="n">
        <f aca="false">BS82+BS83</f>
        <v>0</v>
      </c>
      <c r="BT84" s="384" t="n">
        <f aca="false">BT82+BT83</f>
        <v>0</v>
      </c>
      <c r="BU84" s="384" t="n">
        <f aca="false">BU82+BU83</f>
        <v>0</v>
      </c>
      <c r="BV84" s="384" t="n">
        <f aca="false">BV82+BV83</f>
        <v>0</v>
      </c>
      <c r="BW84" s="384" t="n">
        <f aca="false">BW82+BW83</f>
        <v>0</v>
      </c>
      <c r="BX84" s="384" t="n">
        <f aca="false">BX82+BX83</f>
        <v>0</v>
      </c>
      <c r="BY84" s="384" t="n">
        <f aca="false">BY82+BY83</f>
        <v>0</v>
      </c>
      <c r="BZ84" s="384" t="n">
        <f aca="false">BZ82+BZ83</f>
        <v>0</v>
      </c>
      <c r="CA84" s="384" t="n">
        <f aca="false">CA82+CA83</f>
        <v>0</v>
      </c>
      <c r="CB84" s="384" t="n">
        <f aca="false">CB82+CB83</f>
        <v>0</v>
      </c>
      <c r="CC84" s="384" t="n">
        <f aca="false">CC82+CC83</f>
        <v>0</v>
      </c>
      <c r="CD84" s="384" t="n">
        <f aca="false">CD82+CD83</f>
        <v>0</v>
      </c>
      <c r="CE84" s="384" t="n">
        <f aca="false">CE82+CE83</f>
        <v>0</v>
      </c>
      <c r="CF84" s="384" t="n">
        <f aca="false">CF82+CF83</f>
        <v>0</v>
      </c>
      <c r="CG84" s="384" t="n">
        <f aca="false">CG82+CG83</f>
        <v>0</v>
      </c>
      <c r="CH84" s="384" t="n">
        <f aca="false">CH82+CH83</f>
        <v>0</v>
      </c>
      <c r="CI84" s="384" t="n">
        <f aca="false">CI82+CI83</f>
        <v>0</v>
      </c>
      <c r="CJ84" s="384" t="n">
        <f aca="false">CJ82+CJ83</f>
        <v>0</v>
      </c>
      <c r="CK84" s="384" t="n">
        <f aca="false">CK82+CK83</f>
        <v>0</v>
      </c>
      <c r="CL84" s="384" t="n">
        <f aca="false">CL82+CL83</f>
        <v>0</v>
      </c>
      <c r="CM84" s="384" t="n">
        <f aca="false">CM82+CM83</f>
        <v>0</v>
      </c>
      <c r="CN84" s="384" t="n">
        <f aca="false">CN82+CN83</f>
        <v>0</v>
      </c>
      <c r="CO84" s="384" t="n">
        <f aca="false">CO82+CO83</f>
        <v>0</v>
      </c>
      <c r="CP84" s="384" t="n">
        <f aca="false">CP82+CP83</f>
        <v>0</v>
      </c>
      <c r="CQ84" s="384" t="n">
        <f aca="false">CQ82+CQ83</f>
        <v>0</v>
      </c>
      <c r="CR84" s="384" t="n">
        <f aca="false">CR82+CR83</f>
        <v>0</v>
      </c>
      <c r="CS84" s="384" t="n">
        <f aca="false">CS82+CS83</f>
        <v>0</v>
      </c>
      <c r="CT84" s="384" t="n">
        <f aca="false">CT82+CT83</f>
        <v>0</v>
      </c>
      <c r="CU84" s="384" t="n">
        <f aca="false">CU82+CU83</f>
        <v>0</v>
      </c>
      <c r="CV84" s="384" t="n">
        <f aca="false">CV82+CV83</f>
        <v>0</v>
      </c>
      <c r="CW84" s="384" t="n">
        <f aca="false">CW82+CW83</f>
        <v>0</v>
      </c>
      <c r="CX84" s="384" t="n">
        <f aca="false">CX82+CX83</f>
        <v>0</v>
      </c>
      <c r="CY84" s="384" t="n">
        <f aca="false">CY82+CY83</f>
        <v>0</v>
      </c>
      <c r="CZ84" s="384" t="n">
        <f aca="false">CZ82+CZ83</f>
        <v>0</v>
      </c>
      <c r="DA84" s="384" t="n">
        <f aca="false">DA82+DA83</f>
        <v>0</v>
      </c>
      <c r="DB84" s="384" t="n">
        <f aca="false">DB82+DB83</f>
        <v>0</v>
      </c>
      <c r="DC84" s="384" t="n">
        <f aca="false">DC82+DC83</f>
        <v>0</v>
      </c>
      <c r="DD84" s="384" t="n">
        <f aca="false">DD82+DD83</f>
        <v>0</v>
      </c>
      <c r="DE84" s="384" t="n">
        <f aca="false">DE82+DE83</f>
        <v>0</v>
      </c>
    </row>
    <row r="86" customFormat="false" ht="13.5" hidden="false" customHeight="true" outlineLevel="0" collapsed="false">
      <c r="A86" s="209" t="s">
        <v>1406</v>
      </c>
      <c r="B86" s="210"/>
      <c r="C86" s="210"/>
      <c r="D86" s="210"/>
      <c r="E86" s="210"/>
      <c r="F86" s="210"/>
    </row>
    <row r="87" customFormat="false" ht="13.5" hidden="false" customHeight="true" outlineLevel="0" collapsed="false">
      <c r="A87" s="110" t="s">
        <v>1407</v>
      </c>
      <c r="E87" s="382" t="n">
        <f aca="false">E43+SUM(E49:E58)</f>
        <v>4</v>
      </c>
      <c r="F87" s="382" t="n">
        <f aca="false">F43+SUM(F49:F58)</f>
        <v>5</v>
      </c>
      <c r="G87" s="382" t="n">
        <f aca="false">G43+SUM(G49:G58)</f>
        <v>5</v>
      </c>
      <c r="H87" s="382" t="n">
        <f aca="false">H43+SUM(H49:H58)</f>
        <v>6</v>
      </c>
      <c r="I87" s="382" t="n">
        <f aca="false">I43+SUM(I49:I58)</f>
        <v>6</v>
      </c>
      <c r="J87" s="382" t="n">
        <f aca="false">J43+SUM(J49:J58)</f>
        <v>7</v>
      </c>
      <c r="K87" s="382" t="n">
        <f aca="false">K43+SUM(K49:K58)</f>
        <v>7</v>
      </c>
      <c r="L87" s="382" t="n">
        <f aca="false">L43+SUM(L49:L58)</f>
        <v>7</v>
      </c>
      <c r="M87" s="382" t="n">
        <f aca="false">M43+SUM(M49:M58)</f>
        <v>8</v>
      </c>
      <c r="N87" s="382" t="n">
        <f aca="false">N43+SUM(N49:N58)</f>
        <v>9</v>
      </c>
      <c r="O87" s="382" t="n">
        <f aca="false">O43+SUM(O49:O58)</f>
        <v>10</v>
      </c>
      <c r="P87" s="382" t="n">
        <f aca="false">P43+SUM(P49:P58)</f>
        <v>10</v>
      </c>
      <c r="Q87" s="382" t="n">
        <f aca="false">Q43+SUM(Q49:Q58)</f>
        <v>11</v>
      </c>
      <c r="R87" s="382" t="n">
        <f aca="false">R43+SUM(R49:R58)</f>
        <v>12</v>
      </c>
      <c r="S87" s="382" t="n">
        <f aca="false">S43+SUM(S49:S58)</f>
        <v>12</v>
      </c>
      <c r="T87" s="382" t="n">
        <f aca="false">T43+SUM(T49:T58)</f>
        <v>13</v>
      </c>
      <c r="U87" s="382" t="n">
        <f aca="false">U43+SUM(U49:U58)</f>
        <v>13</v>
      </c>
      <c r="V87" s="382" t="n">
        <f aca="false">V43+SUM(V49:V58)</f>
        <v>13</v>
      </c>
      <c r="W87" s="382" t="n">
        <f aca="false">W43+SUM(W49:W58)</f>
        <v>13</v>
      </c>
      <c r="X87" s="382" t="n">
        <f aca="false">X43+SUM(X49:X58)</f>
        <v>13</v>
      </c>
      <c r="Y87" s="382" t="n">
        <f aca="false">Y43+SUM(Y49:Y58)</f>
        <v>13</v>
      </c>
      <c r="Z87" s="382" t="n">
        <f aca="false">Z43+SUM(Z49:Z58)</f>
        <v>12</v>
      </c>
      <c r="AA87" s="382" t="n">
        <f aca="false">AA43+SUM(AA49:AA58)</f>
        <v>12</v>
      </c>
      <c r="AB87" s="382" t="n">
        <f aca="false">AB43+SUM(AB49:AB58)</f>
        <v>12</v>
      </c>
      <c r="AC87" s="382" t="n">
        <f aca="false">AC43+SUM(AC49:AC58)</f>
        <v>12</v>
      </c>
      <c r="AD87" s="382" t="n">
        <f aca="false">AD43+SUM(AD49:AD58)</f>
        <v>11</v>
      </c>
      <c r="AE87" s="382" t="n">
        <f aca="false">AE43+SUM(AE49:AE58)</f>
        <v>11</v>
      </c>
      <c r="AF87" s="382" t="n">
        <f aca="false">AF43+SUM(AF49:AF58)</f>
        <v>11</v>
      </c>
      <c r="AG87" s="382" t="n">
        <f aca="false">AG43+SUM(AG49:AG58)</f>
        <v>11</v>
      </c>
      <c r="AH87" s="382" t="n">
        <f aca="false">AH43+SUM(AH49:AH58)</f>
        <v>10</v>
      </c>
      <c r="AI87" s="382" t="n">
        <f aca="false">AI43+SUM(AI49:AI58)</f>
        <v>10</v>
      </c>
      <c r="AJ87" s="382" t="n">
        <f aca="false">AJ43+SUM(AJ49:AJ58)</f>
        <v>10</v>
      </c>
      <c r="AK87" s="382" t="n">
        <f aca="false">AK43+SUM(AK49:AK58)</f>
        <v>10</v>
      </c>
      <c r="AL87" s="382" t="n">
        <f aca="false">AL43+SUM(AL49:AL58)</f>
        <v>10</v>
      </c>
      <c r="AM87" s="382" t="n">
        <f aca="false">AM43+SUM(AM49:AM58)</f>
        <v>8</v>
      </c>
      <c r="AN87" s="382" t="n">
        <f aca="false">AN43+SUM(AN49:AN58)</f>
        <v>7</v>
      </c>
      <c r="AO87" s="382" t="n">
        <f aca="false">AO43+SUM(AO49:AO58)</f>
        <v>7</v>
      </c>
      <c r="AP87" s="382" t="n">
        <f aca="false">AP43+SUM(AP49:AP58)</f>
        <v>7</v>
      </c>
      <c r="AQ87" s="382" t="n">
        <f aca="false">AQ43+SUM(AQ49:AQ58)</f>
        <v>7</v>
      </c>
      <c r="AR87" s="382" t="n">
        <f aca="false">AR43+SUM(AR49:AR58)</f>
        <v>7</v>
      </c>
      <c r="AS87" s="382" t="n">
        <f aca="false">AS43+SUM(AS49:AS58)</f>
        <v>7</v>
      </c>
      <c r="AT87" s="382" t="n">
        <f aca="false">AT43+SUM(AT49:AT58)</f>
        <v>7</v>
      </c>
      <c r="AU87" s="382" t="n">
        <f aca="false">AU43+SUM(AU49:AU58)</f>
        <v>7</v>
      </c>
      <c r="AV87" s="382" t="n">
        <f aca="false">AV43+SUM(AV49:AV58)</f>
        <v>7</v>
      </c>
      <c r="AW87" s="382" t="n">
        <f aca="false">AW43+SUM(AW49:AW58)</f>
        <v>7</v>
      </c>
      <c r="AX87" s="382" t="n">
        <f aca="false">AX43+SUM(AX49:AX58)</f>
        <v>7</v>
      </c>
      <c r="AY87" s="382" t="n">
        <f aca="false">AY43+SUM(AY49:AY58)</f>
        <v>7</v>
      </c>
      <c r="AZ87" s="382" t="n">
        <f aca="false">AZ43+SUM(AZ49:AZ58)</f>
        <v>7</v>
      </c>
      <c r="BA87" s="382" t="n">
        <f aca="false">BA43+SUM(BA49:BA58)</f>
        <v>7</v>
      </c>
      <c r="BB87" s="382" t="n">
        <f aca="false">BB43+SUM(BB49:BB58)</f>
        <v>7</v>
      </c>
      <c r="BC87" s="382" t="n">
        <f aca="false">BC43+SUM(BC49:BC58)</f>
        <v>7</v>
      </c>
      <c r="BD87" s="382" t="n">
        <f aca="false">BD43+SUM(BD49:BD58)</f>
        <v>7</v>
      </c>
      <c r="BE87" s="382" t="n">
        <f aca="false">BE43+SUM(BE49:BE58)</f>
        <v>7</v>
      </c>
      <c r="BF87" s="382" t="n">
        <f aca="false">BF43+SUM(BF49:BF58)</f>
        <v>7</v>
      </c>
      <c r="BG87" s="382" t="n">
        <f aca="false">BG43+SUM(BG49:BG58)</f>
        <v>7</v>
      </c>
      <c r="BH87" s="382" t="n">
        <f aca="false">BH43+SUM(BH49:BH58)</f>
        <v>7</v>
      </c>
      <c r="BI87" s="382" t="n">
        <f aca="false">BI43+SUM(BI49:BI58)</f>
        <v>7</v>
      </c>
      <c r="BJ87" s="382" t="n">
        <f aca="false">BJ43+SUM(BJ49:BJ58)</f>
        <v>7</v>
      </c>
      <c r="BK87" s="382" t="n">
        <f aca="false">BK43+SUM(BK49:BK58)</f>
        <v>7</v>
      </c>
      <c r="BL87" s="382" t="n">
        <f aca="false">BL43+SUM(BL49:BL58)</f>
        <v>7</v>
      </c>
      <c r="BM87" s="382" t="n">
        <f aca="false">BM43+SUM(BM49:BM58)</f>
        <v>7</v>
      </c>
      <c r="BN87" s="382" t="n">
        <f aca="false">BN43+SUM(BN49:BN58)</f>
        <v>7</v>
      </c>
      <c r="BO87" s="382" t="n">
        <f aca="false">BO43+SUM(BO49:BO58)</f>
        <v>7</v>
      </c>
      <c r="BP87" s="382" t="n">
        <f aca="false">BP43+SUM(BP49:BP58)</f>
        <v>7</v>
      </c>
      <c r="BQ87" s="382" t="n">
        <f aca="false">BQ43+SUM(BQ49:BQ58)</f>
        <v>7</v>
      </c>
      <c r="BR87" s="382" t="n">
        <f aca="false">BR43+SUM(BR49:BR58)</f>
        <v>7</v>
      </c>
      <c r="BS87" s="382" t="n">
        <f aca="false">BS43+SUM(BS49:BS58)</f>
        <v>7</v>
      </c>
      <c r="BT87" s="382" t="n">
        <f aca="false">BT43+SUM(BT49:BT58)</f>
        <v>7</v>
      </c>
      <c r="BU87" s="382" t="n">
        <f aca="false">BU43+SUM(BU49:BU58)</f>
        <v>7</v>
      </c>
      <c r="BV87" s="382" t="n">
        <f aca="false">BV43+SUM(BV49:BV58)</f>
        <v>7</v>
      </c>
      <c r="BW87" s="382" t="n">
        <f aca="false">BW43+SUM(BW49:BW58)</f>
        <v>7</v>
      </c>
      <c r="BX87" s="382" t="n">
        <f aca="false">BX43+SUM(BX49:BX58)</f>
        <v>7</v>
      </c>
      <c r="BY87" s="382" t="n">
        <f aca="false">BY43+SUM(BY49:BY58)</f>
        <v>7</v>
      </c>
      <c r="BZ87" s="382" t="n">
        <f aca="false">BZ43+SUM(BZ49:BZ58)</f>
        <v>7</v>
      </c>
      <c r="CA87" s="382" t="n">
        <f aca="false">CA43+SUM(CA49:CA58)</f>
        <v>7</v>
      </c>
      <c r="CB87" s="382" t="n">
        <f aca="false">CB43+SUM(CB49:CB58)</f>
        <v>7</v>
      </c>
      <c r="CC87" s="382" t="n">
        <f aca="false">CC43+SUM(CC49:CC58)</f>
        <v>7</v>
      </c>
      <c r="CD87" s="382" t="n">
        <f aca="false">CD43+SUM(CD49:CD58)</f>
        <v>7</v>
      </c>
      <c r="CE87" s="382" t="n">
        <f aca="false">CE43+SUM(CE49:CE58)</f>
        <v>7</v>
      </c>
      <c r="CF87" s="382" t="n">
        <f aca="false">CF43+SUM(CF49:CF58)</f>
        <v>7</v>
      </c>
      <c r="CG87" s="382" t="n">
        <f aca="false">CG43+SUM(CG49:CG58)</f>
        <v>7</v>
      </c>
      <c r="CH87" s="382" t="n">
        <f aca="false">CH43+SUM(CH49:CH58)</f>
        <v>7</v>
      </c>
      <c r="CI87" s="382" t="n">
        <f aca="false">CI43+SUM(CI49:CI58)</f>
        <v>7</v>
      </c>
      <c r="CJ87" s="382" t="n">
        <f aca="false">CJ43+SUM(CJ49:CJ58)</f>
        <v>7</v>
      </c>
      <c r="CK87" s="382" t="n">
        <f aca="false">CK43+SUM(CK49:CK58)</f>
        <v>7</v>
      </c>
      <c r="CL87" s="382" t="n">
        <f aca="false">CL43+SUM(CL49:CL58)</f>
        <v>7</v>
      </c>
      <c r="CM87" s="382" t="n">
        <f aca="false">CM43+SUM(CM49:CM58)</f>
        <v>7</v>
      </c>
      <c r="CN87" s="382" t="n">
        <f aca="false">CN43+SUM(CN49:CN58)</f>
        <v>7</v>
      </c>
      <c r="CO87" s="382" t="n">
        <f aca="false">CO43+SUM(CO49:CO58)</f>
        <v>7</v>
      </c>
      <c r="CP87" s="382" t="n">
        <f aca="false">CP43+SUM(CP49:CP58)</f>
        <v>7</v>
      </c>
      <c r="CQ87" s="382" t="n">
        <f aca="false">CQ43+SUM(CQ49:CQ58)</f>
        <v>7</v>
      </c>
      <c r="CR87" s="382" t="n">
        <f aca="false">CR43+SUM(CR49:CR58)</f>
        <v>7</v>
      </c>
      <c r="CS87" s="382" t="n">
        <f aca="false">CS43+SUM(CS49:CS58)</f>
        <v>7</v>
      </c>
      <c r="CT87" s="382" t="n">
        <f aca="false">CT43+SUM(CT49:CT58)</f>
        <v>7</v>
      </c>
      <c r="CU87" s="382" t="n">
        <f aca="false">CU43+SUM(CU49:CU58)</f>
        <v>7</v>
      </c>
      <c r="CV87" s="382" t="n">
        <f aca="false">CV43+SUM(CV49:CV58)</f>
        <v>7</v>
      </c>
      <c r="CW87" s="382" t="n">
        <f aca="false">CW43+SUM(CW49:CW58)</f>
        <v>7</v>
      </c>
      <c r="CX87" s="382" t="n">
        <f aca="false">CX43+SUM(CX49:CX58)</f>
        <v>7</v>
      </c>
      <c r="CY87" s="382" t="n">
        <f aca="false">CY43+SUM(CY49:CY58)</f>
        <v>7</v>
      </c>
      <c r="CZ87" s="382" t="n">
        <f aca="false">CZ43+SUM(CZ49:CZ58)</f>
        <v>7</v>
      </c>
      <c r="DA87" s="382" t="n">
        <f aca="false">DA43+SUM(DA49:DA58)</f>
        <v>7</v>
      </c>
      <c r="DB87" s="382" t="n">
        <f aca="false">DB43+SUM(DB49:DB58)</f>
        <v>7</v>
      </c>
      <c r="DC87" s="382" t="n">
        <f aca="false">DC43+SUM(DC49:DC58)</f>
        <v>7</v>
      </c>
      <c r="DD87" s="382" t="n">
        <f aca="false">DD43+SUM(DD49:DD58)</f>
        <v>7</v>
      </c>
      <c r="DE87" s="382" t="n">
        <f aca="false">DE43+SUM(DE49:DE58)</f>
        <v>7</v>
      </c>
    </row>
    <row r="88" customFormat="false" ht="13.5" hidden="false" customHeight="true" outlineLevel="0" collapsed="false">
      <c r="A88" s="110" t="s">
        <v>1408</v>
      </c>
      <c r="E88" s="382" t="n">
        <f aca="false">E37-E87</f>
        <v>1</v>
      </c>
      <c r="F88" s="382" t="n">
        <f aca="false">F37-F87</f>
        <v>0</v>
      </c>
      <c r="G88" s="382" t="n">
        <f aca="false">G37-G87</f>
        <v>0</v>
      </c>
      <c r="H88" s="382" t="n">
        <f aca="false">H37-H87</f>
        <v>-1</v>
      </c>
      <c r="I88" s="382" t="n">
        <f aca="false">I37-I87</f>
        <v>1</v>
      </c>
      <c r="J88" s="382" t="n">
        <f aca="false">J37-J87</f>
        <v>1</v>
      </c>
      <c r="K88" s="382" t="n">
        <f aca="false">K37-K87</f>
        <v>1</v>
      </c>
      <c r="L88" s="382" t="n">
        <f aca="false">L37-L87</f>
        <v>1</v>
      </c>
      <c r="M88" s="382" t="n">
        <f aca="false">M37-M87</f>
        <v>0</v>
      </c>
      <c r="N88" s="382" t="n">
        <f aca="false">N37-N87</f>
        <v>1</v>
      </c>
      <c r="O88" s="382" t="n">
        <f aca="false">O37-O87</f>
        <v>1</v>
      </c>
      <c r="P88" s="382" t="n">
        <f aca="false">P37-P87</f>
        <v>1</v>
      </c>
      <c r="Q88" s="382" t="n">
        <f aca="false">Q37-Q87</f>
        <v>1</v>
      </c>
      <c r="R88" s="382" t="n">
        <f aca="false">R37-R87</f>
        <v>1</v>
      </c>
      <c r="S88" s="382" t="n">
        <f aca="false">S37-S87</f>
        <v>2</v>
      </c>
      <c r="T88" s="382" t="n">
        <f aca="false">T37-T87</f>
        <v>1</v>
      </c>
      <c r="U88" s="382" t="n">
        <f aca="false">U37-U87</f>
        <v>1</v>
      </c>
      <c r="V88" s="382" t="n">
        <f aca="false">V37-V87</f>
        <v>0</v>
      </c>
      <c r="W88" s="382" t="n">
        <f aca="false">W37-W87</f>
        <v>-1</v>
      </c>
      <c r="X88" s="382" t="n">
        <f aca="false">X37-X87</f>
        <v>-1</v>
      </c>
      <c r="Y88" s="382" t="n">
        <f aca="false">Y37-Y87</f>
        <v>-1</v>
      </c>
      <c r="Z88" s="382" t="n">
        <f aca="false">Z37-Z87</f>
        <v>0</v>
      </c>
      <c r="AA88" s="382" t="n">
        <f aca="false">AA37-AA87</f>
        <v>0</v>
      </c>
      <c r="AB88" s="382" t="n">
        <f aca="false">AB37-AB87</f>
        <v>-1</v>
      </c>
      <c r="AC88" s="382" t="n">
        <f aca="false">AC37-AC87</f>
        <v>-2</v>
      </c>
      <c r="AD88" s="382" t="n">
        <f aca="false">AD37-AD87</f>
        <v>-1</v>
      </c>
      <c r="AE88" s="382" t="n">
        <f aca="false">AE37-AE87</f>
        <v>0</v>
      </c>
      <c r="AF88" s="382" t="n">
        <f aca="false">AF37-AF87</f>
        <v>0</v>
      </c>
      <c r="AG88" s="382" t="n">
        <f aca="false">AG37-AG87</f>
        <v>-2</v>
      </c>
      <c r="AH88" s="382" t="n">
        <f aca="false">AH37-AH87</f>
        <v>-2</v>
      </c>
      <c r="AI88" s="382" t="n">
        <f aca="false">AI37-AI87</f>
        <v>-2</v>
      </c>
      <c r="AJ88" s="382" t="n">
        <f aca="false">AJ37-AJ87</f>
        <v>-2</v>
      </c>
      <c r="AK88" s="382" t="n">
        <f aca="false">AK37-AK87</f>
        <v>-4</v>
      </c>
      <c r="AL88" s="382" t="n">
        <f aca="false">AL37-AL87</f>
        <v>-5</v>
      </c>
      <c r="AM88" s="382" t="n">
        <f aca="false">AM37-AM87</f>
        <v>-4</v>
      </c>
      <c r="AN88" s="382" t="n">
        <f aca="false">AN37-AN87</f>
        <v>-3</v>
      </c>
      <c r="AO88" s="382" t="n">
        <f aca="false">AO37-AO87</f>
        <v>-4</v>
      </c>
      <c r="AP88" s="382" t="n">
        <f aca="false">AP37-AP87</f>
        <v>-4</v>
      </c>
      <c r="AQ88" s="382" t="n">
        <f aca="false">AQ37-AQ87</f>
        <v>-4</v>
      </c>
      <c r="AR88" s="382" t="n">
        <f aca="false">AR37-AR87</f>
        <v>-4</v>
      </c>
      <c r="AS88" s="382" t="n">
        <f aca="false">AS37-AS87</f>
        <v>-4</v>
      </c>
      <c r="AT88" s="382" t="n">
        <f aca="false">AT37-AT87</f>
        <v>-4</v>
      </c>
      <c r="AU88" s="382" t="n">
        <f aca="false">AU37-AU87</f>
        <v>-5</v>
      </c>
      <c r="AV88" s="382" t="n">
        <f aca="false">AV37-AV87</f>
        <v>-6</v>
      </c>
      <c r="AW88" s="382" t="n">
        <f aca="false">AW37-AW87</f>
        <v>-6</v>
      </c>
      <c r="AX88" s="382" t="n">
        <f aca="false">AX37-AX87</f>
        <v>-6</v>
      </c>
      <c r="AY88" s="382" t="n">
        <f aca="false">AY37-AY87</f>
        <v>-6</v>
      </c>
      <c r="AZ88" s="382" t="n">
        <f aca="false">AZ37-AZ87</f>
        <v>-6</v>
      </c>
      <c r="BA88" s="382" t="n">
        <f aca="false">BA37-BA87</f>
        <v>-6</v>
      </c>
      <c r="BB88" s="382" t="n">
        <f aca="false">BB37-BB87</f>
        <v>-6</v>
      </c>
      <c r="BC88" s="382" t="n">
        <f aca="false">BC37-BC87</f>
        <v>-6</v>
      </c>
      <c r="BD88" s="382" t="n">
        <f aca="false">BD37-BD87</f>
        <v>-6</v>
      </c>
      <c r="BE88" s="382" t="n">
        <f aca="false">BE37-BE87</f>
        <v>-6</v>
      </c>
      <c r="BF88" s="382" t="n">
        <f aca="false">BF37-BF87</f>
        <v>-6</v>
      </c>
      <c r="BG88" s="382" t="n">
        <f aca="false">BG37-BG87</f>
        <v>-6</v>
      </c>
      <c r="BH88" s="382" t="n">
        <f aca="false">BH37-BH87</f>
        <v>-6</v>
      </c>
      <c r="BI88" s="382" t="n">
        <f aca="false">BI37-BI87</f>
        <v>-7</v>
      </c>
      <c r="BJ88" s="382" t="n">
        <f aca="false">BJ37-BJ87</f>
        <v>-7</v>
      </c>
      <c r="BK88" s="382" t="n">
        <f aca="false">BK37-BK87</f>
        <v>-7</v>
      </c>
      <c r="BL88" s="382" t="n">
        <f aca="false">BL37-BL87</f>
        <v>-7</v>
      </c>
      <c r="BM88" s="382" t="n">
        <f aca="false">BM37-BM87</f>
        <v>-7</v>
      </c>
      <c r="BN88" s="382" t="n">
        <f aca="false">BN37-BN87</f>
        <v>-7</v>
      </c>
      <c r="BO88" s="382" t="n">
        <f aca="false">BO37-BO87</f>
        <v>-7</v>
      </c>
      <c r="BP88" s="382" t="n">
        <f aca="false">BP37-BP87</f>
        <v>-7</v>
      </c>
      <c r="BQ88" s="382" t="n">
        <f aca="false">BQ37-BQ87</f>
        <v>-7</v>
      </c>
      <c r="BR88" s="382" t="n">
        <f aca="false">BR37-BR87</f>
        <v>-7</v>
      </c>
      <c r="BS88" s="382" t="n">
        <f aca="false">BS37-BS87</f>
        <v>-7</v>
      </c>
      <c r="BT88" s="382" t="n">
        <f aca="false">BT37-BT87</f>
        <v>-7</v>
      </c>
      <c r="BU88" s="382" t="n">
        <f aca="false">BU37-BU87</f>
        <v>-7</v>
      </c>
      <c r="BV88" s="382" t="n">
        <f aca="false">BV37-BV87</f>
        <v>-7</v>
      </c>
      <c r="BW88" s="382" t="n">
        <f aca="false">BW37-BW87</f>
        <v>-7</v>
      </c>
      <c r="BX88" s="382" t="n">
        <f aca="false">BX37-BX87</f>
        <v>-7</v>
      </c>
      <c r="BY88" s="382" t="n">
        <f aca="false">BY37-BY87</f>
        <v>-7</v>
      </c>
      <c r="BZ88" s="382" t="n">
        <f aca="false">BZ37-BZ87</f>
        <v>-7</v>
      </c>
      <c r="CA88" s="382" t="n">
        <f aca="false">CA37-CA87</f>
        <v>-7</v>
      </c>
      <c r="CB88" s="382" t="n">
        <f aca="false">CB37-CB87</f>
        <v>-7</v>
      </c>
      <c r="CC88" s="382" t="n">
        <f aca="false">CC37-CC87</f>
        <v>-7</v>
      </c>
      <c r="CD88" s="382" t="n">
        <f aca="false">CD37-CD87</f>
        <v>-7</v>
      </c>
      <c r="CE88" s="382" t="n">
        <f aca="false">CE37-CE87</f>
        <v>-7</v>
      </c>
      <c r="CF88" s="382" t="n">
        <f aca="false">CF37-CF87</f>
        <v>-7</v>
      </c>
      <c r="CG88" s="382" t="n">
        <f aca="false">CG37-CG87</f>
        <v>-7</v>
      </c>
      <c r="CH88" s="382" t="n">
        <f aca="false">CH37-CH87</f>
        <v>-7</v>
      </c>
      <c r="CI88" s="382" t="n">
        <f aca="false">CI37-CI87</f>
        <v>-7</v>
      </c>
      <c r="CJ88" s="382" t="n">
        <f aca="false">CJ37-CJ87</f>
        <v>-7</v>
      </c>
      <c r="CK88" s="382" t="n">
        <f aca="false">CK37-CK87</f>
        <v>-7</v>
      </c>
      <c r="CL88" s="382" t="n">
        <f aca="false">CL37-CL87</f>
        <v>-7</v>
      </c>
      <c r="CM88" s="382" t="n">
        <f aca="false">CM37-CM87</f>
        <v>-7</v>
      </c>
      <c r="CN88" s="382" t="n">
        <f aca="false">CN37-CN87</f>
        <v>-7</v>
      </c>
      <c r="CO88" s="382" t="n">
        <f aca="false">CO37-CO87</f>
        <v>-7</v>
      </c>
      <c r="CP88" s="382" t="n">
        <f aca="false">CP37-CP87</f>
        <v>-7</v>
      </c>
      <c r="CQ88" s="382" t="n">
        <f aca="false">CQ37-CQ87</f>
        <v>-7</v>
      </c>
      <c r="CR88" s="382" t="n">
        <f aca="false">CR37-CR87</f>
        <v>-7</v>
      </c>
      <c r="CS88" s="382" t="n">
        <f aca="false">CS37-CS87</f>
        <v>-7</v>
      </c>
      <c r="CT88" s="382" t="n">
        <f aca="false">CT37-CT87</f>
        <v>-7</v>
      </c>
      <c r="CU88" s="382" t="n">
        <f aca="false">CU37-CU87</f>
        <v>-7</v>
      </c>
      <c r="CV88" s="382" t="n">
        <f aca="false">CV37-CV87</f>
        <v>-7</v>
      </c>
      <c r="CW88" s="382" t="n">
        <f aca="false">CW37-CW87</f>
        <v>-7</v>
      </c>
      <c r="CX88" s="382" t="n">
        <f aca="false">CX37-CX87</f>
        <v>-7</v>
      </c>
      <c r="CY88" s="382" t="n">
        <f aca="false">CY37-CY87</f>
        <v>-7</v>
      </c>
      <c r="CZ88" s="382" t="n">
        <f aca="false">CZ37-CZ87</f>
        <v>-7</v>
      </c>
      <c r="DA88" s="382" t="n">
        <f aca="false">DA37-DA87</f>
        <v>-7</v>
      </c>
      <c r="DB88" s="382" t="n">
        <f aca="false">DB37-DB87</f>
        <v>-7</v>
      </c>
      <c r="DC88" s="382" t="n">
        <f aca="false">DC37-DC87</f>
        <v>-7</v>
      </c>
      <c r="DD88" s="382" t="n">
        <f aca="false">DD37-DD87</f>
        <v>-7</v>
      </c>
      <c r="DE88" s="382" t="n">
        <f aca="false">DE37-DE87</f>
        <v>-7</v>
      </c>
    </row>
    <row r="89" customFormat="false" ht="13.5" hidden="false" customHeight="true" outlineLevel="0" collapsed="false">
      <c r="A89" s="110" t="s">
        <v>1409</v>
      </c>
      <c r="E89" s="382" t="n">
        <f aca="false">(E87+E44+SUM(E61:E68)+E45+SUM(E71:E74))-(E38+E39+E40)</f>
        <v>0.945</v>
      </c>
      <c r="F89" s="382" t="n">
        <f aca="false">(F87+F44+SUM(F61:F68)+F45+SUM(F71:F74))-(F38+F39+F40)</f>
        <v>2.945</v>
      </c>
      <c r="G89" s="382" t="n">
        <f aca="false">(G87+G44+SUM(G61:G68)+G45+SUM(G71:G74))-(G38+G39+G40)</f>
        <v>2.945</v>
      </c>
      <c r="H89" s="382" t="n">
        <f aca="false">(H87+H44+SUM(H61:H68)+H45+SUM(H71:H74))-(H38+H39+H40)</f>
        <v>3.945</v>
      </c>
      <c r="I89" s="382" t="n">
        <f aca="false">(I87+I44+SUM(I61:I68)+I45+SUM(I71:I74))-(I38+I39+I40)</f>
        <v>0.745000000000001</v>
      </c>
      <c r="J89" s="382" t="n">
        <f aca="false">(J87+J44+SUM(J61:J68)+J45+SUM(J71:J74))-(J38+J39+J40)</f>
        <v>0.7525</v>
      </c>
      <c r="K89" s="382" t="n">
        <f aca="false">(K87+K44+SUM(K61:K68)+K45+SUM(K71:K74))-(K38+K39+K40)</f>
        <v>0.7525</v>
      </c>
      <c r="L89" s="382" t="n">
        <f aca="false">(L87+L44+SUM(L61:L68)+L45+SUM(L71:L74))-(L38+L39+L40)</f>
        <v>0.7525</v>
      </c>
      <c r="M89" s="382" t="n">
        <f aca="false">(M87+M44+SUM(M61:M68)+M45+SUM(M71:M74))-(M38+M39+M40)</f>
        <v>0.427499999999998</v>
      </c>
      <c r="N89" s="382" t="n">
        <f aca="false">(N87+N44+SUM(N61:N68)+N45+SUM(N71:N74))-(N38+N39+N40)</f>
        <v>0.77</v>
      </c>
      <c r="O89" s="382" t="n">
        <f aca="false">(O87+O44+SUM(O61:O68)+O45+SUM(O71:O74))-(O38+O39+O40)</f>
        <v>1.23</v>
      </c>
      <c r="P89" s="382" t="n">
        <f aca="false">(P87+P44+SUM(P61:P68)+P45+SUM(P71:P74))-(P38+P39+P40)</f>
        <v>1.23</v>
      </c>
      <c r="Q89" s="382" t="n">
        <f aca="false">(Q87+Q44+SUM(Q61:Q68)+Q45+SUM(Q71:Q74))-(Q38+Q39+Q40)</f>
        <v>0.6875</v>
      </c>
      <c r="R89" s="382" t="n">
        <f aca="false">(R87+R44+SUM(R61:R68)+R45+SUM(R71:R74))-(R38+R39+R40)</f>
        <v>1.3625</v>
      </c>
      <c r="S89" s="382" t="n">
        <f aca="false">(S87+S44+SUM(S61:S68)+S45+SUM(S71:S74))-(S38+S39+S40)</f>
        <v>0.262499999999999</v>
      </c>
      <c r="T89" s="382" t="n">
        <f aca="false">(T87+T44+SUM(T61:T68)+T45+SUM(T71:T74))-(T38+T39+T40)</f>
        <v>0.162499999999998</v>
      </c>
      <c r="U89" s="382" t="n">
        <f aca="false">(U87+U44+SUM(U61:U68)+U45+SUM(U71:U74))-(U38+U39+U40)</f>
        <v>1.595</v>
      </c>
      <c r="V89" s="382" t="n">
        <f aca="false">(V87+V44+SUM(V61:V68)+V45+SUM(V71:V74))-(V38+V39+V40)</f>
        <v>1.595</v>
      </c>
      <c r="W89" s="382" t="n">
        <f aca="false">(W87+W44+SUM(W61:W68)+W45+SUM(W71:W74))-(W38+W39+W40)</f>
        <v>2.695</v>
      </c>
      <c r="X89" s="382" t="n">
        <f aca="false">(X87+X44+SUM(X61:X68)+X45+SUM(X71:X74))-(X38+X39+X40)</f>
        <v>1.92</v>
      </c>
      <c r="Y89" s="382" t="n">
        <f aca="false">(Y87+Y44+SUM(Y61:Y68)+Y45+SUM(Y71:Y74))-(Y38+Y39+Y40)</f>
        <v>3.245</v>
      </c>
      <c r="Z89" s="382" t="n">
        <f aca="false">(Z87+Z44+SUM(Z61:Z68)+Z45+SUM(Z71:Z74))-(Z38+Z39+Z40)</f>
        <v>2.47</v>
      </c>
      <c r="AA89" s="382" t="n">
        <f aca="false">(AA87+AA44+SUM(AA61:AA68)+AA45+SUM(AA71:AA74))-(AA38+AA39+AA40)</f>
        <v>2.47</v>
      </c>
      <c r="AB89" s="382" t="n">
        <f aca="false">(AB87+AB44+SUM(AB61:AB68)+AB45+SUM(AB71:AB74))-(AB38+AB39+AB40)</f>
        <v>2.47</v>
      </c>
      <c r="AC89" s="382" t="n">
        <f aca="false">(AC87+AC44+SUM(AC61:AC68)+AC45+SUM(AC71:AC74))-(AC38+AC39+AC40)</f>
        <v>3.57</v>
      </c>
      <c r="AD89" s="382" t="n">
        <f aca="false">(AD87+AD44+SUM(AD61:AD68)+AD45+SUM(AD71:AD74))-(AD38+AD39+AD40)</f>
        <v>4.2275</v>
      </c>
      <c r="AE89" s="382" t="n">
        <f aca="false">(AE87+AE44+SUM(AE61:AE68)+AE45+SUM(AE71:AE74))-(AE38+AE39+AE40)</f>
        <v>2.685</v>
      </c>
      <c r="AF89" s="382" t="n">
        <f aca="false">(AF87+AF44+SUM(AF61:AF68)+AF45+SUM(AF71:AF74))-(AF38+AF39+AF40)</f>
        <v>2.685</v>
      </c>
      <c r="AG89" s="382" t="n">
        <f aca="false">(AG87+AG44+SUM(AG61:AG68)+AG45+SUM(AG71:AG74))-(AG38+AG39+AG40)</f>
        <v>2.685</v>
      </c>
      <c r="AH89" s="382" t="n">
        <f aca="false">(AH87+AH44+SUM(AH61:AH68)+AH45+SUM(AH71:AH74))-(AH38+AH39+AH40)</f>
        <v>4.4425</v>
      </c>
      <c r="AI89" s="382" t="n">
        <f aca="false">(AI87+AI44+SUM(AI61:AI68)+AI45+SUM(AI71:AI74))-(AI38+AI39+AI40)</f>
        <v>5.875</v>
      </c>
      <c r="AJ89" s="382" t="n">
        <f aca="false">(AJ87+AJ44+SUM(AJ61:AJ68)+AJ45+SUM(AJ71:AJ74))-(AJ38+AJ39+AJ40)</f>
        <v>6.1</v>
      </c>
      <c r="AK89" s="382" t="n">
        <f aca="false">(AK87+AK44+SUM(AK61:AK68)+AK45+SUM(AK71:AK74))-(AK38+AK39+AK40)</f>
        <v>6.1</v>
      </c>
      <c r="AL89" s="382" t="n">
        <f aca="false">(AL87+AL44+SUM(AL61:AL68)+AL45+SUM(AL71:AL74))-(AL38+AL39+AL40)</f>
        <v>8.8</v>
      </c>
      <c r="AM89" s="382" t="n">
        <f aca="false">(AM87+AM44+SUM(AM61:AM68)+AM45+SUM(AM71:AM74))-(AM38+AM39+AM40)</f>
        <v>5.9</v>
      </c>
      <c r="AN89" s="382" t="n">
        <f aca="false">(AN87+AN44+SUM(AN61:AN68)+AN45+SUM(AN71:AN74))-(AN38+AN39+AN40)</f>
        <v>6</v>
      </c>
      <c r="AO89" s="382" t="n">
        <f aca="false">(AO87+AO44+SUM(AO61:AO68)+AO45+SUM(AO71:AO74))-(AO38+AO39+AO40)</f>
        <v>6</v>
      </c>
      <c r="AP89" s="382" t="n">
        <f aca="false">(AP87+AP44+SUM(AP61:AP68)+AP45+SUM(AP71:AP74))-(AP38+AP39+AP40)</f>
        <v>7.375</v>
      </c>
      <c r="AQ89" s="382" t="n">
        <f aca="false">(AQ87+AQ44+SUM(AQ61:AQ68)+AQ45+SUM(AQ71:AQ74))-(AQ38+AQ39+AQ40)</f>
        <v>6.375</v>
      </c>
      <c r="AR89" s="382" t="n">
        <f aca="false">(AR87+AR44+SUM(AR61:AR68)+AR45+SUM(AR71:AR74))-(AR38+AR39+AR40)</f>
        <v>6.875</v>
      </c>
      <c r="AS89" s="382" t="n">
        <f aca="false">(AS87+AS44+SUM(AS61:AS68)+AS45+SUM(AS71:AS74))-(AS38+AS39+AS40)</f>
        <v>7.375</v>
      </c>
      <c r="AT89" s="382" t="n">
        <f aca="false">(AT87+AT44+SUM(AT61:AT68)+AT45+SUM(AT71:AT74))-(AT38+AT39+AT40)</f>
        <v>7.375</v>
      </c>
      <c r="AU89" s="382" t="n">
        <f aca="false">(AU87+AU44+SUM(AU61:AU68)+AU45+SUM(AU71:AU74))-(AU38+AU39+AU40)</f>
        <v>7.375</v>
      </c>
      <c r="AV89" s="382" t="n">
        <f aca="false">(AV87+AV44+SUM(AV61:AV68)+AV45+SUM(AV71:AV74))-(AV38+AV39+AV40)</f>
        <v>8.75</v>
      </c>
      <c r="AW89" s="382" t="n">
        <f aca="false">(AW87+AW44+SUM(AW61:AW68)+AW45+SUM(AW71:AW74))-(AW38+AW39+AW40)</f>
        <v>10.125</v>
      </c>
      <c r="AX89" s="382" t="n">
        <f aca="false">(AX87+AX44+SUM(AX61:AX68)+AX45+SUM(AX71:AX74))-(AX38+AX39+AX40)</f>
        <v>10.125</v>
      </c>
      <c r="AY89" s="382" t="n">
        <f aca="false">(AY87+AY44+SUM(AY61:AY68)+AY45+SUM(AY71:AY74))-(AY38+AY39+AY40)</f>
        <v>10.125</v>
      </c>
      <c r="AZ89" s="382" t="n">
        <f aca="false">(AZ87+AZ44+SUM(AZ61:AZ68)+AZ45+SUM(AZ71:AZ74))-(AZ38+AZ39+AZ40)</f>
        <v>10.125</v>
      </c>
      <c r="BA89" s="382" t="n">
        <f aca="false">(BA87+BA44+SUM(BA61:BA68)+BA45+SUM(BA71:BA74))-(BA38+BA39+BA40)</f>
        <v>10.125</v>
      </c>
      <c r="BB89" s="382" t="n">
        <f aca="false">(BB87+BB44+SUM(BB61:BB68)+BB45+SUM(BB71:BB74))-(BB38+BB39+BB40)</f>
        <v>10.125</v>
      </c>
      <c r="BC89" s="382" t="n">
        <f aca="false">(BC87+BC44+SUM(BC61:BC68)+BC45+SUM(BC71:BC74))-(BC38+BC39+BC40)</f>
        <v>10.125</v>
      </c>
      <c r="BD89" s="382" t="n">
        <f aca="false">(BD87+BD44+SUM(BD61:BD68)+BD45+SUM(BD71:BD74))-(BD38+BD39+BD40)</f>
        <v>10.125</v>
      </c>
      <c r="BE89" s="382" t="n">
        <f aca="false">(BE87+BE44+SUM(BE61:BE68)+BE45+SUM(BE71:BE74))-(BE38+BE39+BE40)</f>
        <v>10.125</v>
      </c>
      <c r="BF89" s="382" t="n">
        <f aca="false">(BF87+BF44+SUM(BF61:BF68)+BF45+SUM(BF71:BF74))-(BF38+BF39+BF40)</f>
        <v>10.625</v>
      </c>
      <c r="BG89" s="382" t="n">
        <f aca="false">(BG87+BG44+SUM(BG61:BG68)+BG45+SUM(BG71:BG74))-(BG38+BG39+BG40)</f>
        <v>10.625</v>
      </c>
      <c r="BH89" s="382" t="n">
        <f aca="false">(BH87+BH44+SUM(BH61:BH68)+BH45+SUM(BH71:BH74))-(BH38+BH39+BH40)</f>
        <v>10.625</v>
      </c>
      <c r="BI89" s="382" t="n">
        <f aca="false">(BI87+BI44+SUM(BI61:BI68)+BI45+SUM(BI71:BI74))-(BI38+BI39+BI40)</f>
        <v>10.625</v>
      </c>
      <c r="BJ89" s="382" t="n">
        <f aca="false">(BJ87+BJ44+SUM(BJ61:BJ68)+BJ45+SUM(BJ71:BJ74))-(BJ38+BJ39+BJ40)</f>
        <v>12</v>
      </c>
      <c r="BK89" s="382" t="n">
        <f aca="false">(BK87+BK44+SUM(BK61:BK68)+BK45+SUM(BK71:BK74))-(BK38+BK39+BK40)</f>
        <v>12</v>
      </c>
      <c r="BL89" s="382" t="n">
        <f aca="false">(BL87+BL44+SUM(BL61:BL68)+BL45+SUM(BL71:BL74))-(BL38+BL39+BL40)</f>
        <v>12</v>
      </c>
      <c r="BM89" s="382" t="n">
        <f aca="false">(BM87+BM44+SUM(BM61:BM68)+BM45+SUM(BM71:BM74))-(BM38+BM39+BM40)</f>
        <v>12</v>
      </c>
      <c r="BN89" s="382" t="n">
        <f aca="false">(BN87+BN44+SUM(BN61:BN68)+BN45+SUM(BN71:BN74))-(BN38+BN39+BN40)</f>
        <v>12</v>
      </c>
      <c r="BO89" s="382" t="n">
        <f aca="false">(BO87+BO44+SUM(BO61:BO68)+BO45+SUM(BO71:BO74))-(BO38+BO39+BO40)</f>
        <v>12</v>
      </c>
      <c r="BP89" s="382" t="n">
        <f aca="false">(BP87+BP44+SUM(BP61:BP68)+BP45+SUM(BP71:BP74))-(BP38+BP39+BP40)</f>
        <v>12</v>
      </c>
      <c r="BQ89" s="382" t="n">
        <f aca="false">(BQ87+BQ44+SUM(BQ61:BQ68)+BQ45+SUM(BQ71:BQ74))-(BQ38+BQ39+BQ40)</f>
        <v>12</v>
      </c>
      <c r="BR89" s="382" t="n">
        <f aca="false">(BR87+BR44+SUM(BR61:BR68)+BR45+SUM(BR71:BR74))-(BR38+BR39+BR40)</f>
        <v>12</v>
      </c>
      <c r="BS89" s="382" t="n">
        <f aca="false">(BS87+BS44+SUM(BS61:BS68)+BS45+SUM(BS71:BS74))-(BS38+BS39+BS40)</f>
        <v>12</v>
      </c>
      <c r="BT89" s="382" t="n">
        <f aca="false">(BT87+BT44+SUM(BT61:BT68)+BT45+SUM(BT71:BT74))-(BT38+BT39+BT40)</f>
        <v>12</v>
      </c>
      <c r="BU89" s="382" t="n">
        <f aca="false">(BU87+BU44+SUM(BU61:BU68)+BU45+SUM(BU71:BU74))-(BU38+BU39+BU40)</f>
        <v>12</v>
      </c>
      <c r="BV89" s="382" t="n">
        <f aca="false">(BV87+BV44+SUM(BV61:BV68)+BV45+SUM(BV71:BV74))-(BV38+BV39+BV40)</f>
        <v>12</v>
      </c>
      <c r="BW89" s="382" t="n">
        <f aca="false">(BW87+BW44+SUM(BW61:BW68)+BW45+SUM(BW71:BW74))-(BW38+BW39+BW40)</f>
        <v>12</v>
      </c>
      <c r="BX89" s="382" t="n">
        <f aca="false">(BX87+BX44+SUM(BX61:BX68)+BX45+SUM(BX71:BX74))-(BX38+BX39+BX40)</f>
        <v>12</v>
      </c>
      <c r="BY89" s="382" t="n">
        <f aca="false">(BY87+BY44+SUM(BY61:BY68)+BY45+SUM(BY71:BY74))-(BY38+BY39+BY40)</f>
        <v>12</v>
      </c>
      <c r="BZ89" s="382" t="n">
        <f aca="false">(BZ87+BZ44+SUM(BZ61:BZ68)+BZ45+SUM(BZ71:BZ74))-(BZ38+BZ39+BZ40)</f>
        <v>12</v>
      </c>
      <c r="CA89" s="382" t="n">
        <f aca="false">(CA87+CA44+SUM(CA61:CA68)+CA45+SUM(CA71:CA74))-(CA38+CA39+CA40)</f>
        <v>12</v>
      </c>
      <c r="CB89" s="382" t="n">
        <f aca="false">(CB87+CB44+SUM(CB61:CB68)+CB45+SUM(CB71:CB74))-(CB38+CB39+CB40)</f>
        <v>12</v>
      </c>
      <c r="CC89" s="382" t="n">
        <f aca="false">(CC87+CC44+SUM(CC61:CC68)+CC45+SUM(CC71:CC74))-(CC38+CC39+CC40)</f>
        <v>12</v>
      </c>
      <c r="CD89" s="382" t="n">
        <f aca="false">(CD87+CD44+SUM(CD61:CD68)+CD45+SUM(CD71:CD74))-(CD38+CD39+CD40)</f>
        <v>12</v>
      </c>
      <c r="CE89" s="382" t="n">
        <f aca="false">(CE87+CE44+SUM(CE61:CE68)+CE45+SUM(CE71:CE74))-(CE38+CE39+CE40)</f>
        <v>12</v>
      </c>
      <c r="CF89" s="382" t="n">
        <f aca="false">(CF87+CF44+SUM(CF61:CF68)+CF45+SUM(CF71:CF74))-(CF38+CF39+CF40)</f>
        <v>12</v>
      </c>
      <c r="CG89" s="382" t="n">
        <f aca="false">(CG87+CG44+SUM(CG61:CG68)+CG45+SUM(CG71:CG74))-(CG38+CG39+CG40)</f>
        <v>12</v>
      </c>
      <c r="CH89" s="382" t="n">
        <f aca="false">(CH87+CH44+SUM(CH61:CH68)+CH45+SUM(CH71:CH74))-(CH38+CH39+CH40)</f>
        <v>12</v>
      </c>
      <c r="CI89" s="382" t="n">
        <f aca="false">(CI87+CI44+SUM(CI61:CI68)+CI45+SUM(CI71:CI74))-(CI38+CI39+CI40)</f>
        <v>12</v>
      </c>
      <c r="CJ89" s="382" t="n">
        <f aca="false">(CJ87+CJ44+SUM(CJ61:CJ68)+CJ45+SUM(CJ71:CJ74))-(CJ38+CJ39+CJ40)</f>
        <v>12</v>
      </c>
      <c r="CK89" s="382" t="n">
        <f aca="false">(CK87+CK44+SUM(CK61:CK68)+CK45+SUM(CK71:CK74))-(CK38+CK39+CK40)</f>
        <v>12</v>
      </c>
      <c r="CL89" s="382" t="n">
        <f aca="false">(CL87+CL44+SUM(CL61:CL68)+CL45+SUM(CL71:CL74))-(CL38+CL39+CL40)</f>
        <v>12</v>
      </c>
      <c r="CM89" s="382" t="n">
        <f aca="false">(CM87+CM44+SUM(CM61:CM68)+CM45+SUM(CM71:CM74))-(CM38+CM39+CM40)</f>
        <v>12</v>
      </c>
      <c r="CN89" s="382" t="n">
        <f aca="false">(CN87+CN44+SUM(CN61:CN68)+CN45+SUM(CN71:CN74))-(CN38+CN39+CN40)</f>
        <v>12</v>
      </c>
      <c r="CO89" s="382" t="n">
        <f aca="false">(CO87+CO44+SUM(CO61:CO68)+CO45+SUM(CO71:CO74))-(CO38+CO39+CO40)</f>
        <v>12</v>
      </c>
      <c r="CP89" s="382" t="n">
        <f aca="false">(CP87+CP44+SUM(CP61:CP68)+CP45+SUM(CP71:CP74))-(CP38+CP39+CP40)</f>
        <v>12</v>
      </c>
      <c r="CQ89" s="382" t="n">
        <f aca="false">(CQ87+CQ44+SUM(CQ61:CQ68)+CQ45+SUM(CQ71:CQ74))-(CQ38+CQ39+CQ40)</f>
        <v>12</v>
      </c>
      <c r="CR89" s="382" t="n">
        <f aca="false">(CR87+CR44+SUM(CR61:CR68)+CR45+SUM(CR71:CR74))-(CR38+CR39+CR40)</f>
        <v>12</v>
      </c>
      <c r="CS89" s="382" t="n">
        <f aca="false">(CS87+CS44+SUM(CS61:CS68)+CS45+SUM(CS71:CS74))-(CS38+CS39+CS40)</f>
        <v>12</v>
      </c>
      <c r="CT89" s="382" t="n">
        <f aca="false">(CT87+CT44+SUM(CT61:CT68)+CT45+SUM(CT71:CT74))-(CT38+CT39+CT40)</f>
        <v>12</v>
      </c>
      <c r="CU89" s="382" t="n">
        <f aca="false">(CU87+CU44+SUM(CU61:CU68)+CU45+SUM(CU71:CU74))-(CU38+CU39+CU40)</f>
        <v>12</v>
      </c>
      <c r="CV89" s="382" t="n">
        <f aca="false">(CV87+CV44+SUM(CV61:CV68)+CV45+SUM(CV71:CV74))-(CV38+CV39+CV40)</f>
        <v>12</v>
      </c>
      <c r="CW89" s="382" t="n">
        <f aca="false">(CW87+CW44+SUM(CW61:CW68)+CW45+SUM(CW71:CW74))-(CW38+CW39+CW40)</f>
        <v>12</v>
      </c>
      <c r="CX89" s="382" t="n">
        <f aca="false">(CX87+CX44+SUM(CX61:CX68)+CX45+SUM(CX71:CX74))-(CX38+CX39+CX40)</f>
        <v>12</v>
      </c>
      <c r="CY89" s="382" t="n">
        <f aca="false">(CY87+CY44+SUM(CY61:CY68)+CY45+SUM(CY71:CY74))-(CY38+CY39+CY40)</f>
        <v>12</v>
      </c>
      <c r="CZ89" s="382" t="n">
        <f aca="false">(CZ87+CZ44+SUM(CZ61:CZ68)+CZ45+SUM(CZ71:CZ74))-(CZ38+CZ39+CZ40)</f>
        <v>12</v>
      </c>
      <c r="DA89" s="382" t="n">
        <f aca="false">(DA87+DA44+SUM(DA61:DA68)+DA45+SUM(DA71:DA74))-(DA38+DA39+DA40)</f>
        <v>12</v>
      </c>
      <c r="DB89" s="382" t="n">
        <f aca="false">(DB87+DB44+SUM(DB61:DB68)+DB45+SUM(DB71:DB74))-(DB38+DB39+DB40)</f>
        <v>12</v>
      </c>
      <c r="DC89" s="382" t="n">
        <f aca="false">(DC87+DC44+SUM(DC61:DC68)+DC45+SUM(DC71:DC74))-(DC38+DC39+DC40)</f>
        <v>12</v>
      </c>
      <c r="DD89" s="382" t="n">
        <f aca="false">(DD87+DD44+SUM(DD61:DD68)+DD45+SUM(DD71:DD74))-(DD38+DD39+DD40)</f>
        <v>12</v>
      </c>
      <c r="DE89" s="382" t="n">
        <f aca="false">(DE87+DE44+SUM(DE61:DE68)+DE45+SUM(DE71:DE74))-(DE38+DE39+DE40)</f>
        <v>12</v>
      </c>
    </row>
    <row r="91" customFormat="false" ht="13.5" hidden="false" customHeight="true" outlineLevel="0" collapsed="false">
      <c r="A91" s="209" t="s">
        <v>1410</v>
      </c>
      <c r="B91" s="210"/>
    </row>
    <row r="92" customFormat="false" ht="13.5" hidden="false" customHeight="true" outlineLevel="0" collapsed="false">
      <c r="A92" s="110" t="s">
        <v>1411</v>
      </c>
      <c r="B92" s="379" t="n">
        <v>1</v>
      </c>
    </row>
    <row r="93" customFormat="false" ht="13.5" hidden="false" customHeight="true" outlineLevel="0" collapsed="false">
      <c r="A93" s="110" t="s">
        <v>1412</v>
      </c>
      <c r="B93" s="379" t="n">
        <v>0.5</v>
      </c>
    </row>
    <row r="94" customFormat="false" ht="13.5" hidden="false" customHeight="true" outlineLevel="0" collapsed="false">
      <c r="A94" s="110" t="s">
        <v>1413</v>
      </c>
      <c r="B94" s="379" t="n">
        <v>0.33</v>
      </c>
    </row>
    <row r="96" customFormat="false" ht="13.5" hidden="false" customHeight="true" outlineLevel="0" collapsed="false">
      <c r="A96" s="1" t="s">
        <v>1414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1416</v>
      </c>
      <c r="B99" s="211" t="n">
        <f aca="false">$B$27</f>
        <v>125000</v>
      </c>
      <c r="E99" s="383" t="n">
        <f aca="false">IF(1&lt;5,0,IF(MAX(E96)&gt;E97+0+$B$18,1,0))</f>
        <v>0</v>
      </c>
      <c r="F99" s="383" t="n">
        <f aca="false">IF(2&lt;5,0,IF(MAX(E96:F96)&gt;F97+0+$B$18,1,0))</f>
        <v>0</v>
      </c>
      <c r="G99" s="383" t="n">
        <f aca="false">IF(3&lt;5,0,IF(MAX(E96:G96)&gt;G97+0+$B$18,1,0))</f>
        <v>0</v>
      </c>
      <c r="H99" s="383" t="n">
        <f aca="false">IF(4&lt;5,0,IF(MAX(E96:H96)&gt;H97+0+$B$18,1,0))</f>
        <v>0</v>
      </c>
      <c r="I99" s="383" t="n">
        <f aca="false">IF(5&lt;5,0,IF(MAX(E96:I96)&gt;I97+0+$B$18,1,0))</f>
        <v>0</v>
      </c>
      <c r="J99" s="383" t="n">
        <f aca="false">IF(6&lt;5,0,IF(MAX(E96:J96)&gt;J97+0+$B$18,1,0))</f>
        <v>0</v>
      </c>
      <c r="K99" s="383" t="n">
        <f aca="false">IF(7&lt;5,0,IF(MAX(F96:K96)&gt;K97+0+$B$18,1,0))</f>
        <v>0</v>
      </c>
      <c r="L99" s="383" t="n">
        <f aca="false">IF(8&lt;5,0,IF(MAX(G96:L96)&gt;L97+0+$B$18,1,0))</f>
        <v>0</v>
      </c>
      <c r="M99" s="383" t="n">
        <f aca="false">IF(9&lt;5,0,IF(MAX(H96:M96)&gt;M97+0+$B$18,1,0))</f>
        <v>1</v>
      </c>
      <c r="N99" s="383" t="n">
        <f aca="false">IF(10&lt;5,0,IF(MAX(I96:N96)&gt;N97+0+$B$18,1,0))</f>
        <v>1</v>
      </c>
      <c r="O99" s="383" t="n">
        <f aca="false">IF(11&lt;5,0,IF(MAX(J96:O96)&gt;O97+0+$B$18,1,0))</f>
        <v>1</v>
      </c>
      <c r="P99" s="383" t="n">
        <f aca="false">IF(12&lt;5,0,IF(MAX(K96:P96)&gt;P97+0+$B$18,1,0))</f>
        <v>1</v>
      </c>
      <c r="Q99" s="383" t="n">
        <f aca="false">IF(13&lt;5,0,IF(MAX(L96:Q96)&gt;Q97+0+$B$18,1,0))</f>
        <v>1</v>
      </c>
      <c r="R99" s="383" t="n">
        <f aca="false">IF(14&lt;5,0,IF(MAX(M96:R96)&gt;R97+0+$B$18,1,0))</f>
        <v>1</v>
      </c>
      <c r="S99" s="383" t="n">
        <f aca="false">IF(15&lt;5,0,IF(MAX(N96:S96)&gt;S97+0+$B$18,1,0))</f>
        <v>1</v>
      </c>
      <c r="T99" s="383" t="n">
        <f aca="false">IF(16&lt;5,0,IF(MAX(O96:T96)&gt;T97+0+$B$18,1,0))</f>
        <v>1</v>
      </c>
      <c r="U99" s="383" t="n">
        <f aca="false">IF(17&lt;5,0,IF(MAX(P96:U96)&gt;U97+0+$B$18,1,0))</f>
        <v>1</v>
      </c>
      <c r="V99" s="383" t="n">
        <f aca="false">IF(18&lt;5,0,IF(MAX(Q96:V96)&gt;V97+0+$B$18,1,0))</f>
        <v>1</v>
      </c>
      <c r="W99" s="383" t="n">
        <f aca="false">IF(19&lt;5,0,IF(MAX(R96:W96)&gt;W97+0+$B$18,1,0))</f>
        <v>1</v>
      </c>
      <c r="X99" s="383" t="n">
        <f aca="false">IF(20&lt;5,0,IF(MAX(S96:X96)&gt;X97+0+$B$18,1,0))</f>
        <v>1</v>
      </c>
      <c r="Y99" s="383" t="n">
        <f aca="false">IF(21&lt;5,0,IF(MAX(T96:Y96)&gt;Y97+0+$B$18,1,0))</f>
        <v>1</v>
      </c>
      <c r="Z99" s="383" t="n">
        <f aca="false">IF(22&lt;5,0,IF(MAX(U96:Z96)&gt;Z97+0+$B$18,1,0))</f>
        <v>1</v>
      </c>
      <c r="AA99" s="383" t="n">
        <f aca="false">IF(23&lt;5,0,IF(MAX(V96:AA96)&gt;AA97+0+$B$18,1,0))</f>
        <v>1</v>
      </c>
      <c r="AB99" s="383" t="n">
        <f aca="false">IF(24&lt;5,0,IF(MAX(W96:AB96)&gt;AB97+0+$B$18,1,0))</f>
        <v>1</v>
      </c>
      <c r="AC99" s="383" t="n">
        <f aca="false">IF(25&lt;5,0,IF(MAX(X96:AC96)&gt;AC97+0+$B$18,1,0))</f>
        <v>1</v>
      </c>
      <c r="AD99" s="383" t="n">
        <f aca="false">IF(26&lt;5,0,IF(MAX(Y96:AD96)&gt;AD97+0+$B$18,1,0))</f>
        <v>1</v>
      </c>
      <c r="AE99" s="383" t="n">
        <f aca="false">IF(27&lt;5,0,IF(MAX(Z96:AE96)&gt;AE97+0+$B$18,1,0))</f>
        <v>1</v>
      </c>
      <c r="AF99" s="383" t="n">
        <f aca="false">IF(28&lt;5,0,IF(MAX(AA96:AF96)&gt;AF97+0+$B$18,1,0))</f>
        <v>1</v>
      </c>
      <c r="AG99" s="383" t="n">
        <f aca="false">IF(29&lt;5,0,IF(MAX(AB96:AG96)&gt;AG97+0+$B$18,1,0))</f>
        <v>1</v>
      </c>
      <c r="AH99" s="383" t="n">
        <f aca="false">IF(30&lt;5,0,IF(MAX(AC96:AH96)&gt;AH97+0+$B$18,1,0))</f>
        <v>1</v>
      </c>
      <c r="AI99" s="383" t="n">
        <f aca="false">IF(31&lt;5,0,IF(MAX(AD96:AI96)&gt;AI97+0+$B$18,1,0))</f>
        <v>1</v>
      </c>
      <c r="AJ99" s="383" t="n">
        <f aca="false">IF(32&lt;5,0,IF(MAX(AE96:AJ96)&gt;AJ97+0+$B$18,1,0))</f>
        <v>1</v>
      </c>
      <c r="AK99" s="383" t="n">
        <f aca="false">IF(33&lt;5,0,IF(MAX(AF96:AK96)&gt;AK97+0+$B$18,1,0))</f>
        <v>1</v>
      </c>
      <c r="AL99" s="383" t="n">
        <f aca="false">IF(34&lt;5,0,IF(MAX(AG96:AL96)&gt;AL97+0+$B$18,1,0))</f>
        <v>1</v>
      </c>
      <c r="AM99" s="383" t="n">
        <f aca="false">IF(35&lt;5,0,IF(MAX(AH96:AM96)&gt;AM97+0+$B$18,1,0))</f>
        <v>1</v>
      </c>
      <c r="AN99" s="383" t="n">
        <f aca="false">IF(36&lt;5,0,IF(MAX(AI96:AN96)&gt;AN97+0+$B$18,1,0))</f>
        <v>1</v>
      </c>
      <c r="AO99" s="383" t="n">
        <f aca="false">IF(37&lt;5,0,IF(MAX(AJ96:AO96)&gt;AO97+0+$B$18,1,0))</f>
        <v>1</v>
      </c>
      <c r="AP99" s="383" t="n">
        <f aca="false">IF(38&lt;5,0,IF(MAX(AK96:AP96)&gt;AP97+0+$B$18,1,0))</f>
        <v>1</v>
      </c>
      <c r="AQ99" s="383" t="n">
        <f aca="false">IF(39&lt;5,0,IF(MAX(AL96:AQ96)&gt;AQ97+0+$B$18,1,0))</f>
        <v>1</v>
      </c>
      <c r="AR99" s="383" t="n">
        <f aca="false">IF(40&lt;5,0,IF(MAX(AM96:AR96)&gt;AR97+0+$B$18,1,0))</f>
        <v>1</v>
      </c>
      <c r="AS99" s="383" t="n">
        <f aca="false">IF(41&lt;5,0,IF(MAX(AN96:AS96)&gt;AS97+0+$B$18,1,0))</f>
        <v>0</v>
      </c>
      <c r="AT99" s="383" t="n">
        <f aca="false">IF(42&lt;5,0,IF(MAX(AO96:AT96)&gt;AT97+0+$B$18,1,0))</f>
        <v>0</v>
      </c>
      <c r="AU99" s="383" t="n">
        <f aca="false">IF(43&lt;5,0,IF(MAX(AP96:AU96)&gt;AU97+0+$B$18,1,0))</f>
        <v>0</v>
      </c>
      <c r="AV99" s="383" t="n">
        <f aca="false">IF(44&lt;5,0,IF(MAX(AQ96:AV96)&gt;AV97+0+$B$18,1,0))</f>
        <v>0</v>
      </c>
      <c r="AW99" s="383" t="n">
        <f aca="false">IF(45&lt;5,0,IF(MAX(AR96:AW96)&gt;AW97+0+$B$18,1,0))</f>
        <v>0</v>
      </c>
      <c r="AX99" s="383" t="n">
        <f aca="false">IF(46&lt;5,0,IF(MAX(AS96:AX96)&gt;AX97+0+$B$18,1,0))</f>
        <v>0</v>
      </c>
      <c r="AY99" s="383" t="n">
        <f aca="false">IF(47&lt;5,0,IF(MAX(AT96:AY96)&gt;AY97+0+$B$18,1,0))</f>
        <v>0</v>
      </c>
      <c r="AZ99" s="383" t="n">
        <f aca="false">IF(48&lt;5,0,IF(MAX(AU96:AZ96)&gt;AZ97+0+$B$18,1,0))</f>
        <v>0</v>
      </c>
      <c r="BA99" s="383" t="n">
        <f aca="false">IF(49&lt;5,0,IF(MAX(AV96:BA96)&gt;BA97+0+$B$18,1,0))</f>
        <v>0</v>
      </c>
      <c r="BB99" s="383" t="n">
        <f aca="false">IF(50&lt;5,0,IF(MAX(AW96:BB96)&gt;BB97+0+$B$18,1,0))</f>
        <v>0</v>
      </c>
      <c r="BC99" s="383" t="n">
        <f aca="false">IF(51&lt;5,0,IF(MAX(AX96:BC96)&gt;BC97+0+$B$18,1,0))</f>
        <v>0</v>
      </c>
      <c r="BD99" s="383" t="n">
        <f aca="false">IF(52&lt;5,0,IF(MAX(AY96:BD96)&gt;BD97+0+$B$18,1,0))</f>
        <v>0</v>
      </c>
      <c r="BE99" s="383" t="n">
        <f aca="false">IF(53&lt;5,0,IF(MAX(AZ96:BE96)&gt;BE97+0+$B$18,1,0))</f>
        <v>0</v>
      </c>
      <c r="BF99" s="383" t="n">
        <f aca="false">IF(54&lt;5,0,IF(MAX(BA96:BF96)&gt;BF97+0+$B$18,1,0))</f>
        <v>0</v>
      </c>
      <c r="BG99" s="383" t="n">
        <f aca="false">IF(55&lt;5,0,IF(MAX(BB96:BG96)&gt;BG97+0+$B$18,1,0))</f>
        <v>0</v>
      </c>
      <c r="BH99" s="383" t="n">
        <f aca="false">IF(56&lt;5,0,IF(MAX(BC96:BH96)&gt;BH97+0+$B$18,1,0))</f>
        <v>0</v>
      </c>
      <c r="BI99" s="383" t="n">
        <f aca="false">IF(57&lt;5,0,IF(MAX(BD96:BI96)&gt;BI97+0+$B$18,1,0))</f>
        <v>0</v>
      </c>
      <c r="BJ99" s="383" t="n">
        <f aca="false">IF(58&lt;5,0,IF(MAX(BE96:BJ96)&gt;BJ97+0+$B$18,1,0))</f>
        <v>0</v>
      </c>
      <c r="BK99" s="383" t="n">
        <f aca="false">IF(59&lt;5,0,IF(MAX(BF96:BK96)&gt;BK97+0+$B$18,1,0))</f>
        <v>0</v>
      </c>
      <c r="BL99" s="383" t="n">
        <f aca="false">IF(60&lt;5,0,IF(MAX(BG96:BL96)&gt;BL97+0+$B$18,1,0))</f>
        <v>0</v>
      </c>
      <c r="BM99" s="383" t="n">
        <f aca="false">IF(61&lt;5,0,IF(MAX(BH96:BM96)&gt;BM97+0+$B$18,1,0))</f>
        <v>0</v>
      </c>
      <c r="BN99" s="383" t="n">
        <f aca="false">IF(62&lt;5,0,IF(MAX(BI96:BN96)&gt;BN97+0+$B$18,1,0))</f>
        <v>0</v>
      </c>
      <c r="BO99" s="383" t="n">
        <f aca="false">IF(63&lt;5,0,IF(MAX(BJ96:BO96)&gt;BO97+0+$B$18,1,0))</f>
        <v>0</v>
      </c>
      <c r="BP99" s="383" t="n">
        <f aca="false">IF(64&lt;5,0,IF(MAX(BK96:BP96)&gt;BP97+0+$B$18,1,0))</f>
        <v>0</v>
      </c>
      <c r="BQ99" s="383" t="n">
        <f aca="false">IF(65&lt;5,0,IF(MAX(BL96:BQ96)&gt;BQ97+0+$B$18,1,0))</f>
        <v>0</v>
      </c>
      <c r="BR99" s="383" t="n">
        <f aca="false">IF(66&lt;5,0,IF(MAX(BM96:BR96)&gt;BR97+0+$B$18,1,0))</f>
        <v>0</v>
      </c>
      <c r="BS99" s="383" t="n">
        <f aca="false">IF(67&lt;5,0,IF(MAX(BN96:BS96)&gt;BS97+0+$B$18,1,0))</f>
        <v>0</v>
      </c>
      <c r="BT99" s="383" t="n">
        <f aca="false">IF(68&lt;5,0,IF(MAX(BO96:BT96)&gt;BT97+0+$B$18,1,0))</f>
        <v>0</v>
      </c>
      <c r="BU99" s="383" t="n">
        <f aca="false">IF(69&lt;5,0,IF(MAX(BP96:BU96)&gt;BU97+0+$B$18,1,0))</f>
        <v>0</v>
      </c>
      <c r="BV99" s="383" t="n">
        <f aca="false">IF(70&lt;5,0,IF(MAX(BQ96:BV96)&gt;BV97+0+$B$18,1,0))</f>
        <v>0</v>
      </c>
      <c r="BW99" s="383" t="n">
        <f aca="false">IF(71&lt;5,0,IF(MAX(BR96:BW96)&gt;BW97+0+$B$18,1,0))</f>
        <v>0</v>
      </c>
      <c r="BX99" s="383" t="n">
        <f aca="false">IF(72&lt;5,0,IF(MAX(BS96:BX96)&gt;BX97+0+$B$18,1,0))</f>
        <v>0</v>
      </c>
      <c r="BY99" s="383" t="n">
        <f aca="false">IF(73&lt;5,0,IF(MAX(BT96:BY96)&gt;BY97+0+$B$18,1,0))</f>
        <v>0</v>
      </c>
      <c r="BZ99" s="383" t="n">
        <f aca="false">IF(74&lt;5,0,IF(MAX(BU96:BZ96)&gt;BZ97+0+$B$18,1,0))</f>
        <v>0</v>
      </c>
      <c r="CA99" s="383" t="n">
        <f aca="false">IF(75&lt;5,0,IF(MAX(BV96:CA96)&gt;CA97+0+$B$18,1,0))</f>
        <v>0</v>
      </c>
      <c r="CB99" s="383" t="n">
        <f aca="false">IF(76&lt;5,0,IF(MAX(BW96:CB96)&gt;CB97+0+$B$18,1,0))</f>
        <v>0</v>
      </c>
      <c r="CC99" s="383" t="n">
        <f aca="false">IF(77&lt;5,0,IF(MAX(BX96:CC96)&gt;CC97+0+$B$18,1,0))</f>
        <v>0</v>
      </c>
      <c r="CD99" s="383" t="n">
        <f aca="false">IF(78&lt;5,0,IF(MAX(BY96:CD96)&gt;CD97+0+$B$18,1,0))</f>
        <v>0</v>
      </c>
      <c r="CE99" s="383" t="n">
        <f aca="false">IF(79&lt;5,0,IF(MAX(BZ96:CE96)&gt;CE97+0+$B$18,1,0))</f>
        <v>0</v>
      </c>
      <c r="CF99" s="383" t="n">
        <f aca="false">IF(80&lt;5,0,IF(MAX(CA96:CF96)&gt;CF97+0+$B$18,1,0))</f>
        <v>0</v>
      </c>
      <c r="CG99" s="383" t="n">
        <f aca="false">IF(81&lt;5,0,IF(MAX(CB96:CG96)&gt;CG97+0+$B$18,1,0))</f>
        <v>0</v>
      </c>
      <c r="CH99" s="383" t="n">
        <f aca="false">IF(82&lt;5,0,IF(MAX(CC96:CH96)&gt;CH97+0+$B$18,1,0))</f>
        <v>0</v>
      </c>
      <c r="CI99" s="383" t="n">
        <f aca="false">IF(83&lt;5,0,IF(MAX(CD96:CI96)&gt;CI97+0+$B$18,1,0))</f>
        <v>0</v>
      </c>
      <c r="CJ99" s="383" t="n">
        <f aca="false">IF(84&lt;5,0,IF(MAX(CE96:CJ96)&gt;CJ97+0+$B$18,1,0))</f>
        <v>0</v>
      </c>
      <c r="CK99" s="383" t="n">
        <f aca="false">IF(85&lt;5,0,IF(MAX(CF96:CK96)&gt;CK97+0+$B$18,1,0))</f>
        <v>0</v>
      </c>
      <c r="CL99" s="383" t="n">
        <f aca="false">IF(86&lt;5,0,IF(MAX(CG96:CL96)&gt;CL97+0+$B$18,1,0))</f>
        <v>0</v>
      </c>
      <c r="CM99" s="383" t="n">
        <f aca="false">IF(87&lt;5,0,IF(MAX(CH96:CM96)&gt;CM97+0+$B$18,1,0))</f>
        <v>0</v>
      </c>
      <c r="CN99" s="383" t="n">
        <f aca="false">IF(88&lt;5,0,IF(MAX(CI96:CN96)&gt;CN97+0+$B$18,1,0))</f>
        <v>0</v>
      </c>
      <c r="CO99" s="383" t="n">
        <f aca="false">IF(89&lt;5,0,IF(MAX(CJ96:CO96)&gt;CO97+0+$B$18,1,0))</f>
        <v>0</v>
      </c>
      <c r="CP99" s="383" t="n">
        <f aca="false">IF(90&lt;5,0,IF(MAX(CK96:CP96)&gt;CP97+0+$B$18,1,0))</f>
        <v>0</v>
      </c>
      <c r="CQ99" s="383" t="n">
        <f aca="false">IF(91&lt;5,0,IF(MAX(CL96:CQ96)&gt;CQ97+0+$B$18,1,0))</f>
        <v>0</v>
      </c>
      <c r="CR99" s="383" t="n">
        <f aca="false">IF(92&lt;5,0,IF(MAX(CM96:CR96)&gt;CR97+0+$B$18,1,0))</f>
        <v>0</v>
      </c>
      <c r="CS99" s="383" t="n">
        <f aca="false">IF(93&lt;5,0,IF(MAX(CN96:CS96)&gt;CS97+0+$B$18,1,0))</f>
        <v>0</v>
      </c>
      <c r="CT99" s="383" t="n">
        <f aca="false">IF(94&lt;5,0,IF(MAX(CO96:CT96)&gt;CT97+0+$B$18,1,0))</f>
        <v>0</v>
      </c>
      <c r="CU99" s="383" t="n">
        <f aca="false">IF(95&lt;5,0,IF(MAX(CP96:CU96)&gt;CU97+0+$B$18,1,0))</f>
        <v>0</v>
      </c>
      <c r="CV99" s="383" t="n">
        <f aca="false">IF(96&lt;5,0,IF(MAX(CQ96:CV96)&gt;CV97+0+$B$18,1,0))</f>
        <v>0</v>
      </c>
      <c r="CW99" s="383" t="n">
        <f aca="false">IF(97&lt;5,0,IF(MAX(CR96:CW96)&gt;CW97+0+$B$18,1,0))</f>
        <v>0</v>
      </c>
      <c r="CX99" s="383" t="n">
        <f aca="false">IF(98&lt;5,0,IF(MAX(CS96:CX96)&gt;CX97+0+$B$18,1,0))</f>
        <v>0</v>
      </c>
      <c r="CY99" s="383" t="n">
        <f aca="false">IF(99&lt;5,0,IF(MAX(CT96:CY96)&gt;CY97+0+$B$18,1,0))</f>
        <v>0</v>
      </c>
      <c r="CZ99" s="383" t="n">
        <f aca="false">IF(100&lt;5,0,IF(MAX(CU96:CZ96)&gt;CZ97+0+$B$18,1,0))</f>
        <v>0</v>
      </c>
      <c r="DA99" s="383" t="n">
        <f aca="false">IF(101&lt;5,0,IF(MAX(CV96:DA96)&gt;DA97+0+$B$18,1,0))</f>
        <v>0</v>
      </c>
      <c r="DB99" s="383" t="n">
        <f aca="false">IF(102&lt;5,0,IF(MAX(CW96:DB96)&gt;DB97+0+$B$18,1,0))</f>
        <v>0</v>
      </c>
      <c r="DC99" s="383" t="n">
        <f aca="false">IF(103&lt;5,0,IF(MAX(CX96:DC96)&gt;DC97+0+$B$18,1,0))</f>
        <v>0</v>
      </c>
      <c r="DD99" s="383" t="n">
        <f aca="false">IF(104&lt;5,0,IF(MAX(CY96:DD96)&gt;DD97+0+$B$18,1,0))</f>
        <v>0</v>
      </c>
      <c r="DE99" s="383" t="n">
        <f aca="false">IF(105&lt;5,0,IF(MAX(CZ96:DE96)&gt;DE97+0+$B$18,1,0))</f>
        <v>0</v>
      </c>
    </row>
    <row r="100" customFormat="false" ht="13.5" hidden="false" customHeight="true" outlineLevel="0" collapsed="false">
      <c r="A100" s="110" t="s">
        <v>1417</v>
      </c>
      <c r="B100" s="211" t="n">
        <f aca="false">$B$27</f>
        <v>125000</v>
      </c>
      <c r="E100" s="383" t="n">
        <f aca="false">IF(1&lt;5,0,IF(MAX(E96)&gt;E97+1+$B$18,1,0))</f>
        <v>0</v>
      </c>
      <c r="F100" s="383" t="n">
        <f aca="false">IF(2&lt;5,0,IF(MAX(E96:F96)&gt;F97+1+$B$18,1,0))</f>
        <v>0</v>
      </c>
      <c r="G100" s="383" t="n">
        <f aca="false">IF(3&lt;5,0,IF(MAX(E96:G96)&gt;G97+1+$B$18,1,0))</f>
        <v>0</v>
      </c>
      <c r="H100" s="383" t="n">
        <f aca="false">IF(4&lt;5,0,IF(MAX(E96:H96)&gt;H97+1+$B$18,1,0))</f>
        <v>0</v>
      </c>
      <c r="I100" s="383" t="n">
        <f aca="false">IF(5&lt;5,0,IF(MAX(E96:I96)&gt;I97+1+$B$18,1,0))</f>
        <v>0</v>
      </c>
      <c r="J100" s="383" t="n">
        <f aca="false">IF(6&lt;5,0,IF(MAX(E96:J96)&gt;J97+1+$B$18,1,0))</f>
        <v>0</v>
      </c>
      <c r="K100" s="383" t="n">
        <f aca="false">IF(7&lt;5,0,IF(MAX(F96:K96)&gt;K97+1+$B$18,1,0))</f>
        <v>0</v>
      </c>
      <c r="L100" s="383" t="n">
        <f aca="false">IF(8&lt;5,0,IF(MAX(G96:L96)&gt;L97+1+$B$18,1,0))</f>
        <v>0</v>
      </c>
      <c r="M100" s="383" t="n">
        <f aca="false">IF(9&lt;5,0,IF(MAX(H96:M96)&gt;M97+1+$B$18,1,0))</f>
        <v>0</v>
      </c>
      <c r="N100" s="383" t="n">
        <f aca="false">IF(10&lt;5,0,IF(MAX(I96:N96)&gt;N97+1+$B$18,1,0))</f>
        <v>0</v>
      </c>
      <c r="O100" s="383" t="n">
        <f aca="false">IF(11&lt;5,0,IF(MAX(J96:O96)&gt;O97+1+$B$18,1,0))</f>
        <v>1</v>
      </c>
      <c r="P100" s="383" t="n">
        <f aca="false">IF(12&lt;5,0,IF(MAX(K96:P96)&gt;P97+1+$B$18,1,0))</f>
        <v>1</v>
      </c>
      <c r="Q100" s="383" t="n">
        <f aca="false">IF(13&lt;5,0,IF(MAX(L96:Q96)&gt;Q97+1+$B$18,1,0))</f>
        <v>1</v>
      </c>
      <c r="R100" s="383" t="n">
        <f aca="false">IF(14&lt;5,0,IF(MAX(M96:R96)&gt;R97+1+$B$18,1,0))</f>
        <v>1</v>
      </c>
      <c r="S100" s="383" t="n">
        <f aca="false">IF(15&lt;5,0,IF(MAX(N96:S96)&gt;S97+1+$B$18,1,0))</f>
        <v>1</v>
      </c>
      <c r="T100" s="383" t="n">
        <f aca="false">IF(16&lt;5,0,IF(MAX(O96:T96)&gt;T97+1+$B$18,1,0))</f>
        <v>1</v>
      </c>
      <c r="U100" s="383" t="n">
        <f aca="false">IF(17&lt;5,0,IF(MAX(P96:U96)&gt;U97+1+$B$18,1,0))</f>
        <v>1</v>
      </c>
      <c r="V100" s="383" t="n">
        <f aca="false">IF(18&lt;5,0,IF(MAX(Q96:V96)&gt;V97+1+$B$18,1,0))</f>
        <v>1</v>
      </c>
      <c r="W100" s="383" t="n">
        <f aca="false">IF(19&lt;5,0,IF(MAX(R96:W96)&gt;W97+1+$B$18,1,0))</f>
        <v>1</v>
      </c>
      <c r="X100" s="383" t="n">
        <f aca="false">IF(20&lt;5,0,IF(MAX(S96:X96)&gt;X97+1+$B$18,1,0))</f>
        <v>1</v>
      </c>
      <c r="Y100" s="383" t="n">
        <f aca="false">IF(21&lt;5,0,IF(MAX(T96:Y96)&gt;Y97+1+$B$18,1,0))</f>
        <v>1</v>
      </c>
      <c r="Z100" s="383" t="n">
        <f aca="false">IF(22&lt;5,0,IF(MAX(U96:Z96)&gt;Z97+1+$B$18,1,0))</f>
        <v>1</v>
      </c>
      <c r="AA100" s="383" t="n">
        <f aca="false">IF(23&lt;5,0,IF(MAX(V96:AA96)&gt;AA97+1+$B$18,1,0))</f>
        <v>1</v>
      </c>
      <c r="AB100" s="383" t="n">
        <f aca="false">IF(24&lt;5,0,IF(MAX(W96:AB96)&gt;AB97+1+$B$18,1,0))</f>
        <v>1</v>
      </c>
      <c r="AC100" s="383" t="n">
        <f aca="false">IF(25&lt;5,0,IF(MAX(X96:AC96)&gt;AC97+1+$B$18,1,0))</f>
        <v>1</v>
      </c>
      <c r="AD100" s="383" t="n">
        <f aca="false">IF(26&lt;5,0,IF(MAX(Y96:AD96)&gt;AD97+1+$B$18,1,0))</f>
        <v>1</v>
      </c>
      <c r="AE100" s="383" t="n">
        <f aca="false">IF(27&lt;5,0,IF(MAX(Z96:AE96)&gt;AE97+1+$B$18,1,0))</f>
        <v>1</v>
      </c>
      <c r="AF100" s="383" t="n">
        <f aca="false">IF(28&lt;5,0,IF(MAX(AA96:AF96)&gt;AF97+1+$B$18,1,0))</f>
        <v>1</v>
      </c>
      <c r="AG100" s="383" t="n">
        <f aca="false">IF(29&lt;5,0,IF(MAX(AB96:AG96)&gt;AG97+1+$B$18,1,0))</f>
        <v>1</v>
      </c>
      <c r="AH100" s="383" t="n">
        <f aca="false">IF(30&lt;5,0,IF(MAX(AC96:AH96)&gt;AH97+1+$B$18,1,0))</f>
        <v>1</v>
      </c>
      <c r="AI100" s="383" t="n">
        <f aca="false">IF(31&lt;5,0,IF(MAX(AD96:AI96)&gt;AI97+1+$B$18,1,0))</f>
        <v>1</v>
      </c>
      <c r="AJ100" s="383" t="n">
        <f aca="false">IF(32&lt;5,0,IF(MAX(AE96:AJ96)&gt;AJ97+1+$B$18,1,0))</f>
        <v>1</v>
      </c>
      <c r="AK100" s="383" t="n">
        <f aca="false">IF(33&lt;5,0,IF(MAX(AF96:AK96)&gt;AK97+1+$B$18,1,0))</f>
        <v>1</v>
      </c>
      <c r="AL100" s="383" t="n">
        <f aca="false">IF(34&lt;5,0,IF(MAX(AG96:AL96)&gt;AL97+1+$B$18,1,0))</f>
        <v>1</v>
      </c>
      <c r="AM100" s="383" t="n">
        <f aca="false">IF(35&lt;5,0,IF(MAX(AH96:AM96)&gt;AM97+1+$B$18,1,0))</f>
        <v>1</v>
      </c>
      <c r="AN100" s="383" t="n">
        <f aca="false">IF(36&lt;5,0,IF(MAX(AI96:AN96)&gt;AN97+1+$B$18,1,0))</f>
        <v>1</v>
      </c>
      <c r="AO100" s="383" t="n">
        <f aca="false">IF(37&lt;5,0,IF(MAX(AJ96:AO96)&gt;AO97+1+$B$18,1,0))</f>
        <v>1</v>
      </c>
      <c r="AP100" s="383" t="n">
        <f aca="false">IF(38&lt;5,0,IF(MAX(AK96:AP96)&gt;AP97+1+$B$18,1,0))</f>
        <v>1</v>
      </c>
      <c r="AQ100" s="383" t="n">
        <f aca="false">IF(39&lt;5,0,IF(MAX(AL96:AQ96)&gt;AQ97+1+$B$18,1,0))</f>
        <v>0</v>
      </c>
      <c r="AR100" s="383" t="n">
        <f aca="false">IF(40&lt;5,0,IF(MAX(AM96:AR96)&gt;AR97+1+$B$18,1,0))</f>
        <v>0</v>
      </c>
      <c r="AS100" s="383" t="n">
        <f aca="false">IF(41&lt;5,0,IF(MAX(AN96:AS96)&gt;AS97+1+$B$18,1,0))</f>
        <v>0</v>
      </c>
      <c r="AT100" s="383" t="n">
        <f aca="false">IF(42&lt;5,0,IF(MAX(AO96:AT96)&gt;AT97+1+$B$18,1,0))</f>
        <v>0</v>
      </c>
      <c r="AU100" s="383" t="n">
        <f aca="false">IF(43&lt;5,0,IF(MAX(AP96:AU96)&gt;AU97+1+$B$18,1,0))</f>
        <v>0</v>
      </c>
      <c r="AV100" s="383" t="n">
        <f aca="false">IF(44&lt;5,0,IF(MAX(AQ96:AV96)&gt;AV97+1+$B$18,1,0))</f>
        <v>0</v>
      </c>
      <c r="AW100" s="383" t="n">
        <f aca="false">IF(45&lt;5,0,IF(MAX(AR96:AW96)&gt;AW97+1+$B$18,1,0))</f>
        <v>0</v>
      </c>
      <c r="AX100" s="383" t="n">
        <f aca="false">IF(46&lt;5,0,IF(MAX(AS96:AX96)&gt;AX97+1+$B$18,1,0))</f>
        <v>0</v>
      </c>
      <c r="AY100" s="383" t="n">
        <f aca="false">IF(47&lt;5,0,IF(MAX(AT96:AY96)&gt;AY97+1+$B$18,1,0))</f>
        <v>0</v>
      </c>
      <c r="AZ100" s="383" t="n">
        <f aca="false">IF(48&lt;5,0,IF(MAX(AU96:AZ96)&gt;AZ97+1+$B$18,1,0))</f>
        <v>0</v>
      </c>
      <c r="BA100" s="383" t="n">
        <f aca="false">IF(49&lt;5,0,IF(MAX(AV96:BA96)&gt;BA97+1+$B$18,1,0))</f>
        <v>0</v>
      </c>
      <c r="BB100" s="383" t="n">
        <f aca="false">IF(50&lt;5,0,IF(MAX(AW96:BB96)&gt;BB97+1+$B$18,1,0))</f>
        <v>0</v>
      </c>
      <c r="BC100" s="383" t="n">
        <f aca="false">IF(51&lt;5,0,IF(MAX(AX96:BC96)&gt;BC97+1+$B$18,1,0))</f>
        <v>0</v>
      </c>
      <c r="BD100" s="383" t="n">
        <f aca="false">IF(52&lt;5,0,IF(MAX(AY96:BD96)&gt;BD97+1+$B$18,1,0))</f>
        <v>0</v>
      </c>
      <c r="BE100" s="383" t="n">
        <f aca="false">IF(53&lt;5,0,IF(MAX(AZ96:BE96)&gt;BE97+1+$B$18,1,0))</f>
        <v>0</v>
      </c>
      <c r="BF100" s="383" t="n">
        <f aca="false">IF(54&lt;5,0,IF(MAX(BA96:BF96)&gt;BF97+1+$B$18,1,0))</f>
        <v>0</v>
      </c>
      <c r="BG100" s="383" t="n">
        <f aca="false">IF(55&lt;5,0,IF(MAX(BB96:BG96)&gt;BG97+1+$B$18,1,0))</f>
        <v>0</v>
      </c>
      <c r="BH100" s="383" t="n">
        <f aca="false">IF(56&lt;5,0,IF(MAX(BC96:BH96)&gt;BH97+1+$B$18,1,0))</f>
        <v>0</v>
      </c>
      <c r="BI100" s="383" t="n">
        <f aca="false">IF(57&lt;5,0,IF(MAX(BD96:BI96)&gt;BI97+1+$B$18,1,0))</f>
        <v>0</v>
      </c>
      <c r="BJ100" s="383" t="n">
        <f aca="false">IF(58&lt;5,0,IF(MAX(BE96:BJ96)&gt;BJ97+1+$B$18,1,0))</f>
        <v>0</v>
      </c>
      <c r="BK100" s="383" t="n">
        <f aca="false">IF(59&lt;5,0,IF(MAX(BF96:BK96)&gt;BK97+1+$B$18,1,0))</f>
        <v>0</v>
      </c>
      <c r="BL100" s="383" t="n">
        <f aca="false">IF(60&lt;5,0,IF(MAX(BG96:BL96)&gt;BL97+1+$B$18,1,0))</f>
        <v>0</v>
      </c>
      <c r="BM100" s="383" t="n">
        <f aca="false">IF(61&lt;5,0,IF(MAX(BH96:BM96)&gt;BM97+1+$B$18,1,0))</f>
        <v>0</v>
      </c>
      <c r="BN100" s="383" t="n">
        <f aca="false">IF(62&lt;5,0,IF(MAX(BI96:BN96)&gt;BN97+1+$B$18,1,0))</f>
        <v>0</v>
      </c>
      <c r="BO100" s="383" t="n">
        <f aca="false">IF(63&lt;5,0,IF(MAX(BJ96:BO96)&gt;BO97+1+$B$18,1,0))</f>
        <v>0</v>
      </c>
      <c r="BP100" s="383" t="n">
        <f aca="false">IF(64&lt;5,0,IF(MAX(BK96:BP96)&gt;BP97+1+$B$18,1,0))</f>
        <v>0</v>
      </c>
      <c r="BQ100" s="383" t="n">
        <f aca="false">IF(65&lt;5,0,IF(MAX(BL96:BQ96)&gt;BQ97+1+$B$18,1,0))</f>
        <v>0</v>
      </c>
      <c r="BR100" s="383" t="n">
        <f aca="false">IF(66&lt;5,0,IF(MAX(BM96:BR96)&gt;BR97+1+$B$18,1,0))</f>
        <v>0</v>
      </c>
      <c r="BS100" s="383" t="n">
        <f aca="false">IF(67&lt;5,0,IF(MAX(BN96:BS96)&gt;BS97+1+$B$18,1,0))</f>
        <v>0</v>
      </c>
      <c r="BT100" s="383" t="n">
        <f aca="false">IF(68&lt;5,0,IF(MAX(BO96:BT96)&gt;BT97+1+$B$18,1,0))</f>
        <v>0</v>
      </c>
      <c r="BU100" s="383" t="n">
        <f aca="false">IF(69&lt;5,0,IF(MAX(BP96:BU96)&gt;BU97+1+$B$18,1,0))</f>
        <v>0</v>
      </c>
      <c r="BV100" s="383" t="n">
        <f aca="false">IF(70&lt;5,0,IF(MAX(BQ96:BV96)&gt;BV97+1+$B$18,1,0))</f>
        <v>0</v>
      </c>
      <c r="BW100" s="383" t="n">
        <f aca="false">IF(71&lt;5,0,IF(MAX(BR96:BW96)&gt;BW97+1+$B$18,1,0))</f>
        <v>0</v>
      </c>
      <c r="BX100" s="383" t="n">
        <f aca="false">IF(72&lt;5,0,IF(MAX(BS96:BX96)&gt;BX97+1+$B$18,1,0))</f>
        <v>0</v>
      </c>
      <c r="BY100" s="383" t="n">
        <f aca="false">IF(73&lt;5,0,IF(MAX(BT96:BY96)&gt;BY97+1+$B$18,1,0))</f>
        <v>0</v>
      </c>
      <c r="BZ100" s="383" t="n">
        <f aca="false">IF(74&lt;5,0,IF(MAX(BU96:BZ96)&gt;BZ97+1+$B$18,1,0))</f>
        <v>0</v>
      </c>
      <c r="CA100" s="383" t="n">
        <f aca="false">IF(75&lt;5,0,IF(MAX(BV96:CA96)&gt;CA97+1+$B$18,1,0))</f>
        <v>0</v>
      </c>
      <c r="CB100" s="383" t="n">
        <f aca="false">IF(76&lt;5,0,IF(MAX(BW96:CB96)&gt;CB97+1+$B$18,1,0))</f>
        <v>0</v>
      </c>
      <c r="CC100" s="383" t="n">
        <f aca="false">IF(77&lt;5,0,IF(MAX(BX96:CC96)&gt;CC97+1+$B$18,1,0))</f>
        <v>0</v>
      </c>
      <c r="CD100" s="383" t="n">
        <f aca="false">IF(78&lt;5,0,IF(MAX(BY96:CD96)&gt;CD97+1+$B$18,1,0))</f>
        <v>0</v>
      </c>
      <c r="CE100" s="383" t="n">
        <f aca="false">IF(79&lt;5,0,IF(MAX(BZ96:CE96)&gt;CE97+1+$B$18,1,0))</f>
        <v>0</v>
      </c>
      <c r="CF100" s="383" t="n">
        <f aca="false">IF(80&lt;5,0,IF(MAX(CA96:CF96)&gt;CF97+1+$B$18,1,0))</f>
        <v>0</v>
      </c>
      <c r="CG100" s="383" t="n">
        <f aca="false">IF(81&lt;5,0,IF(MAX(CB96:CG96)&gt;CG97+1+$B$18,1,0))</f>
        <v>0</v>
      </c>
      <c r="CH100" s="383" t="n">
        <f aca="false">IF(82&lt;5,0,IF(MAX(CC96:CH96)&gt;CH97+1+$B$18,1,0))</f>
        <v>0</v>
      </c>
      <c r="CI100" s="383" t="n">
        <f aca="false">IF(83&lt;5,0,IF(MAX(CD96:CI96)&gt;CI97+1+$B$18,1,0))</f>
        <v>0</v>
      </c>
      <c r="CJ100" s="383" t="n">
        <f aca="false">IF(84&lt;5,0,IF(MAX(CE96:CJ96)&gt;CJ97+1+$B$18,1,0))</f>
        <v>0</v>
      </c>
      <c r="CK100" s="383" t="n">
        <f aca="false">IF(85&lt;5,0,IF(MAX(CF96:CK96)&gt;CK97+1+$B$18,1,0))</f>
        <v>0</v>
      </c>
      <c r="CL100" s="383" t="n">
        <f aca="false">IF(86&lt;5,0,IF(MAX(CG96:CL96)&gt;CL97+1+$B$18,1,0))</f>
        <v>0</v>
      </c>
      <c r="CM100" s="383" t="n">
        <f aca="false">IF(87&lt;5,0,IF(MAX(CH96:CM96)&gt;CM97+1+$B$18,1,0))</f>
        <v>0</v>
      </c>
      <c r="CN100" s="383" t="n">
        <f aca="false">IF(88&lt;5,0,IF(MAX(CI96:CN96)&gt;CN97+1+$B$18,1,0))</f>
        <v>0</v>
      </c>
      <c r="CO100" s="383" t="n">
        <f aca="false">IF(89&lt;5,0,IF(MAX(CJ96:CO96)&gt;CO97+1+$B$18,1,0))</f>
        <v>0</v>
      </c>
      <c r="CP100" s="383" t="n">
        <f aca="false">IF(90&lt;5,0,IF(MAX(CK96:CP96)&gt;CP97+1+$B$18,1,0))</f>
        <v>0</v>
      </c>
      <c r="CQ100" s="383" t="n">
        <f aca="false">IF(91&lt;5,0,IF(MAX(CL96:CQ96)&gt;CQ97+1+$B$18,1,0))</f>
        <v>0</v>
      </c>
      <c r="CR100" s="383" t="n">
        <f aca="false">IF(92&lt;5,0,IF(MAX(CM96:CR96)&gt;CR97+1+$B$18,1,0))</f>
        <v>0</v>
      </c>
      <c r="CS100" s="383" t="n">
        <f aca="false">IF(93&lt;5,0,IF(MAX(CN96:CS96)&gt;CS97+1+$B$18,1,0))</f>
        <v>0</v>
      </c>
      <c r="CT100" s="383" t="n">
        <f aca="false">IF(94&lt;5,0,IF(MAX(CO96:CT96)&gt;CT97+1+$B$18,1,0))</f>
        <v>0</v>
      </c>
      <c r="CU100" s="383" t="n">
        <f aca="false">IF(95&lt;5,0,IF(MAX(CP96:CU96)&gt;CU97+1+$B$18,1,0))</f>
        <v>0</v>
      </c>
      <c r="CV100" s="383" t="n">
        <f aca="false">IF(96&lt;5,0,IF(MAX(CQ96:CV96)&gt;CV97+1+$B$18,1,0))</f>
        <v>0</v>
      </c>
      <c r="CW100" s="383" t="n">
        <f aca="false">IF(97&lt;5,0,IF(MAX(CR96:CW96)&gt;CW97+1+$B$18,1,0))</f>
        <v>0</v>
      </c>
      <c r="CX100" s="383" t="n">
        <f aca="false">IF(98&lt;5,0,IF(MAX(CS96:CX96)&gt;CX97+1+$B$18,1,0))</f>
        <v>0</v>
      </c>
      <c r="CY100" s="383" t="n">
        <f aca="false">IF(99&lt;5,0,IF(MAX(CT96:CY96)&gt;CY97+1+$B$18,1,0))</f>
        <v>0</v>
      </c>
      <c r="CZ100" s="383" t="n">
        <f aca="false">IF(100&lt;5,0,IF(MAX(CU96:CZ96)&gt;CZ97+1+$B$18,1,0))</f>
        <v>0</v>
      </c>
      <c r="DA100" s="383" t="n">
        <f aca="false">IF(101&lt;5,0,IF(MAX(CV96:DA96)&gt;DA97+1+$B$18,1,0))</f>
        <v>0</v>
      </c>
      <c r="DB100" s="383" t="n">
        <f aca="false">IF(102&lt;5,0,IF(MAX(CW96:DB96)&gt;DB97+1+$B$18,1,0))</f>
        <v>0</v>
      </c>
      <c r="DC100" s="383" t="n">
        <f aca="false">IF(103&lt;5,0,IF(MAX(CX96:DC96)&gt;DC97+1+$B$18,1,0))</f>
        <v>0</v>
      </c>
      <c r="DD100" s="383" t="n">
        <f aca="false">IF(104&lt;5,0,IF(MAX(CY96:DD96)&gt;DD97+1+$B$18,1,0))</f>
        <v>0</v>
      </c>
      <c r="DE100" s="383" t="n">
        <f aca="false">IF(105&lt;5,0,IF(MAX(CZ96:DE96)&gt;DE97+1+$B$18,1,0))</f>
        <v>0</v>
      </c>
    </row>
    <row r="101" customFormat="false" ht="13.5" hidden="false" customHeight="true" outlineLevel="0" collapsed="false">
      <c r="A101" s="110" t="s">
        <v>1418</v>
      </c>
      <c r="B101" s="211" t="n">
        <f aca="false">$B$27</f>
        <v>125000</v>
      </c>
      <c r="E101" s="383" t="n">
        <f aca="false">IF(1&lt;5,0,IF(MAX(E96)&gt;E97+2+$B$18,1,0))</f>
        <v>0</v>
      </c>
      <c r="F101" s="383" t="n">
        <f aca="false">IF(2&lt;5,0,IF(MAX(E96:F96)&gt;F97+2+$B$18,1,0))</f>
        <v>0</v>
      </c>
      <c r="G101" s="383" t="n">
        <f aca="false">IF(3&lt;5,0,IF(MAX(E96:G96)&gt;G97+2+$B$18,1,0))</f>
        <v>0</v>
      </c>
      <c r="H101" s="383" t="n">
        <f aca="false">IF(4&lt;5,0,IF(MAX(E96:H96)&gt;H97+2+$B$18,1,0))</f>
        <v>0</v>
      </c>
      <c r="I101" s="383" t="n">
        <f aca="false">IF(5&lt;5,0,IF(MAX(E96:I96)&gt;I97+2+$B$18,1,0))</f>
        <v>0</v>
      </c>
      <c r="J101" s="383" t="n">
        <f aca="false">IF(6&lt;5,0,IF(MAX(E96:J96)&gt;J97+2+$B$18,1,0))</f>
        <v>0</v>
      </c>
      <c r="K101" s="383" t="n">
        <f aca="false">IF(7&lt;5,0,IF(MAX(F96:K96)&gt;K97+2+$B$18,1,0))</f>
        <v>0</v>
      </c>
      <c r="L101" s="383" t="n">
        <f aca="false">IF(8&lt;5,0,IF(MAX(G96:L96)&gt;L97+2+$B$18,1,0))</f>
        <v>0</v>
      </c>
      <c r="M101" s="383" t="n">
        <f aca="false">IF(9&lt;5,0,IF(MAX(H96:M96)&gt;M97+2+$B$18,1,0))</f>
        <v>0</v>
      </c>
      <c r="N101" s="383" t="n">
        <f aca="false">IF(10&lt;5,0,IF(MAX(I96:N96)&gt;N97+2+$B$18,1,0))</f>
        <v>0</v>
      </c>
      <c r="O101" s="383" t="n">
        <f aca="false">IF(11&lt;5,0,IF(MAX(J96:O96)&gt;O97+2+$B$18,1,0))</f>
        <v>0</v>
      </c>
      <c r="P101" s="383" t="n">
        <f aca="false">IF(12&lt;5,0,IF(MAX(K96:P96)&gt;P97+2+$B$18,1,0))</f>
        <v>0</v>
      </c>
      <c r="Q101" s="383" t="n">
        <f aca="false">IF(13&lt;5,0,IF(MAX(L96:Q96)&gt;Q97+2+$B$18,1,0))</f>
        <v>1</v>
      </c>
      <c r="R101" s="383" t="n">
        <f aca="false">IF(14&lt;5,0,IF(MAX(M96:R96)&gt;R97+2+$B$18,1,0))</f>
        <v>1</v>
      </c>
      <c r="S101" s="383" t="n">
        <f aca="false">IF(15&lt;5,0,IF(MAX(N96:S96)&gt;S97+2+$B$18,1,0))</f>
        <v>1</v>
      </c>
      <c r="T101" s="383" t="n">
        <f aca="false">IF(16&lt;5,0,IF(MAX(O96:T96)&gt;T97+2+$B$18,1,0))</f>
        <v>1</v>
      </c>
      <c r="U101" s="383" t="n">
        <f aca="false">IF(17&lt;5,0,IF(MAX(P96:U96)&gt;U97+2+$B$18,1,0))</f>
        <v>1</v>
      </c>
      <c r="V101" s="383" t="n">
        <f aca="false">IF(18&lt;5,0,IF(MAX(Q96:V96)&gt;V97+2+$B$18,1,0))</f>
        <v>1</v>
      </c>
      <c r="W101" s="383" t="n">
        <f aca="false">IF(19&lt;5,0,IF(MAX(R96:W96)&gt;W97+2+$B$18,1,0))</f>
        <v>1</v>
      </c>
      <c r="X101" s="383" t="n">
        <f aca="false">IF(20&lt;5,0,IF(MAX(S96:X96)&gt;X97+2+$B$18,1,0))</f>
        <v>1</v>
      </c>
      <c r="Y101" s="383" t="n">
        <f aca="false">IF(21&lt;5,0,IF(MAX(T96:Y96)&gt;Y97+2+$B$18,1,0))</f>
        <v>1</v>
      </c>
      <c r="Z101" s="383" t="n">
        <f aca="false">IF(22&lt;5,0,IF(MAX(U96:Z96)&gt;Z97+2+$B$18,1,0))</f>
        <v>1</v>
      </c>
      <c r="AA101" s="383" t="n">
        <f aca="false">IF(23&lt;5,0,IF(MAX(V96:AA96)&gt;AA97+2+$B$18,1,0))</f>
        <v>1</v>
      </c>
      <c r="AB101" s="383" t="n">
        <f aca="false">IF(24&lt;5,0,IF(MAX(W96:AB96)&gt;AB97+2+$B$18,1,0))</f>
        <v>1</v>
      </c>
      <c r="AC101" s="383" t="n">
        <f aca="false">IF(25&lt;5,0,IF(MAX(X96:AC96)&gt;AC97+2+$B$18,1,0))</f>
        <v>1</v>
      </c>
      <c r="AD101" s="383" t="n">
        <f aca="false">IF(26&lt;5,0,IF(MAX(Y96:AD96)&gt;AD97+2+$B$18,1,0))</f>
        <v>1</v>
      </c>
      <c r="AE101" s="383" t="n">
        <f aca="false">IF(27&lt;5,0,IF(MAX(Z96:AE96)&gt;AE97+2+$B$18,1,0))</f>
        <v>1</v>
      </c>
      <c r="AF101" s="383" t="n">
        <f aca="false">IF(28&lt;5,0,IF(MAX(AA96:AF96)&gt;AF97+2+$B$18,1,0))</f>
        <v>1</v>
      </c>
      <c r="AG101" s="383" t="n">
        <f aca="false">IF(29&lt;5,0,IF(MAX(AB96:AG96)&gt;AG97+2+$B$18,1,0))</f>
        <v>1</v>
      </c>
      <c r="AH101" s="383" t="n">
        <f aca="false">IF(30&lt;5,0,IF(MAX(AC96:AH96)&gt;AH97+2+$B$18,1,0))</f>
        <v>1</v>
      </c>
      <c r="AI101" s="383" t="n">
        <f aca="false">IF(31&lt;5,0,IF(MAX(AD96:AI96)&gt;AI97+2+$B$18,1,0))</f>
        <v>1</v>
      </c>
      <c r="AJ101" s="383" t="n">
        <f aca="false">IF(32&lt;5,0,IF(MAX(AE96:AJ96)&gt;AJ97+2+$B$18,1,0))</f>
        <v>1</v>
      </c>
      <c r="AK101" s="383" t="n">
        <f aca="false">IF(33&lt;5,0,IF(MAX(AF96:AK96)&gt;AK97+2+$B$18,1,0))</f>
        <v>1</v>
      </c>
      <c r="AL101" s="383" t="n">
        <f aca="false">IF(34&lt;5,0,IF(MAX(AG96:AL96)&gt;AL97+2+$B$18,1,0))</f>
        <v>1</v>
      </c>
      <c r="AM101" s="383" t="n">
        <f aca="false">IF(35&lt;5,0,IF(MAX(AH96:AM96)&gt;AM97+2+$B$18,1,0))</f>
        <v>1</v>
      </c>
      <c r="AN101" s="383" t="n">
        <f aca="false">IF(36&lt;5,0,IF(MAX(AI96:AN96)&gt;AN97+2+$B$18,1,0))</f>
        <v>0</v>
      </c>
      <c r="AO101" s="383" t="n">
        <f aca="false">IF(37&lt;5,0,IF(MAX(AJ96:AO96)&gt;AO97+2+$B$18,1,0))</f>
        <v>0</v>
      </c>
      <c r="AP101" s="383" t="n">
        <f aca="false">IF(38&lt;5,0,IF(MAX(AK96:AP96)&gt;AP97+2+$B$18,1,0))</f>
        <v>0</v>
      </c>
      <c r="AQ101" s="383" t="n">
        <f aca="false">IF(39&lt;5,0,IF(MAX(AL96:AQ96)&gt;AQ97+2+$B$18,1,0))</f>
        <v>0</v>
      </c>
      <c r="AR101" s="383" t="n">
        <f aca="false">IF(40&lt;5,0,IF(MAX(AM96:AR96)&gt;AR97+2+$B$18,1,0))</f>
        <v>0</v>
      </c>
      <c r="AS101" s="383" t="n">
        <f aca="false">IF(41&lt;5,0,IF(MAX(AN96:AS96)&gt;AS97+2+$B$18,1,0))</f>
        <v>0</v>
      </c>
      <c r="AT101" s="383" t="n">
        <f aca="false">IF(42&lt;5,0,IF(MAX(AO96:AT96)&gt;AT97+2+$B$18,1,0))</f>
        <v>0</v>
      </c>
      <c r="AU101" s="383" t="n">
        <f aca="false">IF(43&lt;5,0,IF(MAX(AP96:AU96)&gt;AU97+2+$B$18,1,0))</f>
        <v>0</v>
      </c>
      <c r="AV101" s="383" t="n">
        <f aca="false">IF(44&lt;5,0,IF(MAX(AQ96:AV96)&gt;AV97+2+$B$18,1,0))</f>
        <v>0</v>
      </c>
      <c r="AW101" s="383" t="n">
        <f aca="false">IF(45&lt;5,0,IF(MAX(AR96:AW96)&gt;AW97+2+$B$18,1,0))</f>
        <v>0</v>
      </c>
      <c r="AX101" s="383" t="n">
        <f aca="false">IF(46&lt;5,0,IF(MAX(AS96:AX96)&gt;AX97+2+$B$18,1,0))</f>
        <v>0</v>
      </c>
      <c r="AY101" s="383" t="n">
        <f aca="false">IF(47&lt;5,0,IF(MAX(AT96:AY96)&gt;AY97+2+$B$18,1,0))</f>
        <v>0</v>
      </c>
      <c r="AZ101" s="383" t="n">
        <f aca="false">IF(48&lt;5,0,IF(MAX(AU96:AZ96)&gt;AZ97+2+$B$18,1,0))</f>
        <v>0</v>
      </c>
      <c r="BA101" s="383" t="n">
        <f aca="false">IF(49&lt;5,0,IF(MAX(AV96:BA96)&gt;BA97+2+$B$18,1,0))</f>
        <v>0</v>
      </c>
      <c r="BB101" s="383" t="n">
        <f aca="false">IF(50&lt;5,0,IF(MAX(AW96:BB96)&gt;BB97+2+$B$18,1,0))</f>
        <v>0</v>
      </c>
      <c r="BC101" s="383" t="n">
        <f aca="false">IF(51&lt;5,0,IF(MAX(AX96:BC96)&gt;BC97+2+$B$18,1,0))</f>
        <v>0</v>
      </c>
      <c r="BD101" s="383" t="n">
        <f aca="false">IF(52&lt;5,0,IF(MAX(AY96:BD96)&gt;BD97+2+$B$18,1,0))</f>
        <v>0</v>
      </c>
      <c r="BE101" s="383" t="n">
        <f aca="false">IF(53&lt;5,0,IF(MAX(AZ96:BE96)&gt;BE97+2+$B$18,1,0))</f>
        <v>0</v>
      </c>
      <c r="BF101" s="383" t="n">
        <f aca="false">IF(54&lt;5,0,IF(MAX(BA96:BF96)&gt;BF97+2+$B$18,1,0))</f>
        <v>0</v>
      </c>
      <c r="BG101" s="383" t="n">
        <f aca="false">IF(55&lt;5,0,IF(MAX(BB96:BG96)&gt;BG97+2+$B$18,1,0))</f>
        <v>0</v>
      </c>
      <c r="BH101" s="383" t="n">
        <f aca="false">IF(56&lt;5,0,IF(MAX(BC96:BH96)&gt;BH97+2+$B$18,1,0))</f>
        <v>0</v>
      </c>
      <c r="BI101" s="383" t="n">
        <f aca="false">IF(57&lt;5,0,IF(MAX(BD96:BI96)&gt;BI97+2+$B$18,1,0))</f>
        <v>0</v>
      </c>
      <c r="BJ101" s="383" t="n">
        <f aca="false">IF(58&lt;5,0,IF(MAX(BE96:BJ96)&gt;BJ97+2+$B$18,1,0))</f>
        <v>0</v>
      </c>
      <c r="BK101" s="383" t="n">
        <f aca="false">IF(59&lt;5,0,IF(MAX(BF96:BK96)&gt;BK97+2+$B$18,1,0))</f>
        <v>0</v>
      </c>
      <c r="BL101" s="383" t="n">
        <f aca="false">IF(60&lt;5,0,IF(MAX(BG96:BL96)&gt;BL97+2+$B$18,1,0))</f>
        <v>0</v>
      </c>
      <c r="BM101" s="383" t="n">
        <f aca="false">IF(61&lt;5,0,IF(MAX(BH96:BM96)&gt;BM97+2+$B$18,1,0))</f>
        <v>0</v>
      </c>
      <c r="BN101" s="383" t="n">
        <f aca="false">IF(62&lt;5,0,IF(MAX(BI96:BN96)&gt;BN97+2+$B$18,1,0))</f>
        <v>0</v>
      </c>
      <c r="BO101" s="383" t="n">
        <f aca="false">IF(63&lt;5,0,IF(MAX(BJ96:BO96)&gt;BO97+2+$B$18,1,0))</f>
        <v>0</v>
      </c>
      <c r="BP101" s="383" t="n">
        <f aca="false">IF(64&lt;5,0,IF(MAX(BK96:BP96)&gt;BP97+2+$B$18,1,0))</f>
        <v>0</v>
      </c>
      <c r="BQ101" s="383" t="n">
        <f aca="false">IF(65&lt;5,0,IF(MAX(BL96:BQ96)&gt;BQ97+2+$B$18,1,0))</f>
        <v>0</v>
      </c>
      <c r="BR101" s="383" t="n">
        <f aca="false">IF(66&lt;5,0,IF(MAX(BM96:BR96)&gt;BR97+2+$B$18,1,0))</f>
        <v>0</v>
      </c>
      <c r="BS101" s="383" t="n">
        <f aca="false">IF(67&lt;5,0,IF(MAX(BN96:BS96)&gt;BS97+2+$B$18,1,0))</f>
        <v>0</v>
      </c>
      <c r="BT101" s="383" t="n">
        <f aca="false">IF(68&lt;5,0,IF(MAX(BO96:BT96)&gt;BT97+2+$B$18,1,0))</f>
        <v>0</v>
      </c>
      <c r="BU101" s="383" t="n">
        <f aca="false">IF(69&lt;5,0,IF(MAX(BP96:BU96)&gt;BU97+2+$B$18,1,0))</f>
        <v>0</v>
      </c>
      <c r="BV101" s="383" t="n">
        <f aca="false">IF(70&lt;5,0,IF(MAX(BQ96:BV96)&gt;BV97+2+$B$18,1,0))</f>
        <v>0</v>
      </c>
      <c r="BW101" s="383" t="n">
        <f aca="false">IF(71&lt;5,0,IF(MAX(BR96:BW96)&gt;BW97+2+$B$18,1,0))</f>
        <v>0</v>
      </c>
      <c r="BX101" s="383" t="n">
        <f aca="false">IF(72&lt;5,0,IF(MAX(BS96:BX96)&gt;BX97+2+$B$18,1,0))</f>
        <v>0</v>
      </c>
      <c r="BY101" s="383" t="n">
        <f aca="false">IF(73&lt;5,0,IF(MAX(BT96:BY96)&gt;BY97+2+$B$18,1,0))</f>
        <v>0</v>
      </c>
      <c r="BZ101" s="383" t="n">
        <f aca="false">IF(74&lt;5,0,IF(MAX(BU96:BZ96)&gt;BZ97+2+$B$18,1,0))</f>
        <v>0</v>
      </c>
      <c r="CA101" s="383" t="n">
        <f aca="false">IF(75&lt;5,0,IF(MAX(BV96:CA96)&gt;CA97+2+$B$18,1,0))</f>
        <v>0</v>
      </c>
      <c r="CB101" s="383" t="n">
        <f aca="false">IF(76&lt;5,0,IF(MAX(BW96:CB96)&gt;CB97+2+$B$18,1,0))</f>
        <v>0</v>
      </c>
      <c r="CC101" s="383" t="n">
        <f aca="false">IF(77&lt;5,0,IF(MAX(BX96:CC96)&gt;CC97+2+$B$18,1,0))</f>
        <v>0</v>
      </c>
      <c r="CD101" s="383" t="n">
        <f aca="false">IF(78&lt;5,0,IF(MAX(BY96:CD96)&gt;CD97+2+$B$18,1,0))</f>
        <v>0</v>
      </c>
      <c r="CE101" s="383" t="n">
        <f aca="false">IF(79&lt;5,0,IF(MAX(BZ96:CE96)&gt;CE97+2+$B$18,1,0))</f>
        <v>0</v>
      </c>
      <c r="CF101" s="383" t="n">
        <f aca="false">IF(80&lt;5,0,IF(MAX(CA96:CF96)&gt;CF97+2+$B$18,1,0))</f>
        <v>0</v>
      </c>
      <c r="CG101" s="383" t="n">
        <f aca="false">IF(81&lt;5,0,IF(MAX(CB96:CG96)&gt;CG97+2+$B$18,1,0))</f>
        <v>0</v>
      </c>
      <c r="CH101" s="383" t="n">
        <f aca="false">IF(82&lt;5,0,IF(MAX(CC96:CH96)&gt;CH97+2+$B$18,1,0))</f>
        <v>0</v>
      </c>
      <c r="CI101" s="383" t="n">
        <f aca="false">IF(83&lt;5,0,IF(MAX(CD96:CI96)&gt;CI97+2+$B$18,1,0))</f>
        <v>0</v>
      </c>
      <c r="CJ101" s="383" t="n">
        <f aca="false">IF(84&lt;5,0,IF(MAX(CE96:CJ96)&gt;CJ97+2+$B$18,1,0))</f>
        <v>0</v>
      </c>
      <c r="CK101" s="383" t="n">
        <f aca="false">IF(85&lt;5,0,IF(MAX(CF96:CK96)&gt;CK97+2+$B$18,1,0))</f>
        <v>0</v>
      </c>
      <c r="CL101" s="383" t="n">
        <f aca="false">IF(86&lt;5,0,IF(MAX(CG96:CL96)&gt;CL97+2+$B$18,1,0))</f>
        <v>0</v>
      </c>
      <c r="CM101" s="383" t="n">
        <f aca="false">IF(87&lt;5,0,IF(MAX(CH96:CM96)&gt;CM97+2+$B$18,1,0))</f>
        <v>0</v>
      </c>
      <c r="CN101" s="383" t="n">
        <f aca="false">IF(88&lt;5,0,IF(MAX(CI96:CN96)&gt;CN97+2+$B$18,1,0))</f>
        <v>0</v>
      </c>
      <c r="CO101" s="383" t="n">
        <f aca="false">IF(89&lt;5,0,IF(MAX(CJ96:CO96)&gt;CO97+2+$B$18,1,0))</f>
        <v>0</v>
      </c>
      <c r="CP101" s="383" t="n">
        <f aca="false">IF(90&lt;5,0,IF(MAX(CK96:CP96)&gt;CP97+2+$B$18,1,0))</f>
        <v>0</v>
      </c>
      <c r="CQ101" s="383" t="n">
        <f aca="false">IF(91&lt;5,0,IF(MAX(CL96:CQ96)&gt;CQ97+2+$B$18,1,0))</f>
        <v>0</v>
      </c>
      <c r="CR101" s="383" t="n">
        <f aca="false">IF(92&lt;5,0,IF(MAX(CM96:CR96)&gt;CR97+2+$B$18,1,0))</f>
        <v>0</v>
      </c>
      <c r="CS101" s="383" t="n">
        <f aca="false">IF(93&lt;5,0,IF(MAX(CN96:CS96)&gt;CS97+2+$B$18,1,0))</f>
        <v>0</v>
      </c>
      <c r="CT101" s="383" t="n">
        <f aca="false">IF(94&lt;5,0,IF(MAX(CO96:CT96)&gt;CT97+2+$B$18,1,0))</f>
        <v>0</v>
      </c>
      <c r="CU101" s="383" t="n">
        <f aca="false">IF(95&lt;5,0,IF(MAX(CP96:CU96)&gt;CU97+2+$B$18,1,0))</f>
        <v>0</v>
      </c>
      <c r="CV101" s="383" t="n">
        <f aca="false">IF(96&lt;5,0,IF(MAX(CQ96:CV96)&gt;CV97+2+$B$18,1,0))</f>
        <v>0</v>
      </c>
      <c r="CW101" s="383" t="n">
        <f aca="false">IF(97&lt;5,0,IF(MAX(CR96:CW96)&gt;CW97+2+$B$18,1,0))</f>
        <v>0</v>
      </c>
      <c r="CX101" s="383" t="n">
        <f aca="false">IF(98&lt;5,0,IF(MAX(CS96:CX96)&gt;CX97+2+$B$18,1,0))</f>
        <v>0</v>
      </c>
      <c r="CY101" s="383" t="n">
        <f aca="false">IF(99&lt;5,0,IF(MAX(CT96:CY96)&gt;CY97+2+$B$18,1,0))</f>
        <v>0</v>
      </c>
      <c r="CZ101" s="383" t="n">
        <f aca="false">IF(100&lt;5,0,IF(MAX(CU96:CZ96)&gt;CZ97+2+$B$18,1,0))</f>
        <v>0</v>
      </c>
      <c r="DA101" s="383" t="n">
        <f aca="false">IF(101&lt;5,0,IF(MAX(CV96:DA96)&gt;DA97+2+$B$18,1,0))</f>
        <v>0</v>
      </c>
      <c r="DB101" s="383" t="n">
        <f aca="false">IF(102&lt;5,0,IF(MAX(CW96:DB96)&gt;DB97+2+$B$18,1,0))</f>
        <v>0</v>
      </c>
      <c r="DC101" s="383" t="n">
        <f aca="false">IF(103&lt;5,0,IF(MAX(CX96:DC96)&gt;DC97+2+$B$18,1,0))</f>
        <v>0</v>
      </c>
      <c r="DD101" s="383" t="n">
        <f aca="false">IF(104&lt;5,0,IF(MAX(CY96:DD96)&gt;DD97+2+$B$18,1,0))</f>
        <v>0</v>
      </c>
      <c r="DE101" s="383" t="n">
        <f aca="false">IF(105&lt;5,0,IF(MAX(CZ96:DE96)&gt;DE97+2+$B$18,1,0))</f>
        <v>0</v>
      </c>
    </row>
    <row r="102" customFormat="false" ht="13.5" hidden="false" customHeight="true" outlineLevel="0" collapsed="false">
      <c r="A102" s="110" t="s">
        <v>1419</v>
      </c>
      <c r="B102" s="211" t="n">
        <f aca="false">$B$27</f>
        <v>125000</v>
      </c>
      <c r="E102" s="383" t="n">
        <f aca="false">IF(1&lt;5,0,IF(MAX(E96)&gt;E97+3+$B$18,1,0))</f>
        <v>0</v>
      </c>
      <c r="F102" s="383" t="n">
        <f aca="false">IF(2&lt;5,0,IF(MAX(E96:F96)&gt;F97+3+$B$18,1,0))</f>
        <v>0</v>
      </c>
      <c r="G102" s="383" t="n">
        <f aca="false">IF(3&lt;5,0,IF(MAX(E96:G96)&gt;G97+3+$B$18,1,0))</f>
        <v>0</v>
      </c>
      <c r="H102" s="383" t="n">
        <f aca="false">IF(4&lt;5,0,IF(MAX(E96:H96)&gt;H97+3+$B$18,1,0))</f>
        <v>0</v>
      </c>
      <c r="I102" s="383" t="n">
        <f aca="false">IF(5&lt;5,0,IF(MAX(E96:I96)&gt;I97+3+$B$18,1,0))</f>
        <v>0</v>
      </c>
      <c r="J102" s="383" t="n">
        <f aca="false">IF(6&lt;5,0,IF(MAX(E96:J96)&gt;J97+3+$B$18,1,0))</f>
        <v>0</v>
      </c>
      <c r="K102" s="383" t="n">
        <f aca="false">IF(7&lt;5,0,IF(MAX(F96:K96)&gt;K97+3+$B$18,1,0))</f>
        <v>0</v>
      </c>
      <c r="L102" s="383" t="n">
        <f aca="false">IF(8&lt;5,0,IF(MAX(G96:L96)&gt;L97+3+$B$18,1,0))</f>
        <v>0</v>
      </c>
      <c r="M102" s="383" t="n">
        <f aca="false">IF(9&lt;5,0,IF(MAX(H96:M96)&gt;M97+3+$B$18,1,0))</f>
        <v>0</v>
      </c>
      <c r="N102" s="383" t="n">
        <f aca="false">IF(10&lt;5,0,IF(MAX(I96:N96)&gt;N97+3+$B$18,1,0))</f>
        <v>0</v>
      </c>
      <c r="O102" s="383" t="n">
        <f aca="false">IF(11&lt;5,0,IF(MAX(J96:O96)&gt;O97+3+$B$18,1,0))</f>
        <v>0</v>
      </c>
      <c r="P102" s="383" t="n">
        <f aca="false">IF(12&lt;5,0,IF(MAX(K96:P96)&gt;P97+3+$B$18,1,0))</f>
        <v>0</v>
      </c>
      <c r="Q102" s="383" t="n">
        <f aca="false">IF(13&lt;5,0,IF(MAX(L96:Q96)&gt;Q97+3+$B$18,1,0))</f>
        <v>0</v>
      </c>
      <c r="R102" s="383" t="n">
        <f aca="false">IF(14&lt;5,0,IF(MAX(M96:R96)&gt;R97+3+$B$18,1,0))</f>
        <v>0</v>
      </c>
      <c r="S102" s="383" t="n">
        <f aca="false">IF(15&lt;5,0,IF(MAX(N96:S96)&gt;S97+3+$B$18,1,0))</f>
        <v>1</v>
      </c>
      <c r="T102" s="383" t="n">
        <f aca="false">IF(16&lt;5,0,IF(MAX(O96:T96)&gt;T97+3+$B$18,1,0))</f>
        <v>1</v>
      </c>
      <c r="U102" s="383" t="n">
        <f aca="false">IF(17&lt;5,0,IF(MAX(P96:U96)&gt;U97+3+$B$18,1,0))</f>
        <v>1</v>
      </c>
      <c r="V102" s="383" t="n">
        <f aca="false">IF(18&lt;5,0,IF(MAX(Q96:V96)&gt;V97+3+$B$18,1,0))</f>
        <v>1</v>
      </c>
      <c r="W102" s="383" t="n">
        <f aca="false">IF(19&lt;5,0,IF(MAX(R96:W96)&gt;W97+3+$B$18,1,0))</f>
        <v>1</v>
      </c>
      <c r="X102" s="383" t="n">
        <f aca="false">IF(20&lt;5,0,IF(MAX(S96:X96)&gt;X97+3+$B$18,1,0))</f>
        <v>1</v>
      </c>
      <c r="Y102" s="383" t="n">
        <f aca="false">IF(21&lt;5,0,IF(MAX(T96:Y96)&gt;Y97+3+$B$18,1,0))</f>
        <v>1</v>
      </c>
      <c r="Z102" s="383" t="n">
        <f aca="false">IF(22&lt;5,0,IF(MAX(U96:Z96)&gt;Z97+3+$B$18,1,0))</f>
        <v>1</v>
      </c>
      <c r="AA102" s="383" t="n">
        <f aca="false">IF(23&lt;5,0,IF(MAX(V96:AA96)&gt;AA97+3+$B$18,1,0))</f>
        <v>1</v>
      </c>
      <c r="AB102" s="383" t="n">
        <f aca="false">IF(24&lt;5,0,IF(MAX(W96:AB96)&gt;AB97+3+$B$18,1,0))</f>
        <v>1</v>
      </c>
      <c r="AC102" s="383" t="n">
        <f aca="false">IF(25&lt;5,0,IF(MAX(X96:AC96)&gt;AC97+3+$B$18,1,0))</f>
        <v>1</v>
      </c>
      <c r="AD102" s="383" t="n">
        <f aca="false">IF(26&lt;5,0,IF(MAX(Y96:AD96)&gt;AD97+3+$B$18,1,0))</f>
        <v>0</v>
      </c>
      <c r="AE102" s="383" t="n">
        <f aca="false">IF(27&lt;5,0,IF(MAX(Z96:AE96)&gt;AE97+3+$B$18,1,0))</f>
        <v>0</v>
      </c>
      <c r="AF102" s="383" t="n">
        <f aca="false">IF(28&lt;5,0,IF(MAX(AA96:AF96)&gt;AF97+3+$B$18,1,0))</f>
        <v>0</v>
      </c>
      <c r="AG102" s="383" t="n">
        <f aca="false">IF(29&lt;5,0,IF(MAX(AB96:AG96)&gt;AG97+3+$B$18,1,0))</f>
        <v>0</v>
      </c>
      <c r="AH102" s="383" t="n">
        <f aca="false">IF(30&lt;5,0,IF(MAX(AC96:AH96)&gt;AH97+3+$B$18,1,0))</f>
        <v>0</v>
      </c>
      <c r="AI102" s="383" t="n">
        <f aca="false">IF(31&lt;5,0,IF(MAX(AD96:AI96)&gt;AI97+3+$B$18,1,0))</f>
        <v>0</v>
      </c>
      <c r="AJ102" s="383" t="n">
        <f aca="false">IF(32&lt;5,0,IF(MAX(AE96:AJ96)&gt;AJ97+3+$B$18,1,0))</f>
        <v>0</v>
      </c>
      <c r="AK102" s="383" t="n">
        <f aca="false">IF(33&lt;5,0,IF(MAX(AF96:AK96)&gt;AK97+3+$B$18,1,0))</f>
        <v>0</v>
      </c>
      <c r="AL102" s="383" t="n">
        <f aca="false">IF(34&lt;5,0,IF(MAX(AG96:AL96)&gt;AL97+3+$B$18,1,0))</f>
        <v>0</v>
      </c>
      <c r="AM102" s="383" t="n">
        <f aca="false">IF(35&lt;5,0,IF(MAX(AH96:AM96)&gt;AM97+3+$B$18,1,0))</f>
        <v>0</v>
      </c>
      <c r="AN102" s="383" t="n">
        <f aca="false">IF(36&lt;5,0,IF(MAX(AI96:AN96)&gt;AN97+3+$B$18,1,0))</f>
        <v>0</v>
      </c>
      <c r="AO102" s="383" t="n">
        <f aca="false">IF(37&lt;5,0,IF(MAX(AJ96:AO96)&gt;AO97+3+$B$18,1,0))</f>
        <v>0</v>
      </c>
      <c r="AP102" s="383" t="n">
        <f aca="false">IF(38&lt;5,0,IF(MAX(AK96:AP96)&gt;AP97+3+$B$18,1,0))</f>
        <v>0</v>
      </c>
      <c r="AQ102" s="383" t="n">
        <f aca="false">IF(39&lt;5,0,IF(MAX(AL96:AQ96)&gt;AQ97+3+$B$18,1,0))</f>
        <v>0</v>
      </c>
      <c r="AR102" s="383" t="n">
        <f aca="false">IF(40&lt;5,0,IF(MAX(AM96:AR96)&gt;AR97+3+$B$18,1,0))</f>
        <v>0</v>
      </c>
      <c r="AS102" s="383" t="n">
        <f aca="false">IF(41&lt;5,0,IF(MAX(AN96:AS96)&gt;AS97+3+$B$18,1,0))</f>
        <v>0</v>
      </c>
      <c r="AT102" s="383" t="n">
        <f aca="false">IF(42&lt;5,0,IF(MAX(AO96:AT96)&gt;AT97+3+$B$18,1,0))</f>
        <v>0</v>
      </c>
      <c r="AU102" s="383" t="n">
        <f aca="false">IF(43&lt;5,0,IF(MAX(AP96:AU96)&gt;AU97+3+$B$18,1,0))</f>
        <v>0</v>
      </c>
      <c r="AV102" s="383" t="n">
        <f aca="false">IF(44&lt;5,0,IF(MAX(AQ96:AV96)&gt;AV97+3+$B$18,1,0))</f>
        <v>0</v>
      </c>
      <c r="AW102" s="383" t="n">
        <f aca="false">IF(45&lt;5,0,IF(MAX(AR96:AW96)&gt;AW97+3+$B$18,1,0))</f>
        <v>0</v>
      </c>
      <c r="AX102" s="383" t="n">
        <f aca="false">IF(46&lt;5,0,IF(MAX(AS96:AX96)&gt;AX97+3+$B$18,1,0))</f>
        <v>0</v>
      </c>
      <c r="AY102" s="383" t="n">
        <f aca="false">IF(47&lt;5,0,IF(MAX(AT96:AY96)&gt;AY97+3+$B$18,1,0))</f>
        <v>0</v>
      </c>
      <c r="AZ102" s="383" t="n">
        <f aca="false">IF(48&lt;5,0,IF(MAX(AU96:AZ96)&gt;AZ97+3+$B$18,1,0))</f>
        <v>0</v>
      </c>
      <c r="BA102" s="383" t="n">
        <f aca="false">IF(49&lt;5,0,IF(MAX(AV96:BA96)&gt;BA97+3+$B$18,1,0))</f>
        <v>0</v>
      </c>
      <c r="BB102" s="383" t="n">
        <f aca="false">IF(50&lt;5,0,IF(MAX(AW96:BB96)&gt;BB97+3+$B$18,1,0))</f>
        <v>0</v>
      </c>
      <c r="BC102" s="383" t="n">
        <f aca="false">IF(51&lt;5,0,IF(MAX(AX96:BC96)&gt;BC97+3+$B$18,1,0))</f>
        <v>0</v>
      </c>
      <c r="BD102" s="383" t="n">
        <f aca="false">IF(52&lt;5,0,IF(MAX(AY96:BD96)&gt;BD97+3+$B$18,1,0))</f>
        <v>0</v>
      </c>
      <c r="BE102" s="383" t="n">
        <f aca="false">IF(53&lt;5,0,IF(MAX(AZ96:BE96)&gt;BE97+3+$B$18,1,0))</f>
        <v>0</v>
      </c>
      <c r="BF102" s="383" t="n">
        <f aca="false">IF(54&lt;5,0,IF(MAX(BA96:BF96)&gt;BF97+3+$B$18,1,0))</f>
        <v>0</v>
      </c>
      <c r="BG102" s="383" t="n">
        <f aca="false">IF(55&lt;5,0,IF(MAX(BB96:BG96)&gt;BG97+3+$B$18,1,0))</f>
        <v>0</v>
      </c>
      <c r="BH102" s="383" t="n">
        <f aca="false">IF(56&lt;5,0,IF(MAX(BC96:BH96)&gt;BH97+3+$B$18,1,0))</f>
        <v>0</v>
      </c>
      <c r="BI102" s="383" t="n">
        <f aca="false">IF(57&lt;5,0,IF(MAX(BD96:BI96)&gt;BI97+3+$B$18,1,0))</f>
        <v>0</v>
      </c>
      <c r="BJ102" s="383" t="n">
        <f aca="false">IF(58&lt;5,0,IF(MAX(BE96:BJ96)&gt;BJ97+3+$B$18,1,0))</f>
        <v>0</v>
      </c>
      <c r="BK102" s="383" t="n">
        <f aca="false">IF(59&lt;5,0,IF(MAX(BF96:BK96)&gt;BK97+3+$B$18,1,0))</f>
        <v>0</v>
      </c>
      <c r="BL102" s="383" t="n">
        <f aca="false">IF(60&lt;5,0,IF(MAX(BG96:BL96)&gt;BL97+3+$B$18,1,0))</f>
        <v>0</v>
      </c>
      <c r="BM102" s="383" t="n">
        <f aca="false">IF(61&lt;5,0,IF(MAX(BH96:BM96)&gt;BM97+3+$B$18,1,0))</f>
        <v>0</v>
      </c>
      <c r="BN102" s="383" t="n">
        <f aca="false">IF(62&lt;5,0,IF(MAX(BI96:BN96)&gt;BN97+3+$B$18,1,0))</f>
        <v>0</v>
      </c>
      <c r="BO102" s="383" t="n">
        <f aca="false">IF(63&lt;5,0,IF(MAX(BJ96:BO96)&gt;BO97+3+$B$18,1,0))</f>
        <v>0</v>
      </c>
      <c r="BP102" s="383" t="n">
        <f aca="false">IF(64&lt;5,0,IF(MAX(BK96:BP96)&gt;BP97+3+$B$18,1,0))</f>
        <v>0</v>
      </c>
      <c r="BQ102" s="383" t="n">
        <f aca="false">IF(65&lt;5,0,IF(MAX(BL96:BQ96)&gt;BQ97+3+$B$18,1,0))</f>
        <v>0</v>
      </c>
      <c r="BR102" s="383" t="n">
        <f aca="false">IF(66&lt;5,0,IF(MAX(BM96:BR96)&gt;BR97+3+$B$18,1,0))</f>
        <v>0</v>
      </c>
      <c r="BS102" s="383" t="n">
        <f aca="false">IF(67&lt;5,0,IF(MAX(BN96:BS96)&gt;BS97+3+$B$18,1,0))</f>
        <v>0</v>
      </c>
      <c r="BT102" s="383" t="n">
        <f aca="false">IF(68&lt;5,0,IF(MAX(BO96:BT96)&gt;BT97+3+$B$18,1,0))</f>
        <v>0</v>
      </c>
      <c r="BU102" s="383" t="n">
        <f aca="false">IF(69&lt;5,0,IF(MAX(BP96:BU96)&gt;BU97+3+$B$18,1,0))</f>
        <v>0</v>
      </c>
      <c r="BV102" s="383" t="n">
        <f aca="false">IF(70&lt;5,0,IF(MAX(BQ96:BV96)&gt;BV97+3+$B$18,1,0))</f>
        <v>0</v>
      </c>
      <c r="BW102" s="383" t="n">
        <f aca="false">IF(71&lt;5,0,IF(MAX(BR96:BW96)&gt;BW97+3+$B$18,1,0))</f>
        <v>0</v>
      </c>
      <c r="BX102" s="383" t="n">
        <f aca="false">IF(72&lt;5,0,IF(MAX(BS96:BX96)&gt;BX97+3+$B$18,1,0))</f>
        <v>0</v>
      </c>
      <c r="BY102" s="383" t="n">
        <f aca="false">IF(73&lt;5,0,IF(MAX(BT96:BY96)&gt;BY97+3+$B$18,1,0))</f>
        <v>0</v>
      </c>
      <c r="BZ102" s="383" t="n">
        <f aca="false">IF(74&lt;5,0,IF(MAX(BU96:BZ96)&gt;BZ97+3+$B$18,1,0))</f>
        <v>0</v>
      </c>
      <c r="CA102" s="383" t="n">
        <f aca="false">IF(75&lt;5,0,IF(MAX(BV96:CA96)&gt;CA97+3+$B$18,1,0))</f>
        <v>0</v>
      </c>
      <c r="CB102" s="383" t="n">
        <f aca="false">IF(76&lt;5,0,IF(MAX(BW96:CB96)&gt;CB97+3+$B$18,1,0))</f>
        <v>0</v>
      </c>
      <c r="CC102" s="383" t="n">
        <f aca="false">IF(77&lt;5,0,IF(MAX(BX96:CC96)&gt;CC97+3+$B$18,1,0))</f>
        <v>0</v>
      </c>
      <c r="CD102" s="383" t="n">
        <f aca="false">IF(78&lt;5,0,IF(MAX(BY96:CD96)&gt;CD97+3+$B$18,1,0))</f>
        <v>0</v>
      </c>
      <c r="CE102" s="383" t="n">
        <f aca="false">IF(79&lt;5,0,IF(MAX(BZ96:CE96)&gt;CE97+3+$B$18,1,0))</f>
        <v>0</v>
      </c>
      <c r="CF102" s="383" t="n">
        <f aca="false">IF(80&lt;5,0,IF(MAX(CA96:CF96)&gt;CF97+3+$B$18,1,0))</f>
        <v>0</v>
      </c>
      <c r="CG102" s="383" t="n">
        <f aca="false">IF(81&lt;5,0,IF(MAX(CB96:CG96)&gt;CG97+3+$B$18,1,0))</f>
        <v>0</v>
      </c>
      <c r="CH102" s="383" t="n">
        <f aca="false">IF(82&lt;5,0,IF(MAX(CC96:CH96)&gt;CH97+3+$B$18,1,0))</f>
        <v>0</v>
      </c>
      <c r="CI102" s="383" t="n">
        <f aca="false">IF(83&lt;5,0,IF(MAX(CD96:CI96)&gt;CI97+3+$B$18,1,0))</f>
        <v>0</v>
      </c>
      <c r="CJ102" s="383" t="n">
        <f aca="false">IF(84&lt;5,0,IF(MAX(CE96:CJ96)&gt;CJ97+3+$B$18,1,0))</f>
        <v>0</v>
      </c>
      <c r="CK102" s="383" t="n">
        <f aca="false">IF(85&lt;5,0,IF(MAX(CF96:CK96)&gt;CK97+3+$B$18,1,0))</f>
        <v>0</v>
      </c>
      <c r="CL102" s="383" t="n">
        <f aca="false">IF(86&lt;5,0,IF(MAX(CG96:CL96)&gt;CL97+3+$B$18,1,0))</f>
        <v>0</v>
      </c>
      <c r="CM102" s="383" t="n">
        <f aca="false">IF(87&lt;5,0,IF(MAX(CH96:CM96)&gt;CM97+3+$B$18,1,0))</f>
        <v>0</v>
      </c>
      <c r="CN102" s="383" t="n">
        <f aca="false">IF(88&lt;5,0,IF(MAX(CI96:CN96)&gt;CN97+3+$B$18,1,0))</f>
        <v>0</v>
      </c>
      <c r="CO102" s="383" t="n">
        <f aca="false">IF(89&lt;5,0,IF(MAX(CJ96:CO96)&gt;CO97+3+$B$18,1,0))</f>
        <v>0</v>
      </c>
      <c r="CP102" s="383" t="n">
        <f aca="false">IF(90&lt;5,0,IF(MAX(CK96:CP96)&gt;CP97+3+$B$18,1,0))</f>
        <v>0</v>
      </c>
      <c r="CQ102" s="383" t="n">
        <f aca="false">IF(91&lt;5,0,IF(MAX(CL96:CQ96)&gt;CQ97+3+$B$18,1,0))</f>
        <v>0</v>
      </c>
      <c r="CR102" s="383" t="n">
        <f aca="false">IF(92&lt;5,0,IF(MAX(CM96:CR96)&gt;CR97+3+$B$18,1,0))</f>
        <v>0</v>
      </c>
      <c r="CS102" s="383" t="n">
        <f aca="false">IF(93&lt;5,0,IF(MAX(CN96:CS96)&gt;CS97+3+$B$18,1,0))</f>
        <v>0</v>
      </c>
      <c r="CT102" s="383" t="n">
        <f aca="false">IF(94&lt;5,0,IF(MAX(CO96:CT96)&gt;CT97+3+$B$18,1,0))</f>
        <v>0</v>
      </c>
      <c r="CU102" s="383" t="n">
        <f aca="false">IF(95&lt;5,0,IF(MAX(CP96:CU96)&gt;CU97+3+$B$18,1,0))</f>
        <v>0</v>
      </c>
      <c r="CV102" s="383" t="n">
        <f aca="false">IF(96&lt;5,0,IF(MAX(CQ96:CV96)&gt;CV97+3+$B$18,1,0))</f>
        <v>0</v>
      </c>
      <c r="CW102" s="383" t="n">
        <f aca="false">IF(97&lt;5,0,IF(MAX(CR96:CW96)&gt;CW97+3+$B$18,1,0))</f>
        <v>0</v>
      </c>
      <c r="CX102" s="383" t="n">
        <f aca="false">IF(98&lt;5,0,IF(MAX(CS96:CX96)&gt;CX97+3+$B$18,1,0))</f>
        <v>0</v>
      </c>
      <c r="CY102" s="383" t="n">
        <f aca="false">IF(99&lt;5,0,IF(MAX(CT96:CY96)&gt;CY97+3+$B$18,1,0))</f>
        <v>0</v>
      </c>
      <c r="CZ102" s="383" t="n">
        <f aca="false">IF(100&lt;5,0,IF(MAX(CU96:CZ96)&gt;CZ97+3+$B$18,1,0))</f>
        <v>0</v>
      </c>
      <c r="DA102" s="383" t="n">
        <f aca="false">IF(101&lt;5,0,IF(MAX(CV96:DA96)&gt;DA97+3+$B$18,1,0))</f>
        <v>0</v>
      </c>
      <c r="DB102" s="383" t="n">
        <f aca="false">IF(102&lt;5,0,IF(MAX(CW96:DB96)&gt;DB97+3+$B$18,1,0))</f>
        <v>0</v>
      </c>
      <c r="DC102" s="383" t="n">
        <f aca="false">IF(103&lt;5,0,IF(MAX(CX96:DC96)&gt;DC97+3+$B$18,1,0))</f>
        <v>0</v>
      </c>
      <c r="DD102" s="383" t="n">
        <f aca="false">IF(104&lt;5,0,IF(MAX(CY96:DD96)&gt;DD97+3+$B$18,1,0))</f>
        <v>0</v>
      </c>
      <c r="DE102" s="383" t="n">
        <f aca="false">IF(105&lt;5,0,IF(MAX(CZ96:DE96)&gt;DE97+3+$B$18,1,0))</f>
        <v>0</v>
      </c>
    </row>
    <row r="103" customFormat="false" ht="13.5" hidden="false" customHeight="true" outlineLevel="0" collapsed="false">
      <c r="A103" s="110" t="s">
        <v>1420</v>
      </c>
      <c r="B103" s="211" t="n">
        <f aca="false">$B$27</f>
        <v>125000</v>
      </c>
      <c r="E103" s="383" t="n">
        <f aca="false">IF(1&lt;5,0,IF(MAX(E96)&gt;E97+4+$B$18,1,0))</f>
        <v>0</v>
      </c>
      <c r="F103" s="383" t="n">
        <f aca="false">IF(2&lt;5,0,IF(MAX(E96:F96)&gt;F97+4+$B$18,1,0))</f>
        <v>0</v>
      </c>
      <c r="G103" s="383" t="n">
        <f aca="false">IF(3&lt;5,0,IF(MAX(E96:G96)&gt;G97+4+$B$18,1,0))</f>
        <v>0</v>
      </c>
      <c r="H103" s="383" t="n">
        <f aca="false">IF(4&lt;5,0,IF(MAX(E96:H96)&gt;H97+4+$B$18,1,0))</f>
        <v>0</v>
      </c>
      <c r="I103" s="383" t="n">
        <f aca="false">IF(5&lt;5,0,IF(MAX(E96:I96)&gt;I97+4+$B$18,1,0))</f>
        <v>0</v>
      </c>
      <c r="J103" s="383" t="n">
        <f aca="false">IF(6&lt;5,0,IF(MAX(E96:J96)&gt;J97+4+$B$18,1,0))</f>
        <v>0</v>
      </c>
      <c r="K103" s="383" t="n">
        <f aca="false">IF(7&lt;5,0,IF(MAX(F96:K96)&gt;K97+4+$B$18,1,0))</f>
        <v>0</v>
      </c>
      <c r="L103" s="383" t="n">
        <f aca="false">IF(8&lt;5,0,IF(MAX(G96:L96)&gt;L97+4+$B$18,1,0))</f>
        <v>0</v>
      </c>
      <c r="M103" s="383" t="n">
        <f aca="false">IF(9&lt;5,0,IF(MAX(H96:M96)&gt;M97+4+$B$18,1,0))</f>
        <v>0</v>
      </c>
      <c r="N103" s="383" t="n">
        <f aca="false">IF(10&lt;5,0,IF(MAX(I96:N96)&gt;N97+4+$B$18,1,0))</f>
        <v>0</v>
      </c>
      <c r="O103" s="383" t="n">
        <f aca="false">IF(11&lt;5,0,IF(MAX(J96:O96)&gt;O97+4+$B$18,1,0))</f>
        <v>0</v>
      </c>
      <c r="P103" s="383" t="n">
        <f aca="false">IF(12&lt;5,0,IF(MAX(K96:P96)&gt;P97+4+$B$18,1,0))</f>
        <v>0</v>
      </c>
      <c r="Q103" s="383" t="n">
        <f aca="false">IF(13&lt;5,0,IF(MAX(L96:Q96)&gt;Q97+4+$B$18,1,0))</f>
        <v>0</v>
      </c>
      <c r="R103" s="383" t="n">
        <f aca="false">IF(14&lt;5,0,IF(MAX(M96:R96)&gt;R97+4+$B$18,1,0))</f>
        <v>0</v>
      </c>
      <c r="S103" s="383" t="n">
        <f aca="false">IF(15&lt;5,0,IF(MAX(N96:S96)&gt;S97+4+$B$18,1,0))</f>
        <v>0</v>
      </c>
      <c r="T103" s="383" t="n">
        <f aca="false">IF(16&lt;5,0,IF(MAX(O96:T96)&gt;T97+4+$B$18,1,0))</f>
        <v>0</v>
      </c>
      <c r="U103" s="383" t="n">
        <f aca="false">IF(17&lt;5,0,IF(MAX(P96:U96)&gt;U97+4+$B$18,1,0))</f>
        <v>0</v>
      </c>
      <c r="V103" s="383" t="n">
        <f aca="false">IF(18&lt;5,0,IF(MAX(Q96:V96)&gt;V97+4+$B$18,1,0))</f>
        <v>0</v>
      </c>
      <c r="W103" s="383" t="n">
        <f aca="false">IF(19&lt;5,0,IF(MAX(R96:W96)&gt;W97+4+$B$18,1,0))</f>
        <v>0</v>
      </c>
      <c r="X103" s="383" t="n">
        <f aca="false">IF(20&lt;5,0,IF(MAX(S96:X96)&gt;X97+4+$B$18,1,0))</f>
        <v>0</v>
      </c>
      <c r="Y103" s="383" t="n">
        <f aca="false">IF(21&lt;5,0,IF(MAX(T96:Y96)&gt;Y97+4+$B$18,1,0))</f>
        <v>0</v>
      </c>
      <c r="Z103" s="383" t="n">
        <f aca="false">IF(22&lt;5,0,IF(MAX(U96:Z96)&gt;Z97+4+$B$18,1,0))</f>
        <v>0</v>
      </c>
      <c r="AA103" s="383" t="n">
        <f aca="false">IF(23&lt;5,0,IF(MAX(V96:AA96)&gt;AA97+4+$B$18,1,0))</f>
        <v>0</v>
      </c>
      <c r="AB103" s="383" t="n">
        <f aca="false">IF(24&lt;5,0,IF(MAX(W96:AB96)&gt;AB97+4+$B$18,1,0))</f>
        <v>0</v>
      </c>
      <c r="AC103" s="383" t="n">
        <f aca="false">IF(25&lt;5,0,IF(MAX(X96:AC96)&gt;AC97+4+$B$18,1,0))</f>
        <v>0</v>
      </c>
      <c r="AD103" s="383" t="n">
        <f aca="false">IF(26&lt;5,0,IF(MAX(Y96:AD96)&gt;AD97+4+$B$18,1,0))</f>
        <v>0</v>
      </c>
      <c r="AE103" s="383" t="n">
        <f aca="false">IF(27&lt;5,0,IF(MAX(Z96:AE96)&gt;AE97+4+$B$18,1,0))</f>
        <v>0</v>
      </c>
      <c r="AF103" s="383" t="n">
        <f aca="false">IF(28&lt;5,0,IF(MAX(AA96:AF96)&gt;AF97+4+$B$18,1,0))</f>
        <v>0</v>
      </c>
      <c r="AG103" s="383" t="n">
        <f aca="false">IF(29&lt;5,0,IF(MAX(AB96:AG96)&gt;AG97+4+$B$18,1,0))</f>
        <v>0</v>
      </c>
      <c r="AH103" s="383" t="n">
        <f aca="false">IF(30&lt;5,0,IF(MAX(AC96:AH96)&gt;AH97+4+$B$18,1,0))</f>
        <v>0</v>
      </c>
      <c r="AI103" s="383" t="n">
        <f aca="false">IF(31&lt;5,0,IF(MAX(AD96:AI96)&gt;AI97+4+$B$18,1,0))</f>
        <v>0</v>
      </c>
      <c r="AJ103" s="383" t="n">
        <f aca="false">IF(32&lt;5,0,IF(MAX(AE96:AJ96)&gt;AJ97+4+$B$18,1,0))</f>
        <v>0</v>
      </c>
      <c r="AK103" s="383" t="n">
        <f aca="false">IF(33&lt;5,0,IF(MAX(AF96:AK96)&gt;AK97+4+$B$18,1,0))</f>
        <v>0</v>
      </c>
      <c r="AL103" s="383" t="n">
        <f aca="false">IF(34&lt;5,0,IF(MAX(AG96:AL96)&gt;AL97+4+$B$18,1,0))</f>
        <v>0</v>
      </c>
      <c r="AM103" s="383" t="n">
        <f aca="false">IF(35&lt;5,0,IF(MAX(AH96:AM96)&gt;AM97+4+$B$18,1,0))</f>
        <v>0</v>
      </c>
      <c r="AN103" s="383" t="n">
        <f aca="false">IF(36&lt;5,0,IF(MAX(AI96:AN96)&gt;AN97+4+$B$18,1,0))</f>
        <v>0</v>
      </c>
      <c r="AO103" s="383" t="n">
        <f aca="false">IF(37&lt;5,0,IF(MAX(AJ96:AO96)&gt;AO97+4+$B$18,1,0))</f>
        <v>0</v>
      </c>
      <c r="AP103" s="383" t="n">
        <f aca="false">IF(38&lt;5,0,IF(MAX(AK96:AP96)&gt;AP97+4+$B$18,1,0))</f>
        <v>0</v>
      </c>
      <c r="AQ103" s="383" t="n">
        <f aca="false">IF(39&lt;5,0,IF(MAX(AL96:AQ96)&gt;AQ97+4+$B$18,1,0))</f>
        <v>0</v>
      </c>
      <c r="AR103" s="383" t="n">
        <f aca="false">IF(40&lt;5,0,IF(MAX(AM96:AR96)&gt;AR97+4+$B$18,1,0))</f>
        <v>0</v>
      </c>
      <c r="AS103" s="383" t="n">
        <f aca="false">IF(41&lt;5,0,IF(MAX(AN96:AS96)&gt;AS97+4+$B$18,1,0))</f>
        <v>0</v>
      </c>
      <c r="AT103" s="383" t="n">
        <f aca="false">IF(42&lt;5,0,IF(MAX(AO96:AT96)&gt;AT97+4+$B$18,1,0))</f>
        <v>0</v>
      </c>
      <c r="AU103" s="383" t="n">
        <f aca="false">IF(43&lt;5,0,IF(MAX(AP96:AU96)&gt;AU97+4+$B$18,1,0))</f>
        <v>0</v>
      </c>
      <c r="AV103" s="383" t="n">
        <f aca="false">IF(44&lt;5,0,IF(MAX(AQ96:AV96)&gt;AV97+4+$B$18,1,0))</f>
        <v>0</v>
      </c>
      <c r="AW103" s="383" t="n">
        <f aca="false">IF(45&lt;5,0,IF(MAX(AR96:AW96)&gt;AW97+4+$B$18,1,0))</f>
        <v>0</v>
      </c>
      <c r="AX103" s="383" t="n">
        <f aca="false">IF(46&lt;5,0,IF(MAX(AS96:AX96)&gt;AX97+4+$B$18,1,0))</f>
        <v>0</v>
      </c>
      <c r="AY103" s="383" t="n">
        <f aca="false">IF(47&lt;5,0,IF(MAX(AT96:AY96)&gt;AY97+4+$B$18,1,0))</f>
        <v>0</v>
      </c>
      <c r="AZ103" s="383" t="n">
        <f aca="false">IF(48&lt;5,0,IF(MAX(AU96:AZ96)&gt;AZ97+4+$B$18,1,0))</f>
        <v>0</v>
      </c>
      <c r="BA103" s="383" t="n">
        <f aca="false">IF(49&lt;5,0,IF(MAX(AV96:BA96)&gt;BA97+4+$B$18,1,0))</f>
        <v>0</v>
      </c>
      <c r="BB103" s="383" t="n">
        <f aca="false">IF(50&lt;5,0,IF(MAX(AW96:BB96)&gt;BB97+4+$B$18,1,0))</f>
        <v>0</v>
      </c>
      <c r="BC103" s="383" t="n">
        <f aca="false">IF(51&lt;5,0,IF(MAX(AX96:BC96)&gt;BC97+4+$B$18,1,0))</f>
        <v>0</v>
      </c>
      <c r="BD103" s="383" t="n">
        <f aca="false">IF(52&lt;5,0,IF(MAX(AY96:BD96)&gt;BD97+4+$B$18,1,0))</f>
        <v>0</v>
      </c>
      <c r="BE103" s="383" t="n">
        <f aca="false">IF(53&lt;5,0,IF(MAX(AZ96:BE96)&gt;BE97+4+$B$18,1,0))</f>
        <v>0</v>
      </c>
      <c r="BF103" s="383" t="n">
        <f aca="false">IF(54&lt;5,0,IF(MAX(BA96:BF96)&gt;BF97+4+$B$18,1,0))</f>
        <v>0</v>
      </c>
      <c r="BG103" s="383" t="n">
        <f aca="false">IF(55&lt;5,0,IF(MAX(BB96:BG96)&gt;BG97+4+$B$18,1,0))</f>
        <v>0</v>
      </c>
      <c r="BH103" s="383" t="n">
        <f aca="false">IF(56&lt;5,0,IF(MAX(BC96:BH96)&gt;BH97+4+$B$18,1,0))</f>
        <v>0</v>
      </c>
      <c r="BI103" s="383" t="n">
        <f aca="false">IF(57&lt;5,0,IF(MAX(BD96:BI96)&gt;BI97+4+$B$18,1,0))</f>
        <v>0</v>
      </c>
      <c r="BJ103" s="383" t="n">
        <f aca="false">IF(58&lt;5,0,IF(MAX(BE96:BJ96)&gt;BJ97+4+$B$18,1,0))</f>
        <v>0</v>
      </c>
      <c r="BK103" s="383" t="n">
        <f aca="false">IF(59&lt;5,0,IF(MAX(BF96:BK96)&gt;BK97+4+$B$18,1,0))</f>
        <v>0</v>
      </c>
      <c r="BL103" s="383" t="n">
        <f aca="false">IF(60&lt;5,0,IF(MAX(BG96:BL96)&gt;BL97+4+$B$18,1,0))</f>
        <v>0</v>
      </c>
      <c r="BM103" s="383" t="n">
        <f aca="false">IF(61&lt;5,0,IF(MAX(BH96:BM96)&gt;BM97+4+$B$18,1,0))</f>
        <v>0</v>
      </c>
      <c r="BN103" s="383" t="n">
        <f aca="false">IF(62&lt;5,0,IF(MAX(BI96:BN96)&gt;BN97+4+$B$18,1,0))</f>
        <v>0</v>
      </c>
      <c r="BO103" s="383" t="n">
        <f aca="false">IF(63&lt;5,0,IF(MAX(BJ96:BO96)&gt;BO97+4+$B$18,1,0))</f>
        <v>0</v>
      </c>
      <c r="BP103" s="383" t="n">
        <f aca="false">IF(64&lt;5,0,IF(MAX(BK96:BP96)&gt;BP97+4+$B$18,1,0))</f>
        <v>0</v>
      </c>
      <c r="BQ103" s="383" t="n">
        <f aca="false">IF(65&lt;5,0,IF(MAX(BL96:BQ96)&gt;BQ97+4+$B$18,1,0))</f>
        <v>0</v>
      </c>
      <c r="BR103" s="383" t="n">
        <f aca="false">IF(66&lt;5,0,IF(MAX(BM96:BR96)&gt;BR97+4+$B$18,1,0))</f>
        <v>0</v>
      </c>
      <c r="BS103" s="383" t="n">
        <f aca="false">IF(67&lt;5,0,IF(MAX(BN96:BS96)&gt;BS97+4+$B$18,1,0))</f>
        <v>0</v>
      </c>
      <c r="BT103" s="383" t="n">
        <f aca="false">IF(68&lt;5,0,IF(MAX(BO96:BT96)&gt;BT97+4+$B$18,1,0))</f>
        <v>0</v>
      </c>
      <c r="BU103" s="383" t="n">
        <f aca="false">IF(69&lt;5,0,IF(MAX(BP96:BU96)&gt;BU97+4+$B$18,1,0))</f>
        <v>0</v>
      </c>
      <c r="BV103" s="383" t="n">
        <f aca="false">IF(70&lt;5,0,IF(MAX(BQ96:BV96)&gt;BV97+4+$B$18,1,0))</f>
        <v>0</v>
      </c>
      <c r="BW103" s="383" t="n">
        <f aca="false">IF(71&lt;5,0,IF(MAX(BR96:BW96)&gt;BW97+4+$B$18,1,0))</f>
        <v>0</v>
      </c>
      <c r="BX103" s="383" t="n">
        <f aca="false">IF(72&lt;5,0,IF(MAX(BS96:BX96)&gt;BX97+4+$B$18,1,0))</f>
        <v>0</v>
      </c>
      <c r="BY103" s="383" t="n">
        <f aca="false">IF(73&lt;5,0,IF(MAX(BT96:BY96)&gt;BY97+4+$B$18,1,0))</f>
        <v>0</v>
      </c>
      <c r="BZ103" s="383" t="n">
        <f aca="false">IF(74&lt;5,0,IF(MAX(BU96:BZ96)&gt;BZ97+4+$B$18,1,0))</f>
        <v>0</v>
      </c>
      <c r="CA103" s="383" t="n">
        <f aca="false">IF(75&lt;5,0,IF(MAX(BV96:CA96)&gt;CA97+4+$B$18,1,0))</f>
        <v>0</v>
      </c>
      <c r="CB103" s="383" t="n">
        <f aca="false">IF(76&lt;5,0,IF(MAX(BW96:CB96)&gt;CB97+4+$B$18,1,0))</f>
        <v>0</v>
      </c>
      <c r="CC103" s="383" t="n">
        <f aca="false">IF(77&lt;5,0,IF(MAX(BX96:CC96)&gt;CC97+4+$B$18,1,0))</f>
        <v>0</v>
      </c>
      <c r="CD103" s="383" t="n">
        <f aca="false">IF(78&lt;5,0,IF(MAX(BY96:CD96)&gt;CD97+4+$B$18,1,0))</f>
        <v>0</v>
      </c>
      <c r="CE103" s="383" t="n">
        <f aca="false">IF(79&lt;5,0,IF(MAX(BZ96:CE96)&gt;CE97+4+$B$18,1,0))</f>
        <v>0</v>
      </c>
      <c r="CF103" s="383" t="n">
        <f aca="false">IF(80&lt;5,0,IF(MAX(CA96:CF96)&gt;CF97+4+$B$18,1,0))</f>
        <v>0</v>
      </c>
      <c r="CG103" s="383" t="n">
        <f aca="false">IF(81&lt;5,0,IF(MAX(CB96:CG96)&gt;CG97+4+$B$18,1,0))</f>
        <v>0</v>
      </c>
      <c r="CH103" s="383" t="n">
        <f aca="false">IF(82&lt;5,0,IF(MAX(CC96:CH96)&gt;CH97+4+$B$18,1,0))</f>
        <v>0</v>
      </c>
      <c r="CI103" s="383" t="n">
        <f aca="false">IF(83&lt;5,0,IF(MAX(CD96:CI96)&gt;CI97+4+$B$18,1,0))</f>
        <v>0</v>
      </c>
      <c r="CJ103" s="383" t="n">
        <f aca="false">IF(84&lt;5,0,IF(MAX(CE96:CJ96)&gt;CJ97+4+$B$18,1,0))</f>
        <v>0</v>
      </c>
      <c r="CK103" s="383" t="n">
        <f aca="false">IF(85&lt;5,0,IF(MAX(CF96:CK96)&gt;CK97+4+$B$18,1,0))</f>
        <v>0</v>
      </c>
      <c r="CL103" s="383" t="n">
        <f aca="false">IF(86&lt;5,0,IF(MAX(CG96:CL96)&gt;CL97+4+$B$18,1,0))</f>
        <v>0</v>
      </c>
      <c r="CM103" s="383" t="n">
        <f aca="false">IF(87&lt;5,0,IF(MAX(CH96:CM96)&gt;CM97+4+$B$18,1,0))</f>
        <v>0</v>
      </c>
      <c r="CN103" s="383" t="n">
        <f aca="false">IF(88&lt;5,0,IF(MAX(CI96:CN96)&gt;CN97+4+$B$18,1,0))</f>
        <v>0</v>
      </c>
      <c r="CO103" s="383" t="n">
        <f aca="false">IF(89&lt;5,0,IF(MAX(CJ96:CO96)&gt;CO97+4+$B$18,1,0))</f>
        <v>0</v>
      </c>
      <c r="CP103" s="383" t="n">
        <f aca="false">IF(90&lt;5,0,IF(MAX(CK96:CP96)&gt;CP97+4+$B$18,1,0))</f>
        <v>0</v>
      </c>
      <c r="CQ103" s="383" t="n">
        <f aca="false">IF(91&lt;5,0,IF(MAX(CL96:CQ96)&gt;CQ97+4+$B$18,1,0))</f>
        <v>0</v>
      </c>
      <c r="CR103" s="383" t="n">
        <f aca="false">IF(92&lt;5,0,IF(MAX(CM96:CR96)&gt;CR97+4+$B$18,1,0))</f>
        <v>0</v>
      </c>
      <c r="CS103" s="383" t="n">
        <f aca="false">IF(93&lt;5,0,IF(MAX(CN96:CS96)&gt;CS97+4+$B$18,1,0))</f>
        <v>0</v>
      </c>
      <c r="CT103" s="383" t="n">
        <f aca="false">IF(94&lt;5,0,IF(MAX(CO96:CT96)&gt;CT97+4+$B$18,1,0))</f>
        <v>0</v>
      </c>
      <c r="CU103" s="383" t="n">
        <f aca="false">IF(95&lt;5,0,IF(MAX(CP96:CU96)&gt;CU97+4+$B$18,1,0))</f>
        <v>0</v>
      </c>
      <c r="CV103" s="383" t="n">
        <f aca="false">IF(96&lt;5,0,IF(MAX(CQ96:CV96)&gt;CV97+4+$B$18,1,0))</f>
        <v>0</v>
      </c>
      <c r="CW103" s="383" t="n">
        <f aca="false">IF(97&lt;5,0,IF(MAX(CR96:CW96)&gt;CW97+4+$B$18,1,0))</f>
        <v>0</v>
      </c>
      <c r="CX103" s="383" t="n">
        <f aca="false">IF(98&lt;5,0,IF(MAX(CS96:CX96)&gt;CX97+4+$B$18,1,0))</f>
        <v>0</v>
      </c>
      <c r="CY103" s="383" t="n">
        <f aca="false">IF(99&lt;5,0,IF(MAX(CT96:CY96)&gt;CY97+4+$B$18,1,0))</f>
        <v>0</v>
      </c>
      <c r="CZ103" s="383" t="n">
        <f aca="false">IF(100&lt;5,0,IF(MAX(CU96:CZ96)&gt;CZ97+4+$B$18,1,0))</f>
        <v>0</v>
      </c>
      <c r="DA103" s="383" t="n">
        <f aca="false">IF(101&lt;5,0,IF(MAX(CV96:DA96)&gt;DA97+4+$B$18,1,0))</f>
        <v>0</v>
      </c>
      <c r="DB103" s="383" t="n">
        <f aca="false">IF(102&lt;5,0,IF(MAX(CW96:DB96)&gt;DB97+4+$B$18,1,0))</f>
        <v>0</v>
      </c>
      <c r="DC103" s="383" t="n">
        <f aca="false">IF(103&lt;5,0,IF(MAX(CX96:DC96)&gt;DC97+4+$B$18,1,0))</f>
        <v>0</v>
      </c>
      <c r="DD103" s="383" t="n">
        <f aca="false">IF(104&lt;5,0,IF(MAX(CY96:DD96)&gt;DD97+4+$B$18,1,0))</f>
        <v>0</v>
      </c>
      <c r="DE103" s="383" t="n">
        <f aca="false">IF(105&lt;5,0,IF(MAX(CZ96:DE96)&gt;DE97+4+$B$18,1,0))</f>
        <v>0</v>
      </c>
    </row>
    <row r="104" customFormat="false" ht="13.5" hidden="false" customHeight="true" outlineLevel="0" collapsed="false">
      <c r="A104" s="110" t="s">
        <v>1421</v>
      </c>
      <c r="B104" s="211" t="n">
        <f aca="false">$B$27</f>
        <v>125000</v>
      </c>
      <c r="E104" s="383" t="n">
        <f aca="false">IF(1&lt;5,0,IF(MAX(E96)&gt;E97+5+$B$18,1,0))</f>
        <v>0</v>
      </c>
      <c r="F104" s="383" t="n">
        <f aca="false">IF(2&lt;5,0,IF(MAX(E96:F96)&gt;F97+5+$B$18,1,0))</f>
        <v>0</v>
      </c>
      <c r="G104" s="383" t="n">
        <f aca="false">IF(3&lt;5,0,IF(MAX(E96:G96)&gt;G97+5+$B$18,1,0))</f>
        <v>0</v>
      </c>
      <c r="H104" s="383" t="n">
        <f aca="false">IF(4&lt;5,0,IF(MAX(E96:H96)&gt;H97+5+$B$18,1,0))</f>
        <v>0</v>
      </c>
      <c r="I104" s="383" t="n">
        <f aca="false">IF(5&lt;5,0,IF(MAX(E96:I96)&gt;I97+5+$B$18,1,0))</f>
        <v>0</v>
      </c>
      <c r="J104" s="383" t="n">
        <f aca="false">IF(6&lt;5,0,IF(MAX(E96:J96)&gt;J97+5+$B$18,1,0))</f>
        <v>0</v>
      </c>
      <c r="K104" s="383" t="n">
        <f aca="false">IF(7&lt;5,0,IF(MAX(F96:K96)&gt;K97+5+$B$18,1,0))</f>
        <v>0</v>
      </c>
      <c r="L104" s="383" t="n">
        <f aca="false">IF(8&lt;5,0,IF(MAX(G96:L96)&gt;L97+5+$B$18,1,0))</f>
        <v>0</v>
      </c>
      <c r="M104" s="383" t="n">
        <f aca="false">IF(9&lt;5,0,IF(MAX(H96:M96)&gt;M97+5+$B$18,1,0))</f>
        <v>0</v>
      </c>
      <c r="N104" s="383" t="n">
        <f aca="false">IF(10&lt;5,0,IF(MAX(I96:N96)&gt;N97+5+$B$18,1,0))</f>
        <v>0</v>
      </c>
      <c r="O104" s="383" t="n">
        <f aca="false">IF(11&lt;5,0,IF(MAX(J96:O96)&gt;O97+5+$B$18,1,0))</f>
        <v>0</v>
      </c>
      <c r="P104" s="383" t="n">
        <f aca="false">IF(12&lt;5,0,IF(MAX(K96:P96)&gt;P97+5+$B$18,1,0))</f>
        <v>0</v>
      </c>
      <c r="Q104" s="383" t="n">
        <f aca="false">IF(13&lt;5,0,IF(MAX(L96:Q96)&gt;Q97+5+$B$18,1,0))</f>
        <v>0</v>
      </c>
      <c r="R104" s="383" t="n">
        <f aca="false">IF(14&lt;5,0,IF(MAX(M96:R96)&gt;R97+5+$B$18,1,0))</f>
        <v>0</v>
      </c>
      <c r="S104" s="383" t="n">
        <f aca="false">IF(15&lt;5,0,IF(MAX(N96:S96)&gt;S97+5+$B$18,1,0))</f>
        <v>0</v>
      </c>
      <c r="T104" s="383" t="n">
        <f aca="false">IF(16&lt;5,0,IF(MAX(O96:T96)&gt;T97+5+$B$18,1,0))</f>
        <v>0</v>
      </c>
      <c r="U104" s="383" t="n">
        <f aca="false">IF(17&lt;5,0,IF(MAX(P96:U96)&gt;U97+5+$B$18,1,0))</f>
        <v>0</v>
      </c>
      <c r="V104" s="383" t="n">
        <f aca="false">IF(18&lt;5,0,IF(MAX(Q96:V96)&gt;V97+5+$B$18,1,0))</f>
        <v>0</v>
      </c>
      <c r="W104" s="383" t="n">
        <f aca="false">IF(19&lt;5,0,IF(MAX(R96:W96)&gt;W97+5+$B$18,1,0))</f>
        <v>0</v>
      </c>
      <c r="X104" s="383" t="n">
        <f aca="false">IF(20&lt;5,0,IF(MAX(S96:X96)&gt;X97+5+$B$18,1,0))</f>
        <v>0</v>
      </c>
      <c r="Y104" s="383" t="n">
        <f aca="false">IF(21&lt;5,0,IF(MAX(T96:Y96)&gt;Y97+5+$B$18,1,0))</f>
        <v>0</v>
      </c>
      <c r="Z104" s="383" t="n">
        <f aca="false">IF(22&lt;5,0,IF(MAX(U96:Z96)&gt;Z97+5+$B$18,1,0))</f>
        <v>0</v>
      </c>
      <c r="AA104" s="383" t="n">
        <f aca="false">IF(23&lt;5,0,IF(MAX(V96:AA96)&gt;AA97+5+$B$18,1,0))</f>
        <v>0</v>
      </c>
      <c r="AB104" s="383" t="n">
        <f aca="false">IF(24&lt;5,0,IF(MAX(W96:AB96)&gt;AB97+5+$B$18,1,0))</f>
        <v>0</v>
      </c>
      <c r="AC104" s="383" t="n">
        <f aca="false">IF(25&lt;5,0,IF(MAX(X96:AC96)&gt;AC97+5+$B$18,1,0))</f>
        <v>0</v>
      </c>
      <c r="AD104" s="383" t="n">
        <f aca="false">IF(26&lt;5,0,IF(MAX(Y96:AD96)&gt;AD97+5+$B$18,1,0))</f>
        <v>0</v>
      </c>
      <c r="AE104" s="383" t="n">
        <f aca="false">IF(27&lt;5,0,IF(MAX(Z96:AE96)&gt;AE97+5+$B$18,1,0))</f>
        <v>0</v>
      </c>
      <c r="AF104" s="383" t="n">
        <f aca="false">IF(28&lt;5,0,IF(MAX(AA96:AF96)&gt;AF97+5+$B$18,1,0))</f>
        <v>0</v>
      </c>
      <c r="AG104" s="383" t="n">
        <f aca="false">IF(29&lt;5,0,IF(MAX(AB96:AG96)&gt;AG97+5+$B$18,1,0))</f>
        <v>0</v>
      </c>
      <c r="AH104" s="383" t="n">
        <f aca="false">IF(30&lt;5,0,IF(MAX(AC96:AH96)&gt;AH97+5+$B$18,1,0))</f>
        <v>0</v>
      </c>
      <c r="AI104" s="383" t="n">
        <f aca="false">IF(31&lt;5,0,IF(MAX(AD96:AI96)&gt;AI97+5+$B$18,1,0))</f>
        <v>0</v>
      </c>
      <c r="AJ104" s="383" t="n">
        <f aca="false">IF(32&lt;5,0,IF(MAX(AE96:AJ96)&gt;AJ97+5+$B$18,1,0))</f>
        <v>0</v>
      </c>
      <c r="AK104" s="383" t="n">
        <f aca="false">IF(33&lt;5,0,IF(MAX(AF96:AK96)&gt;AK97+5+$B$18,1,0))</f>
        <v>0</v>
      </c>
      <c r="AL104" s="383" t="n">
        <f aca="false">IF(34&lt;5,0,IF(MAX(AG96:AL96)&gt;AL97+5+$B$18,1,0))</f>
        <v>0</v>
      </c>
      <c r="AM104" s="383" t="n">
        <f aca="false">IF(35&lt;5,0,IF(MAX(AH96:AM96)&gt;AM97+5+$B$18,1,0))</f>
        <v>0</v>
      </c>
      <c r="AN104" s="383" t="n">
        <f aca="false">IF(36&lt;5,0,IF(MAX(AI96:AN96)&gt;AN97+5+$B$18,1,0))</f>
        <v>0</v>
      </c>
      <c r="AO104" s="383" t="n">
        <f aca="false">IF(37&lt;5,0,IF(MAX(AJ96:AO96)&gt;AO97+5+$B$18,1,0))</f>
        <v>0</v>
      </c>
      <c r="AP104" s="383" t="n">
        <f aca="false">IF(38&lt;5,0,IF(MAX(AK96:AP96)&gt;AP97+5+$B$18,1,0))</f>
        <v>0</v>
      </c>
      <c r="AQ104" s="383" t="n">
        <f aca="false">IF(39&lt;5,0,IF(MAX(AL96:AQ96)&gt;AQ97+5+$B$18,1,0))</f>
        <v>0</v>
      </c>
      <c r="AR104" s="383" t="n">
        <f aca="false">IF(40&lt;5,0,IF(MAX(AM96:AR96)&gt;AR97+5+$B$18,1,0))</f>
        <v>0</v>
      </c>
      <c r="AS104" s="383" t="n">
        <f aca="false">IF(41&lt;5,0,IF(MAX(AN96:AS96)&gt;AS97+5+$B$18,1,0))</f>
        <v>0</v>
      </c>
      <c r="AT104" s="383" t="n">
        <f aca="false">IF(42&lt;5,0,IF(MAX(AO96:AT96)&gt;AT97+5+$B$18,1,0))</f>
        <v>0</v>
      </c>
      <c r="AU104" s="383" t="n">
        <f aca="false">IF(43&lt;5,0,IF(MAX(AP96:AU96)&gt;AU97+5+$B$18,1,0))</f>
        <v>0</v>
      </c>
      <c r="AV104" s="383" t="n">
        <f aca="false">IF(44&lt;5,0,IF(MAX(AQ96:AV96)&gt;AV97+5+$B$18,1,0))</f>
        <v>0</v>
      </c>
      <c r="AW104" s="383" t="n">
        <f aca="false">IF(45&lt;5,0,IF(MAX(AR96:AW96)&gt;AW97+5+$B$18,1,0))</f>
        <v>0</v>
      </c>
      <c r="AX104" s="383" t="n">
        <f aca="false">IF(46&lt;5,0,IF(MAX(AS96:AX96)&gt;AX97+5+$B$18,1,0))</f>
        <v>0</v>
      </c>
      <c r="AY104" s="383" t="n">
        <f aca="false">IF(47&lt;5,0,IF(MAX(AT96:AY96)&gt;AY97+5+$B$18,1,0))</f>
        <v>0</v>
      </c>
      <c r="AZ104" s="383" t="n">
        <f aca="false">IF(48&lt;5,0,IF(MAX(AU96:AZ96)&gt;AZ97+5+$B$18,1,0))</f>
        <v>0</v>
      </c>
      <c r="BA104" s="383" t="n">
        <f aca="false">IF(49&lt;5,0,IF(MAX(AV96:BA96)&gt;BA97+5+$B$18,1,0))</f>
        <v>0</v>
      </c>
      <c r="BB104" s="383" t="n">
        <f aca="false">IF(50&lt;5,0,IF(MAX(AW96:BB96)&gt;BB97+5+$B$18,1,0))</f>
        <v>0</v>
      </c>
      <c r="BC104" s="383" t="n">
        <f aca="false">IF(51&lt;5,0,IF(MAX(AX96:BC96)&gt;BC97+5+$B$18,1,0))</f>
        <v>0</v>
      </c>
      <c r="BD104" s="383" t="n">
        <f aca="false">IF(52&lt;5,0,IF(MAX(AY96:BD96)&gt;BD97+5+$B$18,1,0))</f>
        <v>0</v>
      </c>
      <c r="BE104" s="383" t="n">
        <f aca="false">IF(53&lt;5,0,IF(MAX(AZ96:BE96)&gt;BE97+5+$B$18,1,0))</f>
        <v>0</v>
      </c>
      <c r="BF104" s="383" t="n">
        <f aca="false">IF(54&lt;5,0,IF(MAX(BA96:BF96)&gt;BF97+5+$B$18,1,0))</f>
        <v>0</v>
      </c>
      <c r="BG104" s="383" t="n">
        <f aca="false">IF(55&lt;5,0,IF(MAX(BB96:BG96)&gt;BG97+5+$B$18,1,0))</f>
        <v>0</v>
      </c>
      <c r="BH104" s="383" t="n">
        <f aca="false">IF(56&lt;5,0,IF(MAX(BC96:BH96)&gt;BH97+5+$B$18,1,0))</f>
        <v>0</v>
      </c>
      <c r="BI104" s="383" t="n">
        <f aca="false">IF(57&lt;5,0,IF(MAX(BD96:BI96)&gt;BI97+5+$B$18,1,0))</f>
        <v>0</v>
      </c>
      <c r="BJ104" s="383" t="n">
        <f aca="false">IF(58&lt;5,0,IF(MAX(BE96:BJ96)&gt;BJ97+5+$B$18,1,0))</f>
        <v>0</v>
      </c>
      <c r="BK104" s="383" t="n">
        <f aca="false">IF(59&lt;5,0,IF(MAX(BF96:BK96)&gt;BK97+5+$B$18,1,0))</f>
        <v>0</v>
      </c>
      <c r="BL104" s="383" t="n">
        <f aca="false">IF(60&lt;5,0,IF(MAX(BG96:BL96)&gt;BL97+5+$B$18,1,0))</f>
        <v>0</v>
      </c>
      <c r="BM104" s="383" t="n">
        <f aca="false">IF(61&lt;5,0,IF(MAX(BH96:BM96)&gt;BM97+5+$B$18,1,0))</f>
        <v>0</v>
      </c>
      <c r="BN104" s="383" t="n">
        <f aca="false">IF(62&lt;5,0,IF(MAX(BI96:BN96)&gt;BN97+5+$B$18,1,0))</f>
        <v>0</v>
      </c>
      <c r="BO104" s="383" t="n">
        <f aca="false">IF(63&lt;5,0,IF(MAX(BJ96:BO96)&gt;BO97+5+$B$18,1,0))</f>
        <v>0</v>
      </c>
      <c r="BP104" s="383" t="n">
        <f aca="false">IF(64&lt;5,0,IF(MAX(BK96:BP96)&gt;BP97+5+$B$18,1,0))</f>
        <v>0</v>
      </c>
      <c r="BQ104" s="383" t="n">
        <f aca="false">IF(65&lt;5,0,IF(MAX(BL96:BQ96)&gt;BQ97+5+$B$18,1,0))</f>
        <v>0</v>
      </c>
      <c r="BR104" s="383" t="n">
        <f aca="false">IF(66&lt;5,0,IF(MAX(BM96:BR96)&gt;BR97+5+$B$18,1,0))</f>
        <v>0</v>
      </c>
      <c r="BS104" s="383" t="n">
        <f aca="false">IF(67&lt;5,0,IF(MAX(BN96:BS96)&gt;BS97+5+$B$18,1,0))</f>
        <v>0</v>
      </c>
      <c r="BT104" s="383" t="n">
        <f aca="false">IF(68&lt;5,0,IF(MAX(BO96:BT96)&gt;BT97+5+$B$18,1,0))</f>
        <v>0</v>
      </c>
      <c r="BU104" s="383" t="n">
        <f aca="false">IF(69&lt;5,0,IF(MAX(BP96:BU96)&gt;BU97+5+$B$18,1,0))</f>
        <v>0</v>
      </c>
      <c r="BV104" s="383" t="n">
        <f aca="false">IF(70&lt;5,0,IF(MAX(BQ96:BV96)&gt;BV97+5+$B$18,1,0))</f>
        <v>0</v>
      </c>
      <c r="BW104" s="383" t="n">
        <f aca="false">IF(71&lt;5,0,IF(MAX(BR96:BW96)&gt;BW97+5+$B$18,1,0))</f>
        <v>0</v>
      </c>
      <c r="BX104" s="383" t="n">
        <f aca="false">IF(72&lt;5,0,IF(MAX(BS96:BX96)&gt;BX97+5+$B$18,1,0))</f>
        <v>0</v>
      </c>
      <c r="BY104" s="383" t="n">
        <f aca="false">IF(73&lt;5,0,IF(MAX(BT96:BY96)&gt;BY97+5+$B$18,1,0))</f>
        <v>0</v>
      </c>
      <c r="BZ104" s="383" t="n">
        <f aca="false">IF(74&lt;5,0,IF(MAX(BU96:BZ96)&gt;BZ97+5+$B$18,1,0))</f>
        <v>0</v>
      </c>
      <c r="CA104" s="383" t="n">
        <f aca="false">IF(75&lt;5,0,IF(MAX(BV96:CA96)&gt;CA97+5+$B$18,1,0))</f>
        <v>0</v>
      </c>
      <c r="CB104" s="383" t="n">
        <f aca="false">IF(76&lt;5,0,IF(MAX(BW96:CB96)&gt;CB97+5+$B$18,1,0))</f>
        <v>0</v>
      </c>
      <c r="CC104" s="383" t="n">
        <f aca="false">IF(77&lt;5,0,IF(MAX(BX96:CC96)&gt;CC97+5+$B$18,1,0))</f>
        <v>0</v>
      </c>
      <c r="CD104" s="383" t="n">
        <f aca="false">IF(78&lt;5,0,IF(MAX(BY96:CD96)&gt;CD97+5+$B$18,1,0))</f>
        <v>0</v>
      </c>
      <c r="CE104" s="383" t="n">
        <f aca="false">IF(79&lt;5,0,IF(MAX(BZ96:CE96)&gt;CE97+5+$B$18,1,0))</f>
        <v>0</v>
      </c>
      <c r="CF104" s="383" t="n">
        <f aca="false">IF(80&lt;5,0,IF(MAX(CA96:CF96)&gt;CF97+5+$B$18,1,0))</f>
        <v>0</v>
      </c>
      <c r="CG104" s="383" t="n">
        <f aca="false">IF(81&lt;5,0,IF(MAX(CB96:CG96)&gt;CG97+5+$B$18,1,0))</f>
        <v>0</v>
      </c>
      <c r="CH104" s="383" t="n">
        <f aca="false">IF(82&lt;5,0,IF(MAX(CC96:CH96)&gt;CH97+5+$B$18,1,0))</f>
        <v>0</v>
      </c>
      <c r="CI104" s="383" t="n">
        <f aca="false">IF(83&lt;5,0,IF(MAX(CD96:CI96)&gt;CI97+5+$B$18,1,0))</f>
        <v>0</v>
      </c>
      <c r="CJ104" s="383" t="n">
        <f aca="false">IF(84&lt;5,0,IF(MAX(CE96:CJ96)&gt;CJ97+5+$B$18,1,0))</f>
        <v>0</v>
      </c>
      <c r="CK104" s="383" t="n">
        <f aca="false">IF(85&lt;5,0,IF(MAX(CF96:CK96)&gt;CK97+5+$B$18,1,0))</f>
        <v>0</v>
      </c>
      <c r="CL104" s="383" t="n">
        <f aca="false">IF(86&lt;5,0,IF(MAX(CG96:CL96)&gt;CL97+5+$B$18,1,0))</f>
        <v>0</v>
      </c>
      <c r="CM104" s="383" t="n">
        <f aca="false">IF(87&lt;5,0,IF(MAX(CH96:CM96)&gt;CM97+5+$B$18,1,0))</f>
        <v>0</v>
      </c>
      <c r="CN104" s="383" t="n">
        <f aca="false">IF(88&lt;5,0,IF(MAX(CI96:CN96)&gt;CN97+5+$B$18,1,0))</f>
        <v>0</v>
      </c>
      <c r="CO104" s="383" t="n">
        <f aca="false">IF(89&lt;5,0,IF(MAX(CJ96:CO96)&gt;CO97+5+$B$18,1,0))</f>
        <v>0</v>
      </c>
      <c r="CP104" s="383" t="n">
        <f aca="false">IF(90&lt;5,0,IF(MAX(CK96:CP96)&gt;CP97+5+$B$18,1,0))</f>
        <v>0</v>
      </c>
      <c r="CQ104" s="383" t="n">
        <f aca="false">IF(91&lt;5,0,IF(MAX(CL96:CQ96)&gt;CQ97+5+$B$18,1,0))</f>
        <v>0</v>
      </c>
      <c r="CR104" s="383" t="n">
        <f aca="false">IF(92&lt;5,0,IF(MAX(CM96:CR96)&gt;CR97+5+$B$18,1,0))</f>
        <v>0</v>
      </c>
      <c r="CS104" s="383" t="n">
        <f aca="false">IF(93&lt;5,0,IF(MAX(CN96:CS96)&gt;CS97+5+$B$18,1,0))</f>
        <v>0</v>
      </c>
      <c r="CT104" s="383" t="n">
        <f aca="false">IF(94&lt;5,0,IF(MAX(CO96:CT96)&gt;CT97+5+$B$18,1,0))</f>
        <v>0</v>
      </c>
      <c r="CU104" s="383" t="n">
        <f aca="false">IF(95&lt;5,0,IF(MAX(CP96:CU96)&gt;CU97+5+$B$18,1,0))</f>
        <v>0</v>
      </c>
      <c r="CV104" s="383" t="n">
        <f aca="false">IF(96&lt;5,0,IF(MAX(CQ96:CV96)&gt;CV97+5+$B$18,1,0))</f>
        <v>0</v>
      </c>
      <c r="CW104" s="383" t="n">
        <f aca="false">IF(97&lt;5,0,IF(MAX(CR96:CW96)&gt;CW97+5+$B$18,1,0))</f>
        <v>0</v>
      </c>
      <c r="CX104" s="383" t="n">
        <f aca="false">IF(98&lt;5,0,IF(MAX(CS96:CX96)&gt;CX97+5+$B$18,1,0))</f>
        <v>0</v>
      </c>
      <c r="CY104" s="383" t="n">
        <f aca="false">IF(99&lt;5,0,IF(MAX(CT96:CY96)&gt;CY97+5+$B$18,1,0))</f>
        <v>0</v>
      </c>
      <c r="CZ104" s="383" t="n">
        <f aca="false">IF(100&lt;5,0,IF(MAX(CU96:CZ96)&gt;CZ97+5+$B$18,1,0))</f>
        <v>0</v>
      </c>
      <c r="DA104" s="383" t="n">
        <f aca="false">IF(101&lt;5,0,IF(MAX(CV96:DA96)&gt;DA97+5+$B$18,1,0))</f>
        <v>0</v>
      </c>
      <c r="DB104" s="383" t="n">
        <f aca="false">IF(102&lt;5,0,IF(MAX(CW96:DB96)&gt;DB97+5+$B$18,1,0))</f>
        <v>0</v>
      </c>
      <c r="DC104" s="383" t="n">
        <f aca="false">IF(103&lt;5,0,IF(MAX(CX96:DC96)&gt;DC97+5+$B$18,1,0))</f>
        <v>0</v>
      </c>
      <c r="DD104" s="383" t="n">
        <f aca="false">IF(104&lt;5,0,IF(MAX(CY96:DD96)&gt;DD97+5+$B$18,1,0))</f>
        <v>0</v>
      </c>
      <c r="DE104" s="383" t="n">
        <f aca="false">IF(105&lt;5,0,IF(MAX(CZ96:DE96)&gt;DE97+5+$B$18,1,0))</f>
        <v>0</v>
      </c>
    </row>
    <row r="106" customFormat="false" ht="13.5" hidden="false" customHeight="true" outlineLevel="0" collapsed="false">
      <c r="A106" s="110" t="s">
        <v>1422</v>
      </c>
      <c r="B106" s="379" t="n">
        <v>3</v>
      </c>
    </row>
    <row r="107" customFormat="false" ht="13.5" hidden="false" customHeight="true" outlineLevel="0" collapsed="false">
      <c r="A107" s="110" t="s">
        <v>1423</v>
      </c>
      <c r="B107" s="379" t="n">
        <v>0.5</v>
      </c>
    </row>
    <row r="108" customFormat="false" ht="13.5" hidden="false" customHeight="true" outlineLevel="0" collapsed="false">
      <c r="A108" s="1" t="s">
        <v>1424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1425</v>
      </c>
    </row>
    <row r="2" customFormat="false" ht="13.5" hidden="false" customHeight="true" outlineLevel="0" collapsed="false">
      <c r="A2" s="385" t="s">
        <v>1426</v>
      </c>
    </row>
    <row r="3" customFormat="false" ht="15" hidden="false" customHeight="true" outlineLevel="0" collapsed="false">
      <c r="A3" s="386" t="s">
        <v>1427</v>
      </c>
    </row>
    <row r="4" customFormat="false" ht="15" hidden="false" customHeight="true" outlineLevel="0" collapsed="false">
      <c r="A4" s="120" t="s">
        <v>1428</v>
      </c>
      <c r="C4" s="387" t="n">
        <f aca="false">Assumptions!$B$15</f>
        <v>0.015</v>
      </c>
      <c r="D4" s="388" t="s">
        <v>1429</v>
      </c>
    </row>
    <row r="5" customFormat="false" ht="15" hidden="false" customHeight="true" outlineLevel="0" collapsed="false">
      <c r="A5" s="120" t="s">
        <v>1430</v>
      </c>
      <c r="C5" s="389" t="n">
        <f aca="false">95034/12993776.05</f>
        <v>0.00731380929102591</v>
      </c>
      <c r="D5" s="388" t="s">
        <v>1431</v>
      </c>
    </row>
    <row r="6" customFormat="false" ht="15" hidden="false" customHeight="true" outlineLevel="0" collapsed="false">
      <c r="A6" s="120" t="s">
        <v>1432</v>
      </c>
      <c r="C6" s="387" t="n">
        <f aca="false">Assumptions!$B$17</f>
        <v>0.0325</v>
      </c>
      <c r="D6" s="388" t="s">
        <v>1433</v>
      </c>
    </row>
    <row r="7" customFormat="false" ht="15" hidden="false" customHeight="true" outlineLevel="0" collapsed="false">
      <c r="A7" s="120" t="s">
        <v>1434</v>
      </c>
      <c r="C7" s="390" t="n">
        <v>1800000</v>
      </c>
      <c r="D7" s="388" t="s">
        <v>1435</v>
      </c>
    </row>
    <row r="8" customFormat="false" ht="15" hidden="false" customHeight="true" outlineLevel="0" collapsed="false">
      <c r="A8" s="120" t="s">
        <v>1436</v>
      </c>
      <c r="C8" s="391" t="n">
        <f aca="false">SUMPRODUCT(--(Model!$B$4:$DE$4="Actuals"))-3</f>
        <v>5</v>
      </c>
      <c r="D8" s="388" t="s">
        <v>1437</v>
      </c>
    </row>
    <row r="9" customFormat="false" ht="15" hidden="false" customHeight="true" outlineLevel="0" collapsed="false">
      <c r="A9" s="120" t="s">
        <v>1438</v>
      </c>
      <c r="C9" s="392" t="n">
        <f aca="false">SUM(AC11:AC54)</f>
        <v>692876.895125</v>
      </c>
      <c r="D9" s="388" t="s">
        <v>1439</v>
      </c>
    </row>
    <row r="10" customFormat="false" ht="48" hidden="false" customHeight="true" outlineLevel="0" collapsed="false">
      <c r="A10" s="176" t="s">
        <v>453</v>
      </c>
      <c r="B10" s="176" t="s">
        <v>1440</v>
      </c>
      <c r="C10" s="176" t="s">
        <v>551</v>
      </c>
      <c r="D10" s="176" t="s">
        <v>552</v>
      </c>
      <c r="E10" s="176" t="s">
        <v>1441</v>
      </c>
      <c r="F10" s="176" t="s">
        <v>1442</v>
      </c>
      <c r="G10" s="176" t="s">
        <v>1443</v>
      </c>
      <c r="H10" s="176" t="s">
        <v>1444</v>
      </c>
      <c r="I10" s="176" t="s">
        <v>1445</v>
      </c>
      <c r="J10" s="176" t="s">
        <v>1446</v>
      </c>
      <c r="K10" s="176" t="s">
        <v>1447</v>
      </c>
      <c r="L10" s="176" t="s">
        <v>1448</v>
      </c>
      <c r="M10" s="176" t="s">
        <v>1447</v>
      </c>
      <c r="N10" s="176" t="s">
        <v>1449</v>
      </c>
      <c r="O10" s="176" t="s">
        <v>1450</v>
      </c>
      <c r="P10" s="176" t="s">
        <v>1447</v>
      </c>
      <c r="Q10" s="176" t="s">
        <v>1451</v>
      </c>
      <c r="R10" s="176" t="s">
        <v>1447</v>
      </c>
      <c r="S10" s="176" t="s">
        <v>1452</v>
      </c>
      <c r="T10" s="176" t="s">
        <v>1453</v>
      </c>
      <c r="U10" s="176" t="s">
        <v>1454</v>
      </c>
      <c r="V10" s="176" t="s">
        <v>1455</v>
      </c>
      <c r="W10" s="176" t="s">
        <v>1456</v>
      </c>
      <c r="X10" s="176" t="s">
        <v>1457</v>
      </c>
      <c r="Y10" s="176" t="s">
        <v>1458</v>
      </c>
      <c r="Z10" s="176" t="s">
        <v>1459</v>
      </c>
      <c r="AA10" s="176" t="s">
        <v>1460</v>
      </c>
      <c r="AB10" s="176" t="s">
        <v>1461</v>
      </c>
      <c r="AC10" s="176" t="s">
        <v>1462</v>
      </c>
      <c r="AD10" s="176" t="s">
        <v>608</v>
      </c>
    </row>
    <row r="11" customFormat="false" ht="15" hidden="false" customHeight="true" outlineLevel="0" collapsed="false">
      <c r="A11" s="393" t="str">
        <f aca="false">Projects!$A$2</f>
        <v>Crenshaw</v>
      </c>
      <c r="B11" s="394"/>
      <c r="C11" s="395" t="str">
        <f aca="false">Projects!$F$2</f>
        <v>No</v>
      </c>
      <c r="D11" s="395" t="str">
        <f aca="false">Projects!$G$2</f>
        <v>Yes</v>
      </c>
      <c r="E11" s="396"/>
      <c r="F11" s="397" t="n">
        <f aca="false">IF($E11&lt;&gt;"",$E11,Projects!$B$2)</f>
        <v>7126075</v>
      </c>
      <c r="G11" s="394"/>
      <c r="H11" s="398" t="n">
        <f aca="false">IF($G11&lt;&gt;"",$G11,Projects!$C$2)</f>
        <v>1</v>
      </c>
      <c r="I11" s="399"/>
      <c r="J11" s="396"/>
      <c r="K11" s="394"/>
      <c r="L11" s="396"/>
      <c r="M11" s="394"/>
      <c r="N11" s="399"/>
      <c r="O11" s="396"/>
      <c r="P11" s="394"/>
      <c r="Q11" s="396"/>
      <c r="R11" s="394"/>
      <c r="S11" s="398" t="n">
        <f aca="false">IF(AND($C11="Yes",$D11="Yes"),1,0)</f>
        <v>0</v>
      </c>
      <c r="T11" s="397" t="n">
        <f aca="false">$S11*IF($J11&lt;&gt;"",$J11,$F11*IF($I11&lt;&gt;"",$I11,$C$4)/(1+IF($I11&lt;&gt;"",$I11,$C$4)))</f>
        <v>0</v>
      </c>
      <c r="U11" s="397" t="n">
        <f aca="false">$S11*IF($L11&lt;&gt;"",$L11,$F11*$C$5)</f>
        <v>0</v>
      </c>
      <c r="V11" s="397" t="n">
        <f aca="false">$S11*$F11*IF($N11&lt;&gt;"",$N11,$C$6)</f>
        <v>0</v>
      </c>
      <c r="W11" s="397" t="n">
        <f aca="false">MAX(0,$V11-$U11)</f>
        <v>0</v>
      </c>
      <c r="X11" s="398" t="n">
        <f aca="false">IF($B11&lt;&gt;"",$B11,100+$H11)</f>
        <v>101</v>
      </c>
      <c r="Y11" s="397" t="n">
        <f aca="false">$S11*MAX(0,MIN($W11,$C$7-SUMIFS($W$11:$W$54,$X$11:$X$54,"&lt;"&amp;$X11)))</f>
        <v>0</v>
      </c>
      <c r="Z11" s="397" t="n">
        <f aca="false">$W11-$Y11</f>
        <v>0</v>
      </c>
      <c r="AA11" s="400" t="n">
        <f aca="false">MIN(0,$T11-$U11-$Z11)</f>
        <v>0</v>
      </c>
      <c r="AB11" s="400" t="n">
        <f aca="false">MAX(0,$T11-$U11-$Z11)</f>
        <v>0</v>
      </c>
      <c r="AC11" s="397" t="n">
        <f aca="false">IF(AND($S11=1,$H11&lt;=$C$8),$Z11-N($O11),0)</f>
        <v>0</v>
      </c>
      <c r="AD11" s="401"/>
    </row>
    <row r="12" customFormat="false" ht="15" hidden="false" customHeight="true" outlineLevel="0" collapsed="false">
      <c r="A12" s="402" t="str">
        <f aca="false">Projects!$A$3</f>
        <v>Ramsgate</v>
      </c>
      <c r="B12" s="394"/>
      <c r="C12" s="403" t="str">
        <f aca="false">Projects!$F$3</f>
        <v>No</v>
      </c>
      <c r="D12" s="403" t="str">
        <f aca="false">Projects!$G$3</f>
        <v>Yes</v>
      </c>
      <c r="E12" s="396"/>
      <c r="F12" s="404" t="n">
        <f aca="false">IF($E12&lt;&gt;"",$E12,Projects!$B$3)</f>
        <v>20176449</v>
      </c>
      <c r="G12" s="394"/>
      <c r="H12" s="405" t="n">
        <f aca="false">IF($G12&lt;&gt;"",$G12,Projects!$C$3)</f>
        <v>1</v>
      </c>
      <c r="I12" s="399"/>
      <c r="J12" s="396"/>
      <c r="K12" s="394"/>
      <c r="L12" s="396"/>
      <c r="M12" s="394"/>
      <c r="N12" s="399"/>
      <c r="O12" s="396"/>
      <c r="P12" s="394"/>
      <c r="Q12" s="396"/>
      <c r="R12" s="394"/>
      <c r="S12" s="405" t="n">
        <f aca="false">IF(AND($C12="Yes",$D12="Yes"),1,0)</f>
        <v>0</v>
      </c>
      <c r="T12" s="404" t="n">
        <f aca="false">$S12*IF($J12&lt;&gt;"",$J12,$F12*IF($I12&lt;&gt;"",$I12,$C$4)/(1+IF($I12&lt;&gt;"",$I12,$C$4)))</f>
        <v>0</v>
      </c>
      <c r="U12" s="404" t="n">
        <f aca="false">$S12*IF($L12&lt;&gt;"",$L12,$F12*$C$5)</f>
        <v>0</v>
      </c>
      <c r="V12" s="404" t="n">
        <f aca="false">$S12*$F12*IF($N12&lt;&gt;"",$N12,$C$6)</f>
        <v>0</v>
      </c>
      <c r="W12" s="404" t="n">
        <f aca="false">MAX(0,$V12-$U12)</f>
        <v>0</v>
      </c>
      <c r="X12" s="405" t="n">
        <f aca="false">IF($B12&lt;&gt;"",$B12,100+$H12)</f>
        <v>101</v>
      </c>
      <c r="Y12" s="404" t="n">
        <f aca="false">$S12*MAX(0,MIN($W12,$C$7-SUMIFS($W$11:$W$54,$X$11:$X$54,"&lt;"&amp;$X12)))</f>
        <v>0</v>
      </c>
      <c r="Z12" s="404" t="n">
        <f aca="false">$W12-$Y12</f>
        <v>0</v>
      </c>
      <c r="AA12" s="406" t="n">
        <f aca="false">MIN(0,$T12-$U12-$Z12)</f>
        <v>0</v>
      </c>
      <c r="AB12" s="406" t="n">
        <f aca="false">MAX(0,$T12-$U12-$Z12)</f>
        <v>0</v>
      </c>
      <c r="AC12" s="404" t="n">
        <f aca="false">IF(AND($S12=1,$H12&lt;=$C$8),$Z12-N($O12),0)</f>
        <v>0</v>
      </c>
      <c r="AD12" s="407"/>
    </row>
    <row r="13" customFormat="false" ht="15" hidden="false" customHeight="true" outlineLevel="0" collapsed="false">
      <c r="A13" s="393" t="str">
        <f aca="false">Projects!$A$4</f>
        <v>Califa</v>
      </c>
      <c r="B13" s="394" t="n">
        <v>1</v>
      </c>
      <c r="C13" s="395" t="str">
        <f aca="false">Projects!$F$4</f>
        <v>Yes</v>
      </c>
      <c r="D13" s="395" t="str">
        <f aca="false">Projects!$G$4</f>
        <v>Yes</v>
      </c>
      <c r="E13" s="396" t="n">
        <v>13425608</v>
      </c>
      <c r="F13" s="397" t="n">
        <f aca="false">IF($E13&lt;&gt;"",$E13,Projects!$B$4)</f>
        <v>13425608</v>
      </c>
      <c r="G13" s="394" t="n">
        <v>-99</v>
      </c>
      <c r="H13" s="398" t="n">
        <f aca="false">IF($G13&lt;&gt;"",$G13,Projects!$C$4)</f>
        <v>-99</v>
      </c>
      <c r="I13" s="399"/>
      <c r="J13" s="396" t="n">
        <v>198408</v>
      </c>
      <c r="K13" s="394" t="n">
        <v>-99</v>
      </c>
      <c r="L13" s="396" t="n">
        <v>97905</v>
      </c>
      <c r="M13" s="394" t="n">
        <v>-99</v>
      </c>
      <c r="N13" s="399"/>
      <c r="O13" s="396"/>
      <c r="P13" s="394"/>
      <c r="Q13" s="396"/>
      <c r="R13" s="394"/>
      <c r="S13" s="398" t="n">
        <f aca="false">IF(AND($C13="Yes",$D13="Yes"),1,0)</f>
        <v>1</v>
      </c>
      <c r="T13" s="397" t="n">
        <f aca="false">$S13*IF($J13&lt;&gt;"",$J13,$F13*IF($I13&lt;&gt;"",$I13,$C$4)/(1+IF($I13&lt;&gt;"",$I13,$C$4)))</f>
        <v>198408</v>
      </c>
      <c r="U13" s="397" t="n">
        <f aca="false">$S13*IF($L13&lt;&gt;"",$L13,$F13*$C$5)</f>
        <v>97905</v>
      </c>
      <c r="V13" s="397" t="n">
        <f aca="false">$S13*$F13*IF($N13&lt;&gt;"",$N13,$C$6)</f>
        <v>436332.26</v>
      </c>
      <c r="W13" s="397" t="n">
        <f aca="false">MAX(0,$V13-$U13)</f>
        <v>338427.26</v>
      </c>
      <c r="X13" s="398" t="n">
        <f aca="false">IF($B13&lt;&gt;"",$B13,100+$H13)</f>
        <v>1</v>
      </c>
      <c r="Y13" s="397" t="n">
        <f aca="false">$S13*MAX(0,MIN($W13,$C$7-SUMIFS($W$11:$W$54,$X$11:$X$54,"&lt;"&amp;$X13)))</f>
        <v>338427.26</v>
      </c>
      <c r="Z13" s="397" t="n">
        <f aca="false">$W13-$Y13</f>
        <v>0</v>
      </c>
      <c r="AA13" s="400" t="n">
        <f aca="false">MIN(0,$T13-$U13-$Z13)</f>
        <v>0</v>
      </c>
      <c r="AB13" s="400" t="n">
        <f aca="false">MAX(0,$T13-$U13-$Z13)</f>
        <v>100503</v>
      </c>
      <c r="AC13" s="397" t="n">
        <f aca="false">IF(AND($S13=1,$H13&lt;=$C$8),$Z13-N($O13),0)</f>
        <v>0</v>
      </c>
      <c r="AD13" s="401" t="s">
        <v>1463</v>
      </c>
    </row>
    <row r="14" customFormat="false" ht="15" hidden="false" customHeight="true" outlineLevel="0" collapsed="false">
      <c r="A14" s="402" t="str">
        <f aca="false">Projects!$A$5</f>
        <v>Whipple</v>
      </c>
      <c r="B14" s="394" t="n">
        <v>2</v>
      </c>
      <c r="C14" s="403" t="str">
        <f aca="false">Projects!$F$5</f>
        <v>Yes</v>
      </c>
      <c r="D14" s="403" t="str">
        <f aca="false">Projects!$G$5</f>
        <v>Yes</v>
      </c>
      <c r="E14" s="396" t="n">
        <v>15347360</v>
      </c>
      <c r="F14" s="404" t="n">
        <f aca="false">IF($E14&lt;&gt;"",$E14,Projects!$B$5)</f>
        <v>15347360</v>
      </c>
      <c r="G14" s="394" t="n">
        <v>-99</v>
      </c>
      <c r="H14" s="405" t="n">
        <f aca="false">IF($G14&lt;&gt;"",$G14,Projects!$C$5)</f>
        <v>-99</v>
      </c>
      <c r="I14" s="399"/>
      <c r="J14" s="396" t="n">
        <v>226808</v>
      </c>
      <c r="K14" s="394" t="n">
        <v>-99</v>
      </c>
      <c r="L14" s="396" t="n">
        <v>110685</v>
      </c>
      <c r="M14" s="394" t="n">
        <v>-99</v>
      </c>
      <c r="N14" s="399"/>
      <c r="O14" s="396"/>
      <c r="P14" s="394"/>
      <c r="Q14" s="396"/>
      <c r="R14" s="394"/>
      <c r="S14" s="405" t="n">
        <f aca="false">IF(AND($C14="Yes",$D14="Yes"),1,0)</f>
        <v>1</v>
      </c>
      <c r="T14" s="404" t="n">
        <f aca="false">$S14*IF($J14&lt;&gt;"",$J14,$F14*IF($I14&lt;&gt;"",$I14,$C$4)/(1+IF($I14&lt;&gt;"",$I14,$C$4)))</f>
        <v>226808</v>
      </c>
      <c r="U14" s="404" t="n">
        <f aca="false">$S14*IF($L14&lt;&gt;"",$L14,$F14*$C$5)</f>
        <v>110685</v>
      </c>
      <c r="V14" s="404" t="n">
        <f aca="false">$S14*$F14*IF($N14&lt;&gt;"",$N14,$C$6)</f>
        <v>498789.2</v>
      </c>
      <c r="W14" s="404" t="n">
        <f aca="false">MAX(0,$V14-$U14)</f>
        <v>388104.2</v>
      </c>
      <c r="X14" s="405" t="n">
        <f aca="false">IF($B14&lt;&gt;"",$B14,100+$H14)</f>
        <v>2</v>
      </c>
      <c r="Y14" s="404" t="n">
        <f aca="false">$S14*MAX(0,MIN($W14,$C$7-SUMIFS($W$11:$W$54,$X$11:$X$54,"&lt;"&amp;$X14)))</f>
        <v>388104.2</v>
      </c>
      <c r="Z14" s="404" t="n">
        <f aca="false">$W14-$Y14</f>
        <v>0</v>
      </c>
      <c r="AA14" s="406" t="n">
        <f aca="false">MIN(0,$T14-$U14-$Z14)</f>
        <v>0</v>
      </c>
      <c r="AB14" s="406" t="n">
        <f aca="false">MAX(0,$T14-$U14-$Z14)</f>
        <v>116123</v>
      </c>
      <c r="AC14" s="404" t="n">
        <f aca="false">IF(AND($S14=1,$H14&lt;=$C$8),$Z14-N($O14),0)</f>
        <v>0</v>
      </c>
      <c r="AD14" s="407" t="s">
        <v>1463</v>
      </c>
    </row>
    <row r="15" customFormat="false" ht="15" hidden="false" customHeight="true" outlineLevel="0" collapsed="false">
      <c r="A15" s="393" t="str">
        <f aca="false">Projects!$A$6</f>
        <v>Nelrose</v>
      </c>
      <c r="B15" s="394"/>
      <c r="C15" s="395" t="str">
        <f aca="false">Projects!$F$6</f>
        <v>No</v>
      </c>
      <c r="D15" s="395" t="str">
        <f aca="false">Projects!$G$6</f>
        <v>Yes</v>
      </c>
      <c r="E15" s="396"/>
      <c r="F15" s="397" t="n">
        <f aca="false">IF($E15&lt;&gt;"",$E15,Projects!$B$6)</f>
        <v>3623245</v>
      </c>
      <c r="G15" s="394"/>
      <c r="H15" s="398" t="n">
        <f aca="false">IF($G15&lt;&gt;"",$G15,Projects!$C$6)</f>
        <v>1</v>
      </c>
      <c r="I15" s="399"/>
      <c r="J15" s="396"/>
      <c r="K15" s="394"/>
      <c r="L15" s="396"/>
      <c r="M15" s="394"/>
      <c r="N15" s="399"/>
      <c r="O15" s="396"/>
      <c r="P15" s="394"/>
      <c r="Q15" s="396"/>
      <c r="R15" s="394"/>
      <c r="S15" s="398" t="n">
        <f aca="false">IF(AND($C15="Yes",$D15="Yes"),1,0)</f>
        <v>0</v>
      </c>
      <c r="T15" s="397" t="n">
        <f aca="false">$S15*IF($J15&lt;&gt;"",$J15,$F15*IF($I15&lt;&gt;"",$I15,$C$4)/(1+IF($I15&lt;&gt;"",$I15,$C$4)))</f>
        <v>0</v>
      </c>
      <c r="U15" s="397" t="n">
        <f aca="false">$S15*IF($L15&lt;&gt;"",$L15,$F15*$C$5)</f>
        <v>0</v>
      </c>
      <c r="V15" s="397" t="n">
        <f aca="false">$S15*$F15*IF($N15&lt;&gt;"",$N15,$C$6)</f>
        <v>0</v>
      </c>
      <c r="W15" s="397" t="n">
        <f aca="false">MAX(0,$V15-$U15)</f>
        <v>0</v>
      </c>
      <c r="X15" s="398" t="n">
        <f aca="false">IF($B15&lt;&gt;"",$B15,100+$H15)</f>
        <v>101</v>
      </c>
      <c r="Y15" s="397" t="n">
        <f aca="false">$S15*MAX(0,MIN($W15,$C$7-SUMIFS($W$11:$W$54,$X$11:$X$54,"&lt;"&amp;$X15)))</f>
        <v>0</v>
      </c>
      <c r="Z15" s="397" t="n">
        <f aca="false">$W15-$Y15</f>
        <v>0</v>
      </c>
      <c r="AA15" s="400" t="n">
        <f aca="false">MIN(0,$T15-$U15-$Z15)</f>
        <v>0</v>
      </c>
      <c r="AB15" s="400" t="n">
        <f aca="false">MAX(0,$T15-$U15-$Z15)</f>
        <v>0</v>
      </c>
      <c r="AC15" s="397" t="n">
        <f aca="false">IF(AND($S15=1,$H15&lt;=$C$8),$Z15-N($O15),0)</f>
        <v>0</v>
      </c>
      <c r="AD15" s="401"/>
    </row>
    <row r="16" customFormat="false" ht="15" hidden="false" customHeight="true" outlineLevel="0" collapsed="false">
      <c r="A16" s="402" t="str">
        <f aca="false">Projects!$A$7</f>
        <v>Francis</v>
      </c>
      <c r="B16" s="394" t="n">
        <v>4</v>
      </c>
      <c r="C16" s="403" t="str">
        <f aca="false">Projects!$F$7</f>
        <v>Yes</v>
      </c>
      <c r="D16" s="403" t="str">
        <f aca="false">Projects!$G$7</f>
        <v>Yes</v>
      </c>
      <c r="E16" s="396"/>
      <c r="F16" s="404" t="n">
        <f aca="false">IF($E16&lt;&gt;"",$E16,Projects!$B$7)</f>
        <v>42794765</v>
      </c>
      <c r="G16" s="394" t="n">
        <v>4</v>
      </c>
      <c r="H16" s="405" t="n">
        <f aca="false">IF($G16&lt;&gt;"",$G16,Projects!$C$7)</f>
        <v>4</v>
      </c>
      <c r="I16" s="399" t="n">
        <v>0.02</v>
      </c>
      <c r="J16" s="396" t="n">
        <v>839113</v>
      </c>
      <c r="K16" s="394" t="n">
        <v>4</v>
      </c>
      <c r="L16" s="396" t="n">
        <v>313735</v>
      </c>
      <c r="M16" s="394" t="n">
        <v>5</v>
      </c>
      <c r="N16" s="399"/>
      <c r="O16" s="396"/>
      <c r="P16" s="394"/>
      <c r="Q16" s="396"/>
      <c r="R16" s="394"/>
      <c r="S16" s="405" t="n">
        <f aca="false">IF(AND($C16="Yes",$D16="Yes"),1,0)</f>
        <v>1</v>
      </c>
      <c r="T16" s="404" t="n">
        <f aca="false">$S16*IF($J16&lt;&gt;"",$J16,$F16*IF($I16&lt;&gt;"",$I16,$C$4)/(1+IF($I16&lt;&gt;"",$I16,$C$4)))</f>
        <v>839113</v>
      </c>
      <c r="U16" s="404" t="n">
        <f aca="false">$S16*IF($L16&lt;&gt;"",$L16,$F16*$C$5)</f>
        <v>313735</v>
      </c>
      <c r="V16" s="404" t="n">
        <f aca="false">$S16*$F16*IF($N16&lt;&gt;"",$N16,$C$6)</f>
        <v>1390829.8625</v>
      </c>
      <c r="W16" s="404" t="n">
        <f aca="false">MAX(0,$V16-$U16)</f>
        <v>1077094.8625</v>
      </c>
      <c r="X16" s="405" t="n">
        <f aca="false">IF($B16&lt;&gt;"",$B16,100+$H16)</f>
        <v>4</v>
      </c>
      <c r="Y16" s="404" t="n">
        <f aca="false">$S16*MAX(0,MIN($W16,$C$7-SUMIFS($W$11:$W$54,$X$11:$X$54,"&lt;"&amp;$X16)))</f>
        <v>711481.689</v>
      </c>
      <c r="Z16" s="404" t="n">
        <f aca="false">$W16-$Y16</f>
        <v>365613.1735</v>
      </c>
      <c r="AA16" s="406" t="n">
        <f aca="false">MIN(0,$T16-$U16-$Z16)</f>
        <v>0</v>
      </c>
      <c r="AB16" s="406" t="n">
        <f aca="false">MAX(0,$T16-$U16-$Z16)</f>
        <v>159764.8265</v>
      </c>
      <c r="AC16" s="404" t="n">
        <f aca="false">IF(AND($S16=1,$H16&lt;=$C$8),$Z16-N($O16),0)</f>
        <v>365613.1735</v>
      </c>
      <c r="AD16" s="407" t="s">
        <v>1464</v>
      </c>
    </row>
    <row r="17" customFormat="false" ht="15" hidden="false" customHeight="true" outlineLevel="0" collapsed="false">
      <c r="A17" s="393" t="str">
        <f aca="false">Projects!$A$8</f>
        <v>Lexington</v>
      </c>
      <c r="B17" s="394" t="n">
        <v>5</v>
      </c>
      <c r="C17" s="395" t="str">
        <f aca="false">Projects!$F$8</f>
        <v>Yes</v>
      </c>
      <c r="D17" s="395" t="str">
        <f aca="false">Projects!$G$8</f>
        <v>Yes</v>
      </c>
      <c r="E17" s="396"/>
      <c r="F17" s="397" t="n">
        <f aca="false">IF($E17&lt;&gt;"",$E17,Projects!$B$8)</f>
        <v>12993776.05</v>
      </c>
      <c r="G17" s="394" t="n">
        <v>5</v>
      </c>
      <c r="H17" s="398" t="n">
        <f aca="false">IF($G17&lt;&gt;"",$G17,Projects!$C$8)</f>
        <v>5</v>
      </c>
      <c r="I17" s="399"/>
      <c r="J17" s="396" t="n">
        <v>192026.25</v>
      </c>
      <c r="K17" s="394" t="n">
        <v>5</v>
      </c>
      <c r="L17" s="396" t="n">
        <v>95034</v>
      </c>
      <c r="M17" s="394" t="n">
        <v>5</v>
      </c>
      <c r="N17" s="399"/>
      <c r="O17" s="396"/>
      <c r="P17" s="394"/>
      <c r="Q17" s="396"/>
      <c r="R17" s="394"/>
      <c r="S17" s="398" t="n">
        <f aca="false">IF(AND($C17="Yes",$D17="Yes"),1,0)</f>
        <v>1</v>
      </c>
      <c r="T17" s="397" t="n">
        <f aca="false">$S17*IF($J17&lt;&gt;"",$J17,$F17*IF($I17&lt;&gt;"",$I17,$C$4)/(1+IF($I17&lt;&gt;"",$I17,$C$4)))</f>
        <v>192026.25</v>
      </c>
      <c r="U17" s="397" t="n">
        <f aca="false">$S17*IF($L17&lt;&gt;"",$L17,$F17*$C$5)</f>
        <v>95034</v>
      </c>
      <c r="V17" s="397" t="n">
        <f aca="false">$S17*$F17*IF($N17&lt;&gt;"",$N17,$C$6)</f>
        <v>422297.721625</v>
      </c>
      <c r="W17" s="397" t="n">
        <f aca="false">MAX(0,$V17-$U17)</f>
        <v>327263.721625</v>
      </c>
      <c r="X17" s="398" t="n">
        <f aca="false">IF($B17&lt;&gt;"",$B17,100+$H17)</f>
        <v>5</v>
      </c>
      <c r="Y17" s="397" t="n">
        <f aca="false">$S17*MAX(0,MIN($W17,$C$7-SUMIFS($W$11:$W$54,$X$11:$X$54,"&lt;"&amp;$X17)))</f>
        <v>0</v>
      </c>
      <c r="Z17" s="397" t="n">
        <f aca="false">$W17-$Y17</f>
        <v>327263.721625</v>
      </c>
      <c r="AA17" s="400" t="n">
        <f aca="false">MIN(0,$T17-$U17-$Z17)</f>
        <v>-230271.471625</v>
      </c>
      <c r="AB17" s="400" t="n">
        <f aca="false">MAX(0,$T17-$U17-$Z17)</f>
        <v>0</v>
      </c>
      <c r="AC17" s="397" t="n">
        <f aca="false">IF(AND($S17=1,$H17&lt;=$C$8),$Z17-N($O17),0)</f>
        <v>327263.721625</v>
      </c>
      <c r="AD17" s="401" t="s">
        <v>1465</v>
      </c>
    </row>
    <row r="18" customFormat="false" ht="15" hidden="false" customHeight="true" outlineLevel="0" collapsed="false">
      <c r="A18" s="402" t="str">
        <f aca="false">Projects!$A$9</f>
        <v>Riverton</v>
      </c>
      <c r="B18" s="394" t="n">
        <v>3</v>
      </c>
      <c r="C18" s="403" t="str">
        <f aca="false">Projects!$F$9</f>
        <v>Yes</v>
      </c>
      <c r="D18" s="403" t="str">
        <f aca="false">Projects!$G$9</f>
        <v>Yes</v>
      </c>
      <c r="E18" s="396"/>
      <c r="F18" s="404" t="n">
        <f aca="false">IF($E18&lt;&gt;"",$E18,Projects!$B$9)</f>
        <v>14337010.8</v>
      </c>
      <c r="G18" s="394" t="n">
        <v>4</v>
      </c>
      <c r="H18" s="405" t="n">
        <f aca="false">IF($G18&lt;&gt;"",$G18,Projects!$C$9)</f>
        <v>4</v>
      </c>
      <c r="I18" s="399"/>
      <c r="J18" s="396" t="n">
        <v>211877</v>
      </c>
      <c r="K18" s="394" t="n">
        <v>4</v>
      </c>
      <c r="L18" s="396" t="n">
        <v>103966</v>
      </c>
      <c r="M18" s="394" t="n">
        <v>4</v>
      </c>
      <c r="N18" s="399"/>
      <c r="O18" s="396"/>
      <c r="P18" s="394"/>
      <c r="Q18" s="396"/>
      <c r="R18" s="394"/>
      <c r="S18" s="405" t="n">
        <f aca="false">IF(AND($C18="Yes",$D18="Yes"),1,0)</f>
        <v>1</v>
      </c>
      <c r="T18" s="404" t="n">
        <f aca="false">$S18*IF($J18&lt;&gt;"",$J18,$F18*IF($I18&lt;&gt;"",$I18,$C$4)/(1+IF($I18&lt;&gt;"",$I18,$C$4)))</f>
        <v>211877</v>
      </c>
      <c r="U18" s="404" t="n">
        <f aca="false">$S18*IF($L18&lt;&gt;"",$L18,$F18*$C$5)</f>
        <v>103966</v>
      </c>
      <c r="V18" s="404" t="n">
        <f aca="false">$S18*$F18*IF($N18&lt;&gt;"",$N18,$C$6)</f>
        <v>465952.851</v>
      </c>
      <c r="W18" s="404" t="n">
        <f aca="false">MAX(0,$V18-$U18)</f>
        <v>361986.851</v>
      </c>
      <c r="X18" s="405" t="n">
        <f aca="false">IF($B18&lt;&gt;"",$B18,100+$H18)</f>
        <v>3</v>
      </c>
      <c r="Y18" s="404" t="n">
        <f aca="false">$S18*MAX(0,MIN($W18,$C$7-SUMIFS($W$11:$W$54,$X$11:$X$54,"&lt;"&amp;$X18)))</f>
        <v>361986.851</v>
      </c>
      <c r="Z18" s="404" t="n">
        <f aca="false">$W18-$Y18</f>
        <v>0</v>
      </c>
      <c r="AA18" s="406" t="n">
        <f aca="false">MIN(0,$T18-$U18-$Z18)</f>
        <v>0</v>
      </c>
      <c r="AB18" s="406" t="n">
        <f aca="false">MAX(0,$T18-$U18-$Z18)</f>
        <v>107911</v>
      </c>
      <c r="AC18" s="404" t="n">
        <f aca="false">IF(AND($S18=1,$H18&lt;=$C$8),$Z18-N($O18),0)</f>
        <v>0</v>
      </c>
      <c r="AD18" s="407" t="s">
        <v>1466</v>
      </c>
    </row>
    <row r="19" customFormat="false" ht="15" hidden="false" customHeight="true" outlineLevel="0" collapsed="false">
      <c r="A19" s="393" t="str">
        <f aca="false">Projects!$A$10</f>
        <v>Acama</v>
      </c>
      <c r="B19" s="394"/>
      <c r="C19" s="395" t="str">
        <f aca="false">Projects!$F$10</f>
        <v>Yes</v>
      </c>
      <c r="D19" s="395" t="str">
        <f aca="false">Projects!$G$10</f>
        <v>Yes</v>
      </c>
      <c r="E19" s="396"/>
      <c r="F19" s="397" t="n">
        <f aca="false">IF($E19&lt;&gt;"",$E19,Projects!$B$10)</f>
        <v>21263405</v>
      </c>
      <c r="G19" s="394"/>
      <c r="H19" s="398" t="n">
        <f aca="false">IF($G19&lt;&gt;"",$G19,Projects!$C$10)</f>
        <v>9</v>
      </c>
      <c r="I19" s="399"/>
      <c r="J19" s="396"/>
      <c r="K19" s="394"/>
      <c r="L19" s="396"/>
      <c r="M19" s="394"/>
      <c r="N19" s="399"/>
      <c r="O19" s="396"/>
      <c r="P19" s="394"/>
      <c r="Q19" s="396"/>
      <c r="R19" s="394"/>
      <c r="S19" s="398" t="n">
        <f aca="false">IF(AND($C19="Yes",$D19="Yes"),1,0)</f>
        <v>1</v>
      </c>
      <c r="T19" s="397" t="n">
        <f aca="false">$S19*IF($J19&lt;&gt;"",$J19,$F19*IF($I19&lt;&gt;"",$I19,$C$4)/(1+IF($I19&lt;&gt;"",$I19,$C$4)))</f>
        <v>314237.512315271</v>
      </c>
      <c r="U19" s="397" t="n">
        <f aca="false">$S19*IF($L19&lt;&gt;"",$L19,$F19*$C$5)</f>
        <v>155516.489047847</v>
      </c>
      <c r="V19" s="397" t="n">
        <f aca="false">$S19*$F19*IF($N19&lt;&gt;"",$N19,$C$6)</f>
        <v>691060.6625</v>
      </c>
      <c r="W19" s="397" t="n">
        <f aca="false">MAX(0,$V19-$U19)</f>
        <v>535544.173452153</v>
      </c>
      <c r="X19" s="398" t="n">
        <f aca="false">IF($B19&lt;&gt;"",$B19,100+$H19)</f>
        <v>109</v>
      </c>
      <c r="Y19" s="397" t="n">
        <f aca="false">$S19*MAX(0,MIN($W19,$C$7-SUMIFS($W$11:$W$54,$X$11:$X$54,"&lt;"&amp;$X19)))</f>
        <v>0</v>
      </c>
      <c r="Z19" s="397" t="n">
        <f aca="false">$W19-$Y19</f>
        <v>535544.173452153</v>
      </c>
      <c r="AA19" s="400" t="n">
        <f aca="false">MIN(0,$T19-$U19-$Z19)</f>
        <v>-376823.150184729</v>
      </c>
      <c r="AB19" s="400" t="n">
        <f aca="false">MAX(0,$T19-$U19-$Z19)</f>
        <v>0</v>
      </c>
      <c r="AC19" s="397" t="n">
        <f aca="false">IF(AND($S19=1,$H19&lt;=$C$8),$Z19-N($O19),0)</f>
        <v>0</v>
      </c>
      <c r="AD19" s="401" t="s">
        <v>1467</v>
      </c>
    </row>
    <row r="20" customFormat="false" ht="15" hidden="false" customHeight="true" outlineLevel="0" collapsed="false">
      <c r="A20" s="402" t="str">
        <f aca="false">Projects!$A$11</f>
        <v>Klump</v>
      </c>
      <c r="B20" s="394"/>
      <c r="C20" s="403" t="str">
        <f aca="false">Projects!$F$11</f>
        <v>No</v>
      </c>
      <c r="D20" s="403" t="str">
        <f aca="false">Projects!$G$11</f>
        <v>Yes</v>
      </c>
      <c r="E20" s="396"/>
      <c r="F20" s="404" t="n">
        <f aca="false">IF($E20&lt;&gt;"",$E20,Projects!$B$11)</f>
        <v>9577109</v>
      </c>
      <c r="G20" s="394"/>
      <c r="H20" s="405" t="n">
        <f aca="false">IF($G20&lt;&gt;"",$G20,Projects!$C$11)</f>
        <v>11</v>
      </c>
      <c r="I20" s="399"/>
      <c r="J20" s="396"/>
      <c r="K20" s="394"/>
      <c r="L20" s="396"/>
      <c r="M20" s="394"/>
      <c r="N20" s="399"/>
      <c r="O20" s="396"/>
      <c r="P20" s="394"/>
      <c r="Q20" s="396"/>
      <c r="R20" s="394"/>
      <c r="S20" s="405" t="n">
        <f aca="false">IF(AND($C20="Yes",$D20="Yes"),1,0)</f>
        <v>0</v>
      </c>
      <c r="T20" s="404" t="n">
        <f aca="false">$S20*IF($J20&lt;&gt;"",$J20,$F20*IF($I20&lt;&gt;"",$I20,$C$4)/(1+IF($I20&lt;&gt;"",$I20,$C$4)))</f>
        <v>0</v>
      </c>
      <c r="U20" s="404" t="n">
        <f aca="false">$S20*IF($L20&lt;&gt;"",$L20,$F20*$C$5)</f>
        <v>0</v>
      </c>
      <c r="V20" s="404" t="n">
        <f aca="false">$S20*$F20*IF($N20&lt;&gt;"",$N20,$C$6)</f>
        <v>0</v>
      </c>
      <c r="W20" s="404" t="n">
        <f aca="false">MAX(0,$V20-$U20)</f>
        <v>0</v>
      </c>
      <c r="X20" s="405" t="n">
        <f aca="false">IF($B20&lt;&gt;"",$B20,100+$H20)</f>
        <v>111</v>
      </c>
      <c r="Y20" s="404" t="n">
        <f aca="false">$S20*MAX(0,MIN($W20,$C$7-SUMIFS($W$11:$W$54,$X$11:$X$54,"&lt;"&amp;$X20)))</f>
        <v>0</v>
      </c>
      <c r="Z20" s="404" t="n">
        <f aca="false">$W20-$Y20</f>
        <v>0</v>
      </c>
      <c r="AA20" s="406" t="n">
        <f aca="false">MIN(0,$T20-$U20-$Z20)</f>
        <v>0</v>
      </c>
      <c r="AB20" s="406" t="n">
        <f aca="false">MAX(0,$T20-$U20-$Z20)</f>
        <v>0</v>
      </c>
      <c r="AC20" s="404" t="n">
        <f aca="false">IF(AND($S20=1,$H20&lt;=$C$8),$Z20-N($O20),0)</f>
        <v>0</v>
      </c>
      <c r="AD20" s="407"/>
    </row>
    <row r="21" customFormat="false" ht="15" hidden="false" customHeight="true" outlineLevel="0" collapsed="false">
      <c r="A21" s="393" t="str">
        <f aca="false">Projects!$A$12</f>
        <v>Scott</v>
      </c>
      <c r="B21" s="394"/>
      <c r="C21" s="395" t="str">
        <f aca="false">Projects!$F$12</f>
        <v>No</v>
      </c>
      <c r="D21" s="395" t="str">
        <f aca="false">Projects!$G$12</f>
        <v>Yes</v>
      </c>
      <c r="E21" s="396"/>
      <c r="F21" s="397" t="n">
        <f aca="false">IF($E21&lt;&gt;"",$E21,Projects!$B$12)</f>
        <v>7545203</v>
      </c>
      <c r="G21" s="394"/>
      <c r="H21" s="398" t="n">
        <f aca="false">IF($G21&lt;&gt;"",$G21,Projects!$C$12)</f>
        <v>10</v>
      </c>
      <c r="I21" s="399"/>
      <c r="J21" s="396"/>
      <c r="K21" s="394"/>
      <c r="L21" s="396"/>
      <c r="M21" s="394"/>
      <c r="N21" s="399"/>
      <c r="O21" s="396"/>
      <c r="P21" s="394"/>
      <c r="Q21" s="396"/>
      <c r="R21" s="394"/>
      <c r="S21" s="398" t="n">
        <f aca="false">IF(AND($C21="Yes",$D21="Yes"),1,0)</f>
        <v>0</v>
      </c>
      <c r="T21" s="397" t="n">
        <f aca="false">$S21*IF($J21&lt;&gt;"",$J21,$F21*IF($I21&lt;&gt;"",$I21,$C$4)/(1+IF($I21&lt;&gt;"",$I21,$C$4)))</f>
        <v>0</v>
      </c>
      <c r="U21" s="397" t="n">
        <f aca="false">$S21*IF($L21&lt;&gt;"",$L21,$F21*$C$5)</f>
        <v>0</v>
      </c>
      <c r="V21" s="397" t="n">
        <f aca="false">$S21*$F21*IF($N21&lt;&gt;"",$N21,$C$6)</f>
        <v>0</v>
      </c>
      <c r="W21" s="397" t="n">
        <f aca="false">MAX(0,$V21-$U21)</f>
        <v>0</v>
      </c>
      <c r="X21" s="398" t="n">
        <f aca="false">IF($B21&lt;&gt;"",$B21,100+$H21)</f>
        <v>110</v>
      </c>
      <c r="Y21" s="397" t="n">
        <f aca="false">$S21*MAX(0,MIN($W21,$C$7-SUMIFS($W$11:$W$54,$X$11:$X$54,"&lt;"&amp;$X21)))</f>
        <v>0</v>
      </c>
      <c r="Z21" s="397" t="n">
        <f aca="false">$W21-$Y21</f>
        <v>0</v>
      </c>
      <c r="AA21" s="400" t="n">
        <f aca="false">MIN(0,$T21-$U21-$Z21)</f>
        <v>0</v>
      </c>
      <c r="AB21" s="400" t="n">
        <f aca="false">MAX(0,$T21-$U21-$Z21)</f>
        <v>0</v>
      </c>
      <c r="AC21" s="397" t="n">
        <f aca="false">IF(AND($S21=1,$H21&lt;=$C$8),$Z21-N($O21),0)</f>
        <v>0</v>
      </c>
      <c r="AD21" s="401"/>
    </row>
    <row r="22" customFormat="false" ht="15" hidden="false" customHeight="true" outlineLevel="0" collapsed="false">
      <c r="A22" s="402" t="str">
        <f aca="false">Projects!$A$13</f>
        <v>Reseda</v>
      </c>
      <c r="B22" s="394"/>
      <c r="C22" s="403" t="str">
        <f aca="false">Projects!$F$13</f>
        <v>Yes</v>
      </c>
      <c r="D22" s="403" t="str">
        <f aca="false">Projects!$G$13</f>
        <v>Yes</v>
      </c>
      <c r="E22" s="396"/>
      <c r="F22" s="404" t="n">
        <f aca="false">IF($E22&lt;&gt;"",$E22,Projects!$B$13)</f>
        <v>45266770</v>
      </c>
      <c r="G22" s="394"/>
      <c r="H22" s="405" t="n">
        <f aca="false">IF($G22&lt;&gt;"",$G22,Projects!$C$13)</f>
        <v>13</v>
      </c>
      <c r="I22" s="399"/>
      <c r="J22" s="396"/>
      <c r="K22" s="394"/>
      <c r="L22" s="396"/>
      <c r="M22" s="394"/>
      <c r="N22" s="399"/>
      <c r="O22" s="396"/>
      <c r="P22" s="394"/>
      <c r="Q22" s="396"/>
      <c r="R22" s="394"/>
      <c r="S22" s="405" t="n">
        <f aca="false">IF(AND($C22="Yes",$D22="Yes"),1,0)</f>
        <v>1</v>
      </c>
      <c r="T22" s="404" t="n">
        <f aca="false">$S22*IF($J22&lt;&gt;"",$J22,$F22*IF($I22&lt;&gt;"",$I22,$C$4)/(1+IF($I22&lt;&gt;"",$I22,$C$4)))</f>
        <v>668967.044334975</v>
      </c>
      <c r="U22" s="404" t="n">
        <f aca="false">$S22*IF($L22&lt;&gt;"",$L22,$F22*$C$5)</f>
        <v>331072.523000733</v>
      </c>
      <c r="V22" s="404" t="n">
        <f aca="false">$S22*$F22*IF($N22&lt;&gt;"",$N22,$C$6)</f>
        <v>1471170.025</v>
      </c>
      <c r="W22" s="404" t="n">
        <f aca="false">MAX(0,$V22-$U22)</f>
        <v>1140097.50199927</v>
      </c>
      <c r="X22" s="405" t="n">
        <f aca="false">IF($B22&lt;&gt;"",$B22,100+$H22)</f>
        <v>113</v>
      </c>
      <c r="Y22" s="404" t="n">
        <f aca="false">$S22*MAX(0,MIN($W22,$C$7-SUMIFS($W$11:$W$54,$X$11:$X$54,"&lt;"&amp;$X22)))</f>
        <v>0</v>
      </c>
      <c r="Z22" s="404" t="n">
        <f aca="false">$W22-$Y22</f>
        <v>1140097.50199927</v>
      </c>
      <c r="AA22" s="406" t="n">
        <f aca="false">MIN(0,$T22-$U22-$Z22)</f>
        <v>-802202.980665025</v>
      </c>
      <c r="AB22" s="406" t="n">
        <f aca="false">MAX(0,$T22-$U22-$Z22)</f>
        <v>0</v>
      </c>
      <c r="AC22" s="404" t="n">
        <f aca="false">IF(AND($S22=1,$H22&lt;=$C$8),$Z22-N($O22),0)</f>
        <v>0</v>
      </c>
      <c r="AD22" s="407"/>
    </row>
    <row r="23" customFormat="false" ht="15" hidden="false" customHeight="true" outlineLevel="0" collapsed="false">
      <c r="A23" s="393" t="str">
        <f aca="false">Projects!$A$14</f>
        <v>3rd St</v>
      </c>
      <c r="B23" s="394"/>
      <c r="C23" s="395" t="str">
        <f aca="false">Projects!$F$14</f>
        <v>Yes</v>
      </c>
      <c r="D23" s="395" t="str">
        <f aca="false">Projects!$G$14</f>
        <v>Yes</v>
      </c>
      <c r="E23" s="396"/>
      <c r="F23" s="397" t="n">
        <f aca="false">IF($E23&lt;&gt;"",$E23,Projects!$B$14)</f>
        <v>41354632</v>
      </c>
      <c r="G23" s="394"/>
      <c r="H23" s="398" t="n">
        <f aca="false">IF($G23&lt;&gt;"",$G23,Projects!$C$14)</f>
        <v>27</v>
      </c>
      <c r="I23" s="399"/>
      <c r="J23" s="396"/>
      <c r="K23" s="394"/>
      <c r="L23" s="396"/>
      <c r="M23" s="394"/>
      <c r="N23" s="399"/>
      <c r="O23" s="396"/>
      <c r="P23" s="394"/>
      <c r="Q23" s="396"/>
      <c r="R23" s="394"/>
      <c r="S23" s="398" t="n">
        <f aca="false">IF(AND($C23="Yes",$D23="Yes"),1,0)</f>
        <v>1</v>
      </c>
      <c r="T23" s="397" t="n">
        <f aca="false">$S23*IF($J23&lt;&gt;"",$J23,$F23*IF($I23&lt;&gt;"",$I23,$C$4)/(1+IF($I23&lt;&gt;"",$I23,$C$4)))</f>
        <v>611152.197044335</v>
      </c>
      <c r="U23" s="397" t="n">
        <f aca="false">$S23*IF($L23&lt;&gt;"",$L23,$F23*$C$5)</f>
        <v>302459.891748558</v>
      </c>
      <c r="V23" s="397" t="n">
        <f aca="false">$S23*$F23*IF($N23&lt;&gt;"",$N23,$C$6)</f>
        <v>1344025.54</v>
      </c>
      <c r="W23" s="397" t="n">
        <f aca="false">MAX(0,$V23-$U23)</f>
        <v>1041565.64825144</v>
      </c>
      <c r="X23" s="398" t="n">
        <f aca="false">IF($B23&lt;&gt;"",$B23,100+$H23)</f>
        <v>127</v>
      </c>
      <c r="Y23" s="397" t="n">
        <f aca="false">$S23*MAX(0,MIN($W23,$C$7-SUMIFS($W$11:$W$54,$X$11:$X$54,"&lt;"&amp;$X23)))</f>
        <v>0</v>
      </c>
      <c r="Z23" s="397" t="n">
        <f aca="false">$W23-$Y23</f>
        <v>1041565.64825144</v>
      </c>
      <c r="AA23" s="400" t="n">
        <f aca="false">MIN(0,$T23-$U23-$Z23)</f>
        <v>-732873.342955665</v>
      </c>
      <c r="AB23" s="400" t="n">
        <f aca="false">MAX(0,$T23-$U23-$Z23)</f>
        <v>0</v>
      </c>
      <c r="AC23" s="397" t="n">
        <f aca="false">IF(AND($S23=1,$H23&lt;=$C$8),$Z23-N($O23),0)</f>
        <v>0</v>
      </c>
      <c r="AD23" s="401"/>
    </row>
    <row r="24" customFormat="false" ht="15" hidden="false" customHeight="true" outlineLevel="0" collapsed="false">
      <c r="A24" s="402" t="str">
        <f aca="false">Projects!$A$17</f>
        <v>Dickens</v>
      </c>
      <c r="B24" s="394"/>
      <c r="C24" s="403" t="str">
        <f aca="false">Projects!$F$17</f>
        <v>Yes</v>
      </c>
      <c r="D24" s="403" t="str">
        <f aca="false">Projects!$G$17</f>
        <v>Yes</v>
      </c>
      <c r="E24" s="396"/>
      <c r="F24" s="404" t="n">
        <f aca="false">IF($E24&lt;&gt;"",$E24,Projects!$B$17)</f>
        <v>15316015</v>
      </c>
      <c r="G24" s="394"/>
      <c r="H24" s="405" t="n">
        <f aca="false">IF($G24&lt;&gt;"",$G24,Projects!$C$17)</f>
        <v>14</v>
      </c>
      <c r="I24" s="399"/>
      <c r="J24" s="396"/>
      <c r="K24" s="394"/>
      <c r="L24" s="396"/>
      <c r="M24" s="394"/>
      <c r="N24" s="399"/>
      <c r="O24" s="396"/>
      <c r="P24" s="394"/>
      <c r="Q24" s="396"/>
      <c r="R24" s="394"/>
      <c r="S24" s="405" t="n">
        <f aca="false">IF(AND($C24="Yes",$D24="Yes"),1,0)</f>
        <v>1</v>
      </c>
      <c r="T24" s="404" t="n">
        <f aca="false">$S24*IF($J24&lt;&gt;"",$J24,$F24*IF($I24&lt;&gt;"",$I24,$C$4)/(1+IF($I24&lt;&gt;"",$I24,$C$4)))</f>
        <v>226345.049261084</v>
      </c>
      <c r="U24" s="404" t="n">
        <f aca="false">$S24*IF($L24&lt;&gt;"",$L24,$F24*$C$5)</f>
        <v>112018.412808492</v>
      </c>
      <c r="V24" s="404" t="n">
        <f aca="false">$S24*$F24*IF($N24&lt;&gt;"",$N24,$C$6)</f>
        <v>497770.4875</v>
      </c>
      <c r="W24" s="404" t="n">
        <f aca="false">MAX(0,$V24-$U24)</f>
        <v>385752.074691508</v>
      </c>
      <c r="X24" s="405" t="n">
        <f aca="false">IF($B24&lt;&gt;"",$B24,100+$H24)</f>
        <v>114</v>
      </c>
      <c r="Y24" s="404" t="n">
        <f aca="false">$S24*MAX(0,MIN($W24,$C$7-SUMIFS($W$11:$W$54,$X$11:$X$54,"&lt;"&amp;$X24)))</f>
        <v>0</v>
      </c>
      <c r="Z24" s="404" t="n">
        <f aca="false">$W24-$Y24</f>
        <v>385752.074691508</v>
      </c>
      <c r="AA24" s="406" t="n">
        <f aca="false">MIN(0,$T24-$U24-$Z24)</f>
        <v>-271425.438238916</v>
      </c>
      <c r="AB24" s="406" t="n">
        <f aca="false">MAX(0,$T24-$U24-$Z24)</f>
        <v>0</v>
      </c>
      <c r="AC24" s="404" t="n">
        <f aca="false">IF(AND($S24=1,$H24&lt;=$C$8),$Z24-N($O24),0)</f>
        <v>0</v>
      </c>
      <c r="AD24" s="407"/>
    </row>
    <row r="25" customFormat="false" ht="15" hidden="false" customHeight="true" outlineLevel="0" collapsed="false">
      <c r="A25" s="393" t="str">
        <f aca="false">Projects!$A$18</f>
        <v>Riverton 75</v>
      </c>
      <c r="B25" s="394"/>
      <c r="C25" s="395" t="str">
        <f aca="false">Projects!$F$18</f>
        <v>Yes</v>
      </c>
      <c r="D25" s="395" t="str">
        <f aca="false">Projects!$G$18</f>
        <v>Yes</v>
      </c>
      <c r="E25" s="396"/>
      <c r="F25" s="397" t="n">
        <f aca="false">IF($E25&lt;&gt;"",$E25,Projects!$B$18)</f>
        <v>11317385</v>
      </c>
      <c r="G25" s="394"/>
      <c r="H25" s="398" t="n">
        <f aca="false">IF($G25&lt;&gt;"",$G25,Projects!$C$18)</f>
        <v>15</v>
      </c>
      <c r="I25" s="399"/>
      <c r="J25" s="396"/>
      <c r="K25" s="394"/>
      <c r="L25" s="396"/>
      <c r="M25" s="394"/>
      <c r="N25" s="399"/>
      <c r="O25" s="396"/>
      <c r="P25" s="394"/>
      <c r="Q25" s="396"/>
      <c r="R25" s="394"/>
      <c r="S25" s="398" t="n">
        <f aca="false">IF(AND($C25="Yes",$D25="Yes"),1,0)</f>
        <v>1</v>
      </c>
      <c r="T25" s="397" t="n">
        <f aca="false">$S25*IF($J25&lt;&gt;"",$J25,$F25*IF($I25&lt;&gt;"",$I25,$C$4)/(1+IF($I25&lt;&gt;"",$I25,$C$4)))</f>
        <v>167251.995073892</v>
      </c>
      <c r="U25" s="397" t="n">
        <f aca="false">$S25*IF($L25&lt;&gt;"",$L25,$F25*$C$5)</f>
        <v>82773.1955631173</v>
      </c>
      <c r="V25" s="397" t="n">
        <f aca="false">$S25*$F25*IF($N25&lt;&gt;"",$N25,$C$6)</f>
        <v>367815.0125</v>
      </c>
      <c r="W25" s="397" t="n">
        <f aca="false">MAX(0,$V25-$U25)</f>
        <v>285041.816936883</v>
      </c>
      <c r="X25" s="398" t="n">
        <f aca="false">IF($B25&lt;&gt;"",$B25,100+$H25)</f>
        <v>115</v>
      </c>
      <c r="Y25" s="397" t="n">
        <f aca="false">$S25*MAX(0,MIN($W25,$C$7-SUMIFS($W$11:$W$54,$X$11:$X$54,"&lt;"&amp;$X25)))</f>
        <v>0</v>
      </c>
      <c r="Z25" s="397" t="n">
        <f aca="false">$W25-$Y25</f>
        <v>285041.816936883</v>
      </c>
      <c r="AA25" s="400" t="n">
        <f aca="false">MIN(0,$T25-$U25-$Z25)</f>
        <v>-200563.017426108</v>
      </c>
      <c r="AB25" s="400" t="n">
        <f aca="false">MAX(0,$T25-$U25-$Z25)</f>
        <v>0</v>
      </c>
      <c r="AC25" s="397" t="n">
        <f aca="false">IF(AND($S25=1,$H25&lt;=$C$8),$Z25-N($O25),0)</f>
        <v>0</v>
      </c>
      <c r="AD25" s="401"/>
    </row>
    <row r="26" customFormat="false" ht="15" hidden="false" customHeight="true" outlineLevel="0" collapsed="false">
      <c r="A26" s="402" t="str">
        <f aca="false">Projects!$A$19</f>
        <v>Moorpark</v>
      </c>
      <c r="B26" s="394"/>
      <c r="C26" s="403" t="str">
        <f aca="false">Projects!$F$19</f>
        <v>Yes</v>
      </c>
      <c r="D26" s="403" t="str">
        <f aca="false">Projects!$G$19</f>
        <v>Yes</v>
      </c>
      <c r="E26" s="396"/>
      <c r="F26" s="404" t="n">
        <f aca="false">IF($E26&lt;&gt;"",$E26,Projects!$B$19)</f>
        <v>18442769</v>
      </c>
      <c r="G26" s="394"/>
      <c r="H26" s="405" t="n">
        <f aca="false">IF($G26&lt;&gt;"",$G26,Projects!$C$19)</f>
        <v>16</v>
      </c>
      <c r="I26" s="399"/>
      <c r="J26" s="396"/>
      <c r="K26" s="394"/>
      <c r="L26" s="396"/>
      <c r="M26" s="394"/>
      <c r="N26" s="399"/>
      <c r="O26" s="396"/>
      <c r="P26" s="394"/>
      <c r="Q26" s="396"/>
      <c r="R26" s="394"/>
      <c r="S26" s="405" t="n">
        <f aca="false">IF(AND($C26="Yes",$D26="Yes"),1,0)</f>
        <v>1</v>
      </c>
      <c r="T26" s="404" t="n">
        <f aca="false">$S26*IF($J26&lt;&gt;"",$J26,$F26*IF($I26&lt;&gt;"",$I26,$C$4)/(1+IF($I26&lt;&gt;"",$I26,$C$4)))</f>
        <v>272553.236453202</v>
      </c>
      <c r="U26" s="404" t="n">
        <f aca="false">$S26*IF($L26&lt;&gt;"",$L26,$F26*$C$5)</f>
        <v>134886.895264445</v>
      </c>
      <c r="V26" s="404" t="n">
        <f aca="false">$S26*$F26*IF($N26&lt;&gt;"",$N26,$C$6)</f>
        <v>599389.9925</v>
      </c>
      <c r="W26" s="404" t="n">
        <f aca="false">MAX(0,$V26-$U26)</f>
        <v>464503.097235555</v>
      </c>
      <c r="X26" s="405" t="n">
        <f aca="false">IF($B26&lt;&gt;"",$B26,100+$H26)</f>
        <v>116</v>
      </c>
      <c r="Y26" s="404" t="n">
        <f aca="false">$S26*MAX(0,MIN($W26,$C$7-SUMIFS($W$11:$W$54,$X$11:$X$54,"&lt;"&amp;$X26)))</f>
        <v>0</v>
      </c>
      <c r="Z26" s="404" t="n">
        <f aca="false">$W26-$Y26</f>
        <v>464503.097235555</v>
      </c>
      <c r="AA26" s="406" t="n">
        <f aca="false">MIN(0,$T26-$U26-$Z26)</f>
        <v>-326836.756046798</v>
      </c>
      <c r="AB26" s="406" t="n">
        <f aca="false">MAX(0,$T26-$U26-$Z26)</f>
        <v>0</v>
      </c>
      <c r="AC26" s="404" t="n">
        <f aca="false">IF(AND($S26=1,$H26&lt;=$C$8),$Z26-N($O26),0)</f>
        <v>0</v>
      </c>
      <c r="AD26" s="407"/>
    </row>
    <row r="27" customFormat="false" ht="15" hidden="false" customHeight="true" outlineLevel="0" collapsed="false">
      <c r="A27" s="393" t="str">
        <f aca="false">Projects!$A$20</f>
        <v>Beverly (BD-04)</v>
      </c>
      <c r="B27" s="394"/>
      <c r="C27" s="395" t="str">
        <f aca="false">Projects!$F$20</f>
        <v>No</v>
      </c>
      <c r="D27" s="395" t="str">
        <f aca="false">Projects!$G$20</f>
        <v>Yes</v>
      </c>
      <c r="E27" s="396"/>
      <c r="F27" s="397" t="n">
        <f aca="false">IF($E27&lt;&gt;"",$E27,Projects!$B$20)</f>
        <v>25026330.58</v>
      </c>
      <c r="G27" s="394"/>
      <c r="H27" s="398" t="n">
        <f aca="false">IF($G27&lt;&gt;"",$G27,Projects!$C$20)</f>
        <v>20</v>
      </c>
      <c r="I27" s="399"/>
      <c r="J27" s="396"/>
      <c r="K27" s="394"/>
      <c r="L27" s="396"/>
      <c r="M27" s="394"/>
      <c r="N27" s="399"/>
      <c r="O27" s="396"/>
      <c r="P27" s="394"/>
      <c r="Q27" s="396"/>
      <c r="R27" s="394"/>
      <c r="S27" s="398" t="n">
        <f aca="false">IF(AND($C27="Yes",$D27="Yes"),1,0)</f>
        <v>0</v>
      </c>
      <c r="T27" s="397" t="n">
        <f aca="false">$S27*IF($J27&lt;&gt;"",$J27,$F27*IF($I27&lt;&gt;"",$I27,$C$4)/(1+IF($I27&lt;&gt;"",$I27,$C$4)))</f>
        <v>0</v>
      </c>
      <c r="U27" s="397" t="n">
        <f aca="false">$S27*IF($L27&lt;&gt;"",$L27,$F27*$C$5)</f>
        <v>0</v>
      </c>
      <c r="V27" s="397" t="n">
        <f aca="false">$S27*$F27*IF($N27&lt;&gt;"",$N27,$C$6)</f>
        <v>0</v>
      </c>
      <c r="W27" s="397" t="n">
        <f aca="false">MAX(0,$V27-$U27)</f>
        <v>0</v>
      </c>
      <c r="X27" s="398" t="n">
        <f aca="false">IF($B27&lt;&gt;"",$B27,100+$H27)</f>
        <v>120</v>
      </c>
      <c r="Y27" s="397" t="n">
        <f aca="false">$S27*MAX(0,MIN($W27,$C$7-SUMIFS($W$11:$W$54,$X$11:$X$54,"&lt;"&amp;$X27)))</f>
        <v>0</v>
      </c>
      <c r="Z27" s="397" t="n">
        <f aca="false">$W27-$Y27</f>
        <v>0</v>
      </c>
      <c r="AA27" s="400" t="n">
        <f aca="false">MIN(0,$T27-$U27-$Z27)</f>
        <v>0</v>
      </c>
      <c r="AB27" s="400" t="n">
        <f aca="false">MAX(0,$T27-$U27-$Z27)</f>
        <v>0</v>
      </c>
      <c r="AC27" s="397" t="n">
        <f aca="false">IF(AND($S27=1,$H27&lt;=$C$8),$Z27-N($O27),0)</f>
        <v>0</v>
      </c>
      <c r="AD27" s="401"/>
    </row>
    <row r="28" customFormat="false" ht="15" hidden="false" customHeight="true" outlineLevel="0" collapsed="false">
      <c r="A28" s="402" t="str">
        <f aca="false">Projects!$A$21</f>
        <v>Troost (HVN)</v>
      </c>
      <c r="B28" s="394"/>
      <c r="C28" s="403" t="str">
        <f aca="false">Projects!$F$21</f>
        <v>No</v>
      </c>
      <c r="D28" s="403" t="str">
        <f aca="false">Projects!$G$21</f>
        <v>Yes</v>
      </c>
      <c r="E28" s="396"/>
      <c r="F28" s="404" t="n">
        <f aca="false">IF($E28&lt;&gt;"",$E28,Projects!$B$21)</f>
        <v>15189508.75</v>
      </c>
      <c r="G28" s="394"/>
      <c r="H28" s="405" t="n">
        <f aca="false">IF($G28&lt;&gt;"",$G28,Projects!$C$21)</f>
        <v>10</v>
      </c>
      <c r="I28" s="399"/>
      <c r="J28" s="396"/>
      <c r="K28" s="394"/>
      <c r="L28" s="396"/>
      <c r="M28" s="394"/>
      <c r="N28" s="399"/>
      <c r="O28" s="396"/>
      <c r="P28" s="394"/>
      <c r="Q28" s="396"/>
      <c r="R28" s="394"/>
      <c r="S28" s="405" t="n">
        <f aca="false">IF(AND($C28="Yes",$D28="Yes"),1,0)</f>
        <v>0</v>
      </c>
      <c r="T28" s="404" t="n">
        <f aca="false">$S28*IF($J28&lt;&gt;"",$J28,$F28*IF($I28&lt;&gt;"",$I28,$C$4)/(1+IF($I28&lt;&gt;"",$I28,$C$4)))</f>
        <v>0</v>
      </c>
      <c r="U28" s="404" t="n">
        <f aca="false">$S28*IF($L28&lt;&gt;"",$L28,$F28*$C$5)</f>
        <v>0</v>
      </c>
      <c r="V28" s="404" t="n">
        <f aca="false">$S28*$F28*IF($N28&lt;&gt;"",$N28,$C$6)</f>
        <v>0</v>
      </c>
      <c r="W28" s="404" t="n">
        <f aca="false">MAX(0,$V28-$U28)</f>
        <v>0</v>
      </c>
      <c r="X28" s="405" t="n">
        <f aca="false">IF($B28&lt;&gt;"",$B28,100+$H28)</f>
        <v>110</v>
      </c>
      <c r="Y28" s="404" t="n">
        <f aca="false">$S28*MAX(0,MIN($W28,$C$7-SUMIFS($W$11:$W$54,$X$11:$X$54,"&lt;"&amp;$X28)))</f>
        <v>0</v>
      </c>
      <c r="Z28" s="404" t="n">
        <f aca="false">$W28-$Y28</f>
        <v>0</v>
      </c>
      <c r="AA28" s="406" t="n">
        <f aca="false">MIN(0,$T28-$U28-$Z28)</f>
        <v>0</v>
      </c>
      <c r="AB28" s="406" t="n">
        <f aca="false">MAX(0,$T28-$U28-$Z28)</f>
        <v>0</v>
      </c>
      <c r="AC28" s="404" t="n">
        <f aca="false">IF(AND($S28=1,$H28&lt;=$C$8),$Z28-N($O28),0)</f>
        <v>0</v>
      </c>
      <c r="AD28" s="407"/>
    </row>
    <row r="29" customFormat="false" ht="15" hidden="false" customHeight="true" outlineLevel="0" collapsed="false">
      <c r="A29" s="393" t="str">
        <f aca="false">Projects!$A$22</f>
        <v>BD-06</v>
      </c>
      <c r="B29" s="394"/>
      <c r="C29" s="395" t="str">
        <f aca="false">Projects!$F$22</f>
        <v>No</v>
      </c>
      <c r="D29" s="395" t="str">
        <f aca="false">Projects!$G$22</f>
        <v>No</v>
      </c>
      <c r="E29" s="396"/>
      <c r="F29" s="397" t="n">
        <f aca="false">IF($E29&lt;&gt;"",$E29,Projects!$B$22)</f>
        <v>15000000</v>
      </c>
      <c r="G29" s="394"/>
      <c r="H29" s="398" t="n">
        <f aca="false">IF($G29&lt;&gt;"",$G29,Projects!$C$22)</f>
        <v>31</v>
      </c>
      <c r="I29" s="399"/>
      <c r="J29" s="396"/>
      <c r="K29" s="394"/>
      <c r="L29" s="396"/>
      <c r="M29" s="394"/>
      <c r="N29" s="399"/>
      <c r="O29" s="396"/>
      <c r="P29" s="394"/>
      <c r="Q29" s="396"/>
      <c r="R29" s="394"/>
      <c r="S29" s="398" t="n">
        <f aca="false">IF(AND($C29="Yes",$D29="Yes"),1,0)</f>
        <v>0</v>
      </c>
      <c r="T29" s="397" t="n">
        <f aca="false">$S29*IF($J29&lt;&gt;"",$J29,$F29*IF($I29&lt;&gt;"",$I29,$C$4)/(1+IF($I29&lt;&gt;"",$I29,$C$4)))</f>
        <v>0</v>
      </c>
      <c r="U29" s="397" t="n">
        <f aca="false">$S29*IF($L29&lt;&gt;"",$L29,$F29*$C$5)</f>
        <v>0</v>
      </c>
      <c r="V29" s="397" t="n">
        <f aca="false">$S29*$F29*IF($N29&lt;&gt;"",$N29,$C$6)</f>
        <v>0</v>
      </c>
      <c r="W29" s="397" t="n">
        <f aca="false">MAX(0,$V29-$U29)</f>
        <v>0</v>
      </c>
      <c r="X29" s="398" t="n">
        <f aca="false">IF($B29&lt;&gt;"",$B29,100+$H29)</f>
        <v>131</v>
      </c>
      <c r="Y29" s="397" t="n">
        <f aca="false">$S29*MAX(0,MIN($W29,$C$7-SUMIFS($W$11:$W$54,$X$11:$X$54,"&lt;"&amp;$X29)))</f>
        <v>0</v>
      </c>
      <c r="Z29" s="397" t="n">
        <f aca="false">$W29-$Y29</f>
        <v>0</v>
      </c>
      <c r="AA29" s="400" t="n">
        <f aca="false">MIN(0,$T29-$U29-$Z29)</f>
        <v>0</v>
      </c>
      <c r="AB29" s="400" t="n">
        <f aca="false">MAX(0,$T29-$U29-$Z29)</f>
        <v>0</v>
      </c>
      <c r="AC29" s="397" t="n">
        <f aca="false">IF(AND($S29=1,$H29&lt;=$C$8),$Z29-N($O29),0)</f>
        <v>0</v>
      </c>
      <c r="AD29" s="401"/>
    </row>
    <row r="30" customFormat="false" ht="15" hidden="false" customHeight="true" outlineLevel="0" collapsed="false">
      <c r="A30" s="402" t="str">
        <f aca="false">Projects!$A$23</f>
        <v>BD-07</v>
      </c>
      <c r="B30" s="394"/>
      <c r="C30" s="403" t="str">
        <f aca="false">Projects!$F$23</f>
        <v>Yes</v>
      </c>
      <c r="D30" s="403" t="str">
        <f aca="false">Projects!$G$23</f>
        <v>No</v>
      </c>
      <c r="E30" s="396"/>
      <c r="F30" s="404" t="n">
        <f aca="false">IF($E30&lt;&gt;"",$E30,Projects!$B$23)</f>
        <v>15000000</v>
      </c>
      <c r="G30" s="394"/>
      <c r="H30" s="405" t="n">
        <f aca="false">IF($G30&lt;&gt;"",$G30,Projects!$C$23)</f>
        <v>34</v>
      </c>
      <c r="I30" s="399"/>
      <c r="J30" s="396"/>
      <c r="K30" s="394"/>
      <c r="L30" s="396"/>
      <c r="M30" s="394"/>
      <c r="N30" s="399"/>
      <c r="O30" s="396"/>
      <c r="P30" s="394"/>
      <c r="Q30" s="396"/>
      <c r="R30" s="394"/>
      <c r="S30" s="405" t="n">
        <f aca="false">IF(AND($C30="Yes",$D30="Yes"),1,0)</f>
        <v>0</v>
      </c>
      <c r="T30" s="404" t="n">
        <f aca="false">$S30*IF($J30&lt;&gt;"",$J30,$F30*IF($I30&lt;&gt;"",$I30,$C$4)/(1+IF($I30&lt;&gt;"",$I30,$C$4)))</f>
        <v>0</v>
      </c>
      <c r="U30" s="404" t="n">
        <f aca="false">$S30*IF($L30&lt;&gt;"",$L30,$F30*$C$5)</f>
        <v>0</v>
      </c>
      <c r="V30" s="404" t="n">
        <f aca="false">$S30*$F30*IF($N30&lt;&gt;"",$N30,$C$6)</f>
        <v>0</v>
      </c>
      <c r="W30" s="404" t="n">
        <f aca="false">MAX(0,$V30-$U30)</f>
        <v>0</v>
      </c>
      <c r="X30" s="405" t="n">
        <f aca="false">IF($B30&lt;&gt;"",$B30,100+$H30)</f>
        <v>134</v>
      </c>
      <c r="Y30" s="404" t="n">
        <f aca="false">$S30*MAX(0,MIN($W30,$C$7-SUMIFS($W$11:$W$54,$X$11:$X$54,"&lt;"&amp;$X30)))</f>
        <v>0</v>
      </c>
      <c r="Z30" s="404" t="n">
        <f aca="false">$W30-$Y30</f>
        <v>0</v>
      </c>
      <c r="AA30" s="406" t="n">
        <f aca="false">MIN(0,$T30-$U30-$Z30)</f>
        <v>0</v>
      </c>
      <c r="AB30" s="406" t="n">
        <f aca="false">MAX(0,$T30-$U30-$Z30)</f>
        <v>0</v>
      </c>
      <c r="AC30" s="404" t="n">
        <f aca="false">IF(AND($S30=1,$H30&lt;=$C$8),$Z30-N($O30),0)</f>
        <v>0</v>
      </c>
      <c r="AD30" s="407"/>
    </row>
    <row r="31" customFormat="false" ht="15" hidden="false" customHeight="true" outlineLevel="0" collapsed="false">
      <c r="A31" s="393" t="str">
        <f aca="false">Projects!$A$24</f>
        <v>BD-08</v>
      </c>
      <c r="B31" s="394"/>
      <c r="C31" s="395" t="str">
        <f aca="false">Projects!$F$24</f>
        <v>No</v>
      </c>
      <c r="D31" s="395" t="str">
        <f aca="false">Projects!$G$24</f>
        <v>No</v>
      </c>
      <c r="E31" s="396"/>
      <c r="F31" s="397" t="n">
        <f aca="false">IF($E31&lt;&gt;"",$E31,Projects!$B$24)</f>
        <v>18000000</v>
      </c>
      <c r="G31" s="394"/>
      <c r="H31" s="398" t="n">
        <f aca="false">IF($G31&lt;&gt;"",$G31,Projects!$C$24)</f>
        <v>37</v>
      </c>
      <c r="I31" s="399"/>
      <c r="J31" s="396"/>
      <c r="K31" s="394"/>
      <c r="L31" s="396"/>
      <c r="M31" s="394"/>
      <c r="N31" s="399"/>
      <c r="O31" s="396"/>
      <c r="P31" s="394"/>
      <c r="Q31" s="396"/>
      <c r="R31" s="394"/>
      <c r="S31" s="398" t="n">
        <f aca="false">IF(AND($C31="Yes",$D31="Yes"),1,0)</f>
        <v>0</v>
      </c>
      <c r="T31" s="397" t="n">
        <f aca="false">$S31*IF($J31&lt;&gt;"",$J31,$F31*IF($I31&lt;&gt;"",$I31,$C$4)/(1+IF($I31&lt;&gt;"",$I31,$C$4)))</f>
        <v>0</v>
      </c>
      <c r="U31" s="397" t="n">
        <f aca="false">$S31*IF($L31&lt;&gt;"",$L31,$F31*$C$5)</f>
        <v>0</v>
      </c>
      <c r="V31" s="397" t="n">
        <f aca="false">$S31*$F31*IF($N31&lt;&gt;"",$N31,$C$6)</f>
        <v>0</v>
      </c>
      <c r="W31" s="397" t="n">
        <f aca="false">MAX(0,$V31-$U31)</f>
        <v>0</v>
      </c>
      <c r="X31" s="398" t="n">
        <f aca="false">IF($B31&lt;&gt;"",$B31,100+$H31)</f>
        <v>137</v>
      </c>
      <c r="Y31" s="397" t="n">
        <f aca="false">$S31*MAX(0,MIN($W31,$C$7-SUMIFS($W$11:$W$54,$X$11:$X$54,"&lt;"&amp;$X31)))</f>
        <v>0</v>
      </c>
      <c r="Z31" s="397" t="n">
        <f aca="false">$W31-$Y31</f>
        <v>0</v>
      </c>
      <c r="AA31" s="400" t="n">
        <f aca="false">MIN(0,$T31-$U31-$Z31)</f>
        <v>0</v>
      </c>
      <c r="AB31" s="400" t="n">
        <f aca="false">MAX(0,$T31-$U31-$Z31)</f>
        <v>0</v>
      </c>
      <c r="AC31" s="397" t="n">
        <f aca="false">IF(AND($S31=1,$H31&lt;=$C$8),$Z31-N($O31),0)</f>
        <v>0</v>
      </c>
      <c r="AD31" s="401"/>
    </row>
    <row r="32" customFormat="false" ht="15" hidden="false" customHeight="true" outlineLevel="0" collapsed="false">
      <c r="A32" s="402" t="str">
        <f aca="false">Projects!$A$25</f>
        <v>BD-09</v>
      </c>
      <c r="B32" s="394"/>
      <c r="C32" s="403" t="str">
        <f aca="false">Projects!$F$25</f>
        <v>No</v>
      </c>
      <c r="D32" s="403" t="str">
        <f aca="false">Projects!$G$25</f>
        <v>No</v>
      </c>
      <c r="E32" s="396"/>
      <c r="F32" s="404" t="n">
        <f aca="false">IF($E32&lt;&gt;"",$E32,Projects!$B$25)</f>
        <v>18000000</v>
      </c>
      <c r="G32" s="394"/>
      <c r="H32" s="405" t="n">
        <f aca="false">IF($G32&lt;&gt;"",$G32,Projects!$C$25)</f>
        <v>40</v>
      </c>
      <c r="I32" s="399"/>
      <c r="J32" s="396"/>
      <c r="K32" s="394"/>
      <c r="L32" s="396"/>
      <c r="M32" s="394"/>
      <c r="N32" s="399"/>
      <c r="O32" s="396"/>
      <c r="P32" s="394"/>
      <c r="Q32" s="396"/>
      <c r="R32" s="394"/>
      <c r="S32" s="405" t="n">
        <f aca="false">IF(AND($C32="Yes",$D32="Yes"),1,0)</f>
        <v>0</v>
      </c>
      <c r="T32" s="404" t="n">
        <f aca="false">$S32*IF($J32&lt;&gt;"",$J32,$F32*IF($I32&lt;&gt;"",$I32,$C$4)/(1+IF($I32&lt;&gt;"",$I32,$C$4)))</f>
        <v>0</v>
      </c>
      <c r="U32" s="404" t="n">
        <f aca="false">$S32*IF($L32&lt;&gt;"",$L32,$F32*$C$5)</f>
        <v>0</v>
      </c>
      <c r="V32" s="404" t="n">
        <f aca="false">$S32*$F32*IF($N32&lt;&gt;"",$N32,$C$6)</f>
        <v>0</v>
      </c>
      <c r="W32" s="404" t="n">
        <f aca="false">MAX(0,$V32-$U32)</f>
        <v>0</v>
      </c>
      <c r="X32" s="405" t="n">
        <f aca="false">IF($B32&lt;&gt;"",$B32,100+$H32)</f>
        <v>140</v>
      </c>
      <c r="Y32" s="404" t="n">
        <f aca="false">$S32*MAX(0,MIN($W32,$C$7-SUMIFS($W$11:$W$54,$X$11:$X$54,"&lt;"&amp;$X32)))</f>
        <v>0</v>
      </c>
      <c r="Z32" s="404" t="n">
        <f aca="false">$W32-$Y32</f>
        <v>0</v>
      </c>
      <c r="AA32" s="406" t="n">
        <f aca="false">MIN(0,$T32-$U32-$Z32)</f>
        <v>0</v>
      </c>
      <c r="AB32" s="406" t="n">
        <f aca="false">MAX(0,$T32-$U32-$Z32)</f>
        <v>0</v>
      </c>
      <c r="AC32" s="404" t="n">
        <f aca="false">IF(AND($S32=1,$H32&lt;=$C$8),$Z32-N($O32),0)</f>
        <v>0</v>
      </c>
      <c r="AD32" s="407"/>
    </row>
    <row r="33" customFormat="false" ht="15" hidden="false" customHeight="true" outlineLevel="0" collapsed="false">
      <c r="A33" s="393" t="str">
        <f aca="false">Projects!$A$26</f>
        <v>BD-10</v>
      </c>
      <c r="B33" s="394"/>
      <c r="C33" s="395" t="str">
        <f aca="false">Projects!$F$26</f>
        <v>No</v>
      </c>
      <c r="D33" s="395" t="str">
        <f aca="false">Projects!$G$26</f>
        <v>No</v>
      </c>
      <c r="E33" s="396"/>
      <c r="F33" s="397" t="n">
        <f aca="false">IF($E33&lt;&gt;"",$E33,Projects!$B$26)</f>
        <v>18000000</v>
      </c>
      <c r="G33" s="394"/>
      <c r="H33" s="398" t="n">
        <f aca="false">IF($G33&lt;&gt;"",$G33,Projects!$C$26)</f>
        <v>42</v>
      </c>
      <c r="I33" s="399"/>
      <c r="J33" s="396"/>
      <c r="K33" s="394"/>
      <c r="L33" s="396"/>
      <c r="M33" s="394"/>
      <c r="N33" s="399"/>
      <c r="O33" s="396"/>
      <c r="P33" s="394"/>
      <c r="Q33" s="396"/>
      <c r="R33" s="394"/>
      <c r="S33" s="398" t="n">
        <f aca="false">IF(AND($C33="Yes",$D33="Yes"),1,0)</f>
        <v>0</v>
      </c>
      <c r="T33" s="397" t="n">
        <f aca="false">$S33*IF($J33&lt;&gt;"",$J33,$F33*IF($I33&lt;&gt;"",$I33,$C$4)/(1+IF($I33&lt;&gt;"",$I33,$C$4)))</f>
        <v>0</v>
      </c>
      <c r="U33" s="397" t="n">
        <f aca="false">$S33*IF($L33&lt;&gt;"",$L33,$F33*$C$5)</f>
        <v>0</v>
      </c>
      <c r="V33" s="397" t="n">
        <f aca="false">$S33*$F33*IF($N33&lt;&gt;"",$N33,$C$6)</f>
        <v>0</v>
      </c>
      <c r="W33" s="397" t="n">
        <f aca="false">MAX(0,$V33-$U33)</f>
        <v>0</v>
      </c>
      <c r="X33" s="398" t="n">
        <f aca="false">IF($B33&lt;&gt;"",$B33,100+$H33)</f>
        <v>142</v>
      </c>
      <c r="Y33" s="397" t="n">
        <f aca="false">$S33*MAX(0,MIN($W33,$C$7-SUMIFS($W$11:$W$54,$X$11:$X$54,"&lt;"&amp;$X33)))</f>
        <v>0</v>
      </c>
      <c r="Z33" s="397" t="n">
        <f aca="false">$W33-$Y33</f>
        <v>0</v>
      </c>
      <c r="AA33" s="400" t="n">
        <f aca="false">MIN(0,$T33-$U33-$Z33)</f>
        <v>0</v>
      </c>
      <c r="AB33" s="400" t="n">
        <f aca="false">MAX(0,$T33-$U33-$Z33)</f>
        <v>0</v>
      </c>
      <c r="AC33" s="397" t="n">
        <f aca="false">IF(AND($S33=1,$H33&lt;=$C$8),$Z33-N($O33),0)</f>
        <v>0</v>
      </c>
      <c r="AD33" s="401"/>
    </row>
    <row r="34" customFormat="false" ht="15" hidden="false" customHeight="true" outlineLevel="0" collapsed="false">
      <c r="A34" s="402" t="str">
        <f aca="false">Projects!$A$27</f>
        <v>BD-11</v>
      </c>
      <c r="B34" s="394"/>
      <c r="C34" s="403" t="str">
        <f aca="false">Projects!$F$27</f>
        <v>No</v>
      </c>
      <c r="D34" s="403" t="str">
        <f aca="false">Projects!$G$27</f>
        <v>No</v>
      </c>
      <c r="E34" s="396"/>
      <c r="F34" s="404" t="n">
        <f aca="false">IF($E34&lt;&gt;"",$E34,Projects!$B$27)</f>
        <v>15000000</v>
      </c>
      <c r="G34" s="394"/>
      <c r="H34" s="405" t="n">
        <f aca="false">IF($G34&lt;&gt;"",$G34,Projects!$C$27)</f>
        <v>44</v>
      </c>
      <c r="I34" s="399"/>
      <c r="J34" s="396"/>
      <c r="K34" s="394"/>
      <c r="L34" s="396"/>
      <c r="M34" s="394"/>
      <c r="N34" s="399"/>
      <c r="O34" s="396"/>
      <c r="P34" s="394"/>
      <c r="Q34" s="396"/>
      <c r="R34" s="394"/>
      <c r="S34" s="405" t="n">
        <f aca="false">IF(AND($C34="Yes",$D34="Yes"),1,0)</f>
        <v>0</v>
      </c>
      <c r="T34" s="404" t="n">
        <f aca="false">$S34*IF($J34&lt;&gt;"",$J34,$F34*IF($I34&lt;&gt;"",$I34,$C$4)/(1+IF($I34&lt;&gt;"",$I34,$C$4)))</f>
        <v>0</v>
      </c>
      <c r="U34" s="404" t="n">
        <f aca="false">$S34*IF($L34&lt;&gt;"",$L34,$F34*$C$5)</f>
        <v>0</v>
      </c>
      <c r="V34" s="404" t="n">
        <f aca="false">$S34*$F34*IF($N34&lt;&gt;"",$N34,$C$6)</f>
        <v>0</v>
      </c>
      <c r="W34" s="404" t="n">
        <f aca="false">MAX(0,$V34-$U34)</f>
        <v>0</v>
      </c>
      <c r="X34" s="405" t="n">
        <f aca="false">IF($B34&lt;&gt;"",$B34,100+$H34)</f>
        <v>144</v>
      </c>
      <c r="Y34" s="404" t="n">
        <f aca="false">$S34*MAX(0,MIN($W34,$C$7-SUMIFS($W$11:$W$54,$X$11:$X$54,"&lt;"&amp;$X34)))</f>
        <v>0</v>
      </c>
      <c r="Z34" s="404" t="n">
        <f aca="false">$W34-$Y34</f>
        <v>0</v>
      </c>
      <c r="AA34" s="406" t="n">
        <f aca="false">MIN(0,$T34-$U34-$Z34)</f>
        <v>0</v>
      </c>
      <c r="AB34" s="406" t="n">
        <f aca="false">MAX(0,$T34-$U34-$Z34)</f>
        <v>0</v>
      </c>
      <c r="AC34" s="404" t="n">
        <f aca="false">IF(AND($S34=1,$H34&lt;=$C$8),$Z34-N($O34),0)</f>
        <v>0</v>
      </c>
      <c r="AD34" s="407"/>
    </row>
    <row r="35" customFormat="false" ht="15" hidden="false" customHeight="true" outlineLevel="0" collapsed="false">
      <c r="A35" s="393" t="str">
        <f aca="false">Projects!$A$28</f>
        <v>BD-12</v>
      </c>
      <c r="B35" s="394"/>
      <c r="C35" s="395" t="str">
        <f aca="false">Projects!$F$28</f>
        <v>Yes</v>
      </c>
      <c r="D35" s="395" t="str">
        <f aca="false">Projects!$G$28</f>
        <v>No</v>
      </c>
      <c r="E35" s="396"/>
      <c r="F35" s="397" t="n">
        <f aca="false">IF($E35&lt;&gt;"",$E35,Projects!$B$28)</f>
        <v>15000000</v>
      </c>
      <c r="G35" s="394"/>
      <c r="H35" s="398" t="n">
        <f aca="false">IF($G35&lt;&gt;"",$G35,Projects!$C$28)</f>
        <v>46</v>
      </c>
      <c r="I35" s="399"/>
      <c r="J35" s="396"/>
      <c r="K35" s="394"/>
      <c r="L35" s="396"/>
      <c r="M35" s="394"/>
      <c r="N35" s="399"/>
      <c r="O35" s="396"/>
      <c r="P35" s="394"/>
      <c r="Q35" s="396"/>
      <c r="R35" s="394"/>
      <c r="S35" s="398" t="n">
        <f aca="false">IF(AND($C35="Yes",$D35="Yes"),1,0)</f>
        <v>0</v>
      </c>
      <c r="T35" s="397" t="n">
        <f aca="false">$S35*IF($J35&lt;&gt;"",$J35,$F35*IF($I35&lt;&gt;"",$I35,$C$4)/(1+IF($I35&lt;&gt;"",$I35,$C$4)))</f>
        <v>0</v>
      </c>
      <c r="U35" s="397" t="n">
        <f aca="false">$S35*IF($L35&lt;&gt;"",$L35,$F35*$C$5)</f>
        <v>0</v>
      </c>
      <c r="V35" s="397" t="n">
        <f aca="false">$S35*$F35*IF($N35&lt;&gt;"",$N35,$C$6)</f>
        <v>0</v>
      </c>
      <c r="W35" s="397" t="n">
        <f aca="false">MAX(0,$V35-$U35)</f>
        <v>0</v>
      </c>
      <c r="X35" s="398" t="n">
        <f aca="false">IF($B35&lt;&gt;"",$B35,100+$H35)</f>
        <v>146</v>
      </c>
      <c r="Y35" s="397" t="n">
        <f aca="false">$S35*MAX(0,MIN($W35,$C$7-SUMIFS($W$11:$W$54,$X$11:$X$54,"&lt;"&amp;$X35)))</f>
        <v>0</v>
      </c>
      <c r="Z35" s="397" t="n">
        <f aca="false">$W35-$Y35</f>
        <v>0</v>
      </c>
      <c r="AA35" s="400" t="n">
        <f aca="false">MIN(0,$T35-$U35-$Z35)</f>
        <v>0</v>
      </c>
      <c r="AB35" s="400" t="n">
        <f aca="false">MAX(0,$T35-$U35-$Z35)</f>
        <v>0</v>
      </c>
      <c r="AC35" s="397" t="n">
        <f aca="false">IF(AND($S35=1,$H35&lt;=$C$8),$Z35-N($O35),0)</f>
        <v>0</v>
      </c>
      <c r="AD35" s="401"/>
    </row>
    <row r="36" customFormat="false" ht="15" hidden="false" customHeight="true" outlineLevel="0" collapsed="false">
      <c r="A36" s="402" t="str">
        <f aca="false">Projects!$A$29</f>
        <v>BD-13</v>
      </c>
      <c r="B36" s="394"/>
      <c r="C36" s="403" t="str">
        <f aca="false">Projects!$F$29</f>
        <v>No</v>
      </c>
      <c r="D36" s="403" t="str">
        <f aca="false">Projects!$G$29</f>
        <v>No</v>
      </c>
      <c r="E36" s="396"/>
      <c r="F36" s="404" t="n">
        <f aca="false">IF($E36&lt;&gt;"",$E36,Projects!$B$29)</f>
        <v>15000000</v>
      </c>
      <c r="G36" s="394"/>
      <c r="H36" s="405" t="n">
        <f aca="false">IF($G36&lt;&gt;"",$G36,Projects!$C$29)</f>
        <v>48</v>
      </c>
      <c r="I36" s="399"/>
      <c r="J36" s="396"/>
      <c r="K36" s="394"/>
      <c r="L36" s="396"/>
      <c r="M36" s="394"/>
      <c r="N36" s="399"/>
      <c r="O36" s="396"/>
      <c r="P36" s="394"/>
      <c r="Q36" s="396"/>
      <c r="R36" s="394"/>
      <c r="S36" s="405" t="n">
        <f aca="false">IF(AND($C36="Yes",$D36="Yes"),1,0)</f>
        <v>0</v>
      </c>
      <c r="T36" s="404" t="n">
        <f aca="false">$S36*IF($J36&lt;&gt;"",$J36,$F36*IF($I36&lt;&gt;"",$I36,$C$4)/(1+IF($I36&lt;&gt;"",$I36,$C$4)))</f>
        <v>0</v>
      </c>
      <c r="U36" s="404" t="n">
        <f aca="false">$S36*IF($L36&lt;&gt;"",$L36,$F36*$C$5)</f>
        <v>0</v>
      </c>
      <c r="V36" s="404" t="n">
        <f aca="false">$S36*$F36*IF($N36&lt;&gt;"",$N36,$C$6)</f>
        <v>0</v>
      </c>
      <c r="W36" s="404" t="n">
        <f aca="false">MAX(0,$V36-$U36)</f>
        <v>0</v>
      </c>
      <c r="X36" s="405" t="n">
        <f aca="false">IF($B36&lt;&gt;"",$B36,100+$H36)</f>
        <v>148</v>
      </c>
      <c r="Y36" s="404" t="n">
        <f aca="false">$S36*MAX(0,MIN($W36,$C$7-SUMIFS($W$11:$W$54,$X$11:$X$54,"&lt;"&amp;$X36)))</f>
        <v>0</v>
      </c>
      <c r="Z36" s="404" t="n">
        <f aca="false">$W36-$Y36</f>
        <v>0</v>
      </c>
      <c r="AA36" s="406" t="n">
        <f aca="false">MIN(0,$T36-$U36-$Z36)</f>
        <v>0</v>
      </c>
      <c r="AB36" s="406" t="n">
        <f aca="false">MAX(0,$T36-$U36-$Z36)</f>
        <v>0</v>
      </c>
      <c r="AC36" s="404" t="n">
        <f aca="false">IF(AND($S36=1,$H36&lt;=$C$8),$Z36-N($O36),0)</f>
        <v>0</v>
      </c>
      <c r="AD36" s="407"/>
    </row>
    <row r="37" customFormat="false" ht="15" hidden="false" customHeight="true" outlineLevel="0" collapsed="false">
      <c r="A37" s="393" t="str">
        <f aca="false">Projects!$A$30</f>
        <v>BD-14</v>
      </c>
      <c r="B37" s="394"/>
      <c r="C37" s="395" t="str">
        <f aca="false">Projects!$F$30</f>
        <v>No</v>
      </c>
      <c r="D37" s="395" t="str">
        <f aca="false">Projects!$G$30</f>
        <v>No</v>
      </c>
      <c r="E37" s="396"/>
      <c r="F37" s="397" t="n">
        <f aca="false">IF($E37&lt;&gt;"",$E37,Projects!$B$30)</f>
        <v>15000000</v>
      </c>
      <c r="G37" s="394"/>
      <c r="H37" s="398" t="n">
        <f aca="false">IF($G37&lt;&gt;"",$G37,Projects!$C$30)</f>
        <v>50</v>
      </c>
      <c r="I37" s="399"/>
      <c r="J37" s="396"/>
      <c r="K37" s="394"/>
      <c r="L37" s="396"/>
      <c r="M37" s="394"/>
      <c r="N37" s="399"/>
      <c r="O37" s="396"/>
      <c r="P37" s="394"/>
      <c r="Q37" s="396"/>
      <c r="R37" s="394"/>
      <c r="S37" s="398" t="n">
        <f aca="false">IF(AND($C37="Yes",$D37="Yes"),1,0)</f>
        <v>0</v>
      </c>
      <c r="T37" s="397" t="n">
        <f aca="false">$S37*IF($J37&lt;&gt;"",$J37,$F37*IF($I37&lt;&gt;"",$I37,$C$4)/(1+IF($I37&lt;&gt;"",$I37,$C$4)))</f>
        <v>0</v>
      </c>
      <c r="U37" s="397" t="n">
        <f aca="false">$S37*IF($L37&lt;&gt;"",$L37,$F37*$C$5)</f>
        <v>0</v>
      </c>
      <c r="V37" s="397" t="n">
        <f aca="false">$S37*$F37*IF($N37&lt;&gt;"",$N37,$C$6)</f>
        <v>0</v>
      </c>
      <c r="W37" s="397" t="n">
        <f aca="false">MAX(0,$V37-$U37)</f>
        <v>0</v>
      </c>
      <c r="X37" s="398" t="n">
        <f aca="false">IF($B37&lt;&gt;"",$B37,100+$H37)</f>
        <v>150</v>
      </c>
      <c r="Y37" s="397" t="n">
        <f aca="false">$S37*MAX(0,MIN($W37,$C$7-SUMIFS($W$11:$W$54,$X$11:$X$54,"&lt;"&amp;$X37)))</f>
        <v>0</v>
      </c>
      <c r="Z37" s="397" t="n">
        <f aca="false">$W37-$Y37</f>
        <v>0</v>
      </c>
      <c r="AA37" s="400" t="n">
        <f aca="false">MIN(0,$T37-$U37-$Z37)</f>
        <v>0</v>
      </c>
      <c r="AB37" s="400" t="n">
        <f aca="false">MAX(0,$T37-$U37-$Z37)</f>
        <v>0</v>
      </c>
      <c r="AC37" s="397" t="n">
        <f aca="false">IF(AND($S37=1,$H37&lt;=$C$8),$Z37-N($O37),0)</f>
        <v>0</v>
      </c>
      <c r="AD37" s="401"/>
    </row>
    <row r="38" customFormat="false" ht="15" hidden="false" customHeight="true" outlineLevel="0" collapsed="false">
      <c r="A38" s="402" t="str">
        <f aca="false">Projects!$A$31</f>
        <v>BD-15</v>
      </c>
      <c r="B38" s="394"/>
      <c r="C38" s="403" t="str">
        <f aca="false">Projects!$F$31</f>
        <v>No</v>
      </c>
      <c r="D38" s="403" t="str">
        <f aca="false">Projects!$G$31</f>
        <v>No</v>
      </c>
      <c r="E38" s="396"/>
      <c r="F38" s="404" t="n">
        <f aca="false">IF($E38&lt;&gt;"",$E38,Projects!$B$31)</f>
        <v>18000000</v>
      </c>
      <c r="G38" s="394"/>
      <c r="H38" s="405" t="n">
        <f aca="false">IF($G38&lt;&gt;"",$G38,Projects!$C$31)</f>
        <v>52</v>
      </c>
      <c r="I38" s="399"/>
      <c r="J38" s="396"/>
      <c r="K38" s="394"/>
      <c r="L38" s="396"/>
      <c r="M38" s="394"/>
      <c r="N38" s="399"/>
      <c r="O38" s="396"/>
      <c r="P38" s="394"/>
      <c r="Q38" s="396"/>
      <c r="R38" s="394"/>
      <c r="S38" s="405" t="n">
        <f aca="false">IF(AND($C38="Yes",$D38="Yes"),1,0)</f>
        <v>0</v>
      </c>
      <c r="T38" s="404" t="n">
        <f aca="false">$S38*IF($J38&lt;&gt;"",$J38,$F38*IF($I38&lt;&gt;"",$I38,$C$4)/(1+IF($I38&lt;&gt;"",$I38,$C$4)))</f>
        <v>0</v>
      </c>
      <c r="U38" s="404" t="n">
        <f aca="false">$S38*IF($L38&lt;&gt;"",$L38,$F38*$C$5)</f>
        <v>0</v>
      </c>
      <c r="V38" s="404" t="n">
        <f aca="false">$S38*$F38*IF($N38&lt;&gt;"",$N38,$C$6)</f>
        <v>0</v>
      </c>
      <c r="W38" s="404" t="n">
        <f aca="false">MAX(0,$V38-$U38)</f>
        <v>0</v>
      </c>
      <c r="X38" s="405" t="n">
        <f aca="false">IF($B38&lt;&gt;"",$B38,100+$H38)</f>
        <v>152</v>
      </c>
      <c r="Y38" s="404" t="n">
        <f aca="false">$S38*MAX(0,MIN($W38,$C$7-SUMIFS($W$11:$W$54,$X$11:$X$54,"&lt;"&amp;$X38)))</f>
        <v>0</v>
      </c>
      <c r="Z38" s="404" t="n">
        <f aca="false">$W38-$Y38</f>
        <v>0</v>
      </c>
      <c r="AA38" s="406" t="n">
        <f aca="false">MIN(0,$T38-$U38-$Z38)</f>
        <v>0</v>
      </c>
      <c r="AB38" s="406" t="n">
        <f aca="false">MAX(0,$T38-$U38-$Z38)</f>
        <v>0</v>
      </c>
      <c r="AC38" s="404" t="n">
        <f aca="false">IF(AND($S38=1,$H38&lt;=$C$8),$Z38-N($O38),0)</f>
        <v>0</v>
      </c>
      <c r="AD38" s="407"/>
    </row>
    <row r="39" customFormat="false" ht="15" hidden="false" customHeight="true" outlineLevel="0" collapsed="false">
      <c r="A39" s="393" t="str">
        <f aca="false">Projects!$A$32</f>
        <v>BD-16</v>
      </c>
      <c r="B39" s="394"/>
      <c r="C39" s="395" t="str">
        <f aca="false">Projects!$F$32</f>
        <v>No</v>
      </c>
      <c r="D39" s="395" t="str">
        <f aca="false">Projects!$G$32</f>
        <v>No</v>
      </c>
      <c r="E39" s="396"/>
      <c r="F39" s="397" t="n">
        <f aca="false">IF($E39&lt;&gt;"",$E39,Projects!$B$32)</f>
        <v>15000000</v>
      </c>
      <c r="G39" s="394"/>
      <c r="H39" s="398" t="n">
        <f aca="false">IF($G39&lt;&gt;"",$G39,Projects!$C$32)</f>
        <v>54</v>
      </c>
      <c r="I39" s="399"/>
      <c r="J39" s="396"/>
      <c r="K39" s="394"/>
      <c r="L39" s="396"/>
      <c r="M39" s="394"/>
      <c r="N39" s="399"/>
      <c r="O39" s="396"/>
      <c r="P39" s="394"/>
      <c r="Q39" s="396"/>
      <c r="R39" s="394"/>
      <c r="S39" s="398" t="n">
        <f aca="false">IF(AND($C39="Yes",$D39="Yes"),1,0)</f>
        <v>0</v>
      </c>
      <c r="T39" s="397" t="n">
        <f aca="false">$S39*IF($J39&lt;&gt;"",$J39,$F39*IF($I39&lt;&gt;"",$I39,$C$4)/(1+IF($I39&lt;&gt;"",$I39,$C$4)))</f>
        <v>0</v>
      </c>
      <c r="U39" s="397" t="n">
        <f aca="false">$S39*IF($L39&lt;&gt;"",$L39,$F39*$C$5)</f>
        <v>0</v>
      </c>
      <c r="V39" s="397" t="n">
        <f aca="false">$S39*$F39*IF($N39&lt;&gt;"",$N39,$C$6)</f>
        <v>0</v>
      </c>
      <c r="W39" s="397" t="n">
        <f aca="false">MAX(0,$V39-$U39)</f>
        <v>0</v>
      </c>
      <c r="X39" s="398" t="n">
        <f aca="false">IF($B39&lt;&gt;"",$B39,100+$H39)</f>
        <v>154</v>
      </c>
      <c r="Y39" s="397" t="n">
        <f aca="false">$S39*MAX(0,MIN($W39,$C$7-SUMIFS($W$11:$W$54,$X$11:$X$54,"&lt;"&amp;$X39)))</f>
        <v>0</v>
      </c>
      <c r="Z39" s="397" t="n">
        <f aca="false">$W39-$Y39</f>
        <v>0</v>
      </c>
      <c r="AA39" s="400" t="n">
        <f aca="false">MIN(0,$T39-$U39-$Z39)</f>
        <v>0</v>
      </c>
      <c r="AB39" s="400" t="n">
        <f aca="false">MAX(0,$T39-$U39-$Z39)</f>
        <v>0</v>
      </c>
      <c r="AC39" s="397" t="n">
        <f aca="false">IF(AND($S39=1,$H39&lt;=$C$8),$Z39-N($O39),0)</f>
        <v>0</v>
      </c>
      <c r="AD39" s="401"/>
    </row>
    <row r="40" customFormat="false" ht="15" hidden="false" customHeight="true" outlineLevel="0" collapsed="false">
      <c r="A40" s="402" t="str">
        <f aca="false">Projects!$A$33</f>
        <v>BD-17</v>
      </c>
      <c r="B40" s="394"/>
      <c r="C40" s="403" t="str">
        <f aca="false">Projects!$F$33</f>
        <v>No</v>
      </c>
      <c r="D40" s="403" t="str">
        <f aca="false">Projects!$G$33</f>
        <v>No</v>
      </c>
      <c r="E40" s="396"/>
      <c r="F40" s="404" t="n">
        <f aca="false">IF($E40&lt;&gt;"",$E40,Projects!$B$33)</f>
        <v>15000000</v>
      </c>
      <c r="G40" s="394"/>
      <c r="H40" s="405" t="n">
        <f aca="false">IF($G40&lt;&gt;"",$G40,Projects!$C$33)</f>
        <v>56</v>
      </c>
      <c r="I40" s="399"/>
      <c r="J40" s="396"/>
      <c r="K40" s="394"/>
      <c r="L40" s="396"/>
      <c r="M40" s="394"/>
      <c r="N40" s="399"/>
      <c r="O40" s="396"/>
      <c r="P40" s="394"/>
      <c r="Q40" s="396"/>
      <c r="R40" s="394"/>
      <c r="S40" s="405" t="n">
        <f aca="false">IF(AND($C40="Yes",$D40="Yes"),1,0)</f>
        <v>0</v>
      </c>
      <c r="T40" s="404" t="n">
        <f aca="false">$S40*IF($J40&lt;&gt;"",$J40,$F40*IF($I40&lt;&gt;"",$I40,$C$4)/(1+IF($I40&lt;&gt;"",$I40,$C$4)))</f>
        <v>0</v>
      </c>
      <c r="U40" s="404" t="n">
        <f aca="false">$S40*IF($L40&lt;&gt;"",$L40,$F40*$C$5)</f>
        <v>0</v>
      </c>
      <c r="V40" s="404" t="n">
        <f aca="false">$S40*$F40*IF($N40&lt;&gt;"",$N40,$C$6)</f>
        <v>0</v>
      </c>
      <c r="W40" s="404" t="n">
        <f aca="false">MAX(0,$V40-$U40)</f>
        <v>0</v>
      </c>
      <c r="X40" s="405" t="n">
        <f aca="false">IF($B40&lt;&gt;"",$B40,100+$H40)</f>
        <v>156</v>
      </c>
      <c r="Y40" s="404" t="n">
        <f aca="false">$S40*MAX(0,MIN($W40,$C$7-SUMIFS($W$11:$W$54,$X$11:$X$54,"&lt;"&amp;$X40)))</f>
        <v>0</v>
      </c>
      <c r="Z40" s="404" t="n">
        <f aca="false">$W40-$Y40</f>
        <v>0</v>
      </c>
      <c r="AA40" s="406" t="n">
        <f aca="false">MIN(0,$T40-$U40-$Z40)</f>
        <v>0</v>
      </c>
      <c r="AB40" s="406" t="n">
        <f aca="false">MAX(0,$T40-$U40-$Z40)</f>
        <v>0</v>
      </c>
      <c r="AC40" s="404" t="n">
        <f aca="false">IF(AND($S40=1,$H40&lt;=$C$8),$Z40-N($O40),0)</f>
        <v>0</v>
      </c>
      <c r="AD40" s="407"/>
    </row>
    <row r="41" customFormat="false" ht="15" hidden="false" customHeight="true" outlineLevel="0" collapsed="false">
      <c r="A41" s="393" t="str">
        <f aca="false">Projects!$A$34</f>
        <v>BD-18</v>
      </c>
      <c r="B41" s="394"/>
      <c r="C41" s="395" t="str">
        <f aca="false">Projects!$F$34</f>
        <v>Yes</v>
      </c>
      <c r="D41" s="395" t="str">
        <f aca="false">Projects!$G$34</f>
        <v>No</v>
      </c>
      <c r="E41" s="396"/>
      <c r="F41" s="397" t="n">
        <f aca="false">IF($E41&lt;&gt;"",$E41,Projects!$B$34)</f>
        <v>18000000</v>
      </c>
      <c r="G41" s="394"/>
      <c r="H41" s="398" t="n">
        <f aca="false">IF($G41&lt;&gt;"",$G41,Projects!$C$34)</f>
        <v>58</v>
      </c>
      <c r="I41" s="399"/>
      <c r="J41" s="396"/>
      <c r="K41" s="394"/>
      <c r="L41" s="396"/>
      <c r="M41" s="394"/>
      <c r="N41" s="399"/>
      <c r="O41" s="396"/>
      <c r="P41" s="394"/>
      <c r="Q41" s="396"/>
      <c r="R41" s="394"/>
      <c r="S41" s="398" t="n">
        <f aca="false">IF(AND($C41="Yes",$D41="Yes"),1,0)</f>
        <v>0</v>
      </c>
      <c r="T41" s="397" t="n">
        <f aca="false">$S41*IF($J41&lt;&gt;"",$J41,$F41*IF($I41&lt;&gt;"",$I41,$C$4)/(1+IF($I41&lt;&gt;"",$I41,$C$4)))</f>
        <v>0</v>
      </c>
      <c r="U41" s="397" t="n">
        <f aca="false">$S41*IF($L41&lt;&gt;"",$L41,$F41*$C$5)</f>
        <v>0</v>
      </c>
      <c r="V41" s="397" t="n">
        <f aca="false">$S41*$F41*IF($N41&lt;&gt;"",$N41,$C$6)</f>
        <v>0</v>
      </c>
      <c r="W41" s="397" t="n">
        <f aca="false">MAX(0,$V41-$U41)</f>
        <v>0</v>
      </c>
      <c r="X41" s="398" t="n">
        <f aca="false">IF($B41&lt;&gt;"",$B41,100+$H41)</f>
        <v>158</v>
      </c>
      <c r="Y41" s="397" t="n">
        <f aca="false">$S41*MAX(0,MIN($W41,$C$7-SUMIFS($W$11:$W$54,$X$11:$X$54,"&lt;"&amp;$X41)))</f>
        <v>0</v>
      </c>
      <c r="Z41" s="397" t="n">
        <f aca="false">$W41-$Y41</f>
        <v>0</v>
      </c>
      <c r="AA41" s="400" t="n">
        <f aca="false">MIN(0,$T41-$U41-$Z41)</f>
        <v>0</v>
      </c>
      <c r="AB41" s="400" t="n">
        <f aca="false">MAX(0,$T41-$U41-$Z41)</f>
        <v>0</v>
      </c>
      <c r="AC41" s="397" t="n">
        <f aca="false">IF(AND($S41=1,$H41&lt;=$C$8),$Z41-N($O41),0)</f>
        <v>0</v>
      </c>
      <c r="AD41" s="401"/>
    </row>
    <row r="42" customFormat="false" ht="15" hidden="false" customHeight="true" outlineLevel="0" collapsed="false">
      <c r="A42" s="402" t="str">
        <f aca="false">Projects!$A$35</f>
        <v>BD-19</v>
      </c>
      <c r="B42" s="394"/>
      <c r="C42" s="403" t="str">
        <f aca="false">Projects!$F$35</f>
        <v>No</v>
      </c>
      <c r="D42" s="403" t="str">
        <f aca="false">Projects!$G$35</f>
        <v>No</v>
      </c>
      <c r="E42" s="396"/>
      <c r="F42" s="404" t="n">
        <f aca="false">IF($E42&lt;&gt;"",$E42,Projects!$B$35)</f>
        <v>15000000</v>
      </c>
      <c r="G42" s="394"/>
      <c r="H42" s="405" t="n">
        <f aca="false">IF($G42&lt;&gt;"",$G42,Projects!$C$35)</f>
        <v>60</v>
      </c>
      <c r="I42" s="399"/>
      <c r="J42" s="396"/>
      <c r="K42" s="394"/>
      <c r="L42" s="396"/>
      <c r="M42" s="394"/>
      <c r="N42" s="399"/>
      <c r="O42" s="396"/>
      <c r="P42" s="394"/>
      <c r="Q42" s="396"/>
      <c r="R42" s="394"/>
      <c r="S42" s="405" t="n">
        <f aca="false">IF(AND($C42="Yes",$D42="Yes"),1,0)</f>
        <v>0</v>
      </c>
      <c r="T42" s="404" t="n">
        <f aca="false">$S42*IF($J42&lt;&gt;"",$J42,$F42*IF($I42&lt;&gt;"",$I42,$C$4)/(1+IF($I42&lt;&gt;"",$I42,$C$4)))</f>
        <v>0</v>
      </c>
      <c r="U42" s="404" t="n">
        <f aca="false">$S42*IF($L42&lt;&gt;"",$L42,$F42*$C$5)</f>
        <v>0</v>
      </c>
      <c r="V42" s="404" t="n">
        <f aca="false">$S42*$F42*IF($N42&lt;&gt;"",$N42,$C$6)</f>
        <v>0</v>
      </c>
      <c r="W42" s="404" t="n">
        <f aca="false">MAX(0,$V42-$U42)</f>
        <v>0</v>
      </c>
      <c r="X42" s="405" t="n">
        <f aca="false">IF($B42&lt;&gt;"",$B42,100+$H42)</f>
        <v>160</v>
      </c>
      <c r="Y42" s="404" t="n">
        <f aca="false">$S42*MAX(0,MIN($W42,$C$7-SUMIFS($W$11:$W$54,$X$11:$X$54,"&lt;"&amp;$X42)))</f>
        <v>0</v>
      </c>
      <c r="Z42" s="404" t="n">
        <f aca="false">$W42-$Y42</f>
        <v>0</v>
      </c>
      <c r="AA42" s="406" t="n">
        <f aca="false">MIN(0,$T42-$U42-$Z42)</f>
        <v>0</v>
      </c>
      <c r="AB42" s="406" t="n">
        <f aca="false">MAX(0,$T42-$U42-$Z42)</f>
        <v>0</v>
      </c>
      <c r="AC42" s="404" t="n">
        <f aca="false">IF(AND($S42=1,$H42&lt;=$C$8),$Z42-N($O42),0)</f>
        <v>0</v>
      </c>
      <c r="AD42" s="407"/>
    </row>
    <row r="43" customFormat="false" ht="15" hidden="false" customHeight="true" outlineLevel="0" collapsed="false">
      <c r="A43" s="393" t="str">
        <f aca="false">Projects!$A$36</f>
        <v>BD-20</v>
      </c>
      <c r="B43" s="394"/>
      <c r="C43" s="395" t="str">
        <f aca="false">Projects!$F$36</f>
        <v>No</v>
      </c>
      <c r="D43" s="395" t="str">
        <f aca="false">Projects!$G$36</f>
        <v>No</v>
      </c>
      <c r="E43" s="396"/>
      <c r="F43" s="397" t="n">
        <f aca="false">IF($E43&lt;&gt;"",$E43,Projects!$B$36)</f>
        <v>18000000</v>
      </c>
      <c r="G43" s="394"/>
      <c r="H43" s="398" t="n">
        <f aca="false">IF($G43&lt;&gt;"",$G43,Projects!$C$36)</f>
        <v>62</v>
      </c>
      <c r="I43" s="399"/>
      <c r="J43" s="396"/>
      <c r="K43" s="394"/>
      <c r="L43" s="396"/>
      <c r="M43" s="394"/>
      <c r="N43" s="399"/>
      <c r="O43" s="396"/>
      <c r="P43" s="394"/>
      <c r="Q43" s="396"/>
      <c r="R43" s="394"/>
      <c r="S43" s="398" t="n">
        <f aca="false">IF(AND($C43="Yes",$D43="Yes"),1,0)</f>
        <v>0</v>
      </c>
      <c r="T43" s="397" t="n">
        <f aca="false">$S43*IF($J43&lt;&gt;"",$J43,$F43*IF($I43&lt;&gt;"",$I43,$C$4)/(1+IF($I43&lt;&gt;"",$I43,$C$4)))</f>
        <v>0</v>
      </c>
      <c r="U43" s="397" t="n">
        <f aca="false">$S43*IF($L43&lt;&gt;"",$L43,$F43*$C$5)</f>
        <v>0</v>
      </c>
      <c r="V43" s="397" t="n">
        <f aca="false">$S43*$F43*IF($N43&lt;&gt;"",$N43,$C$6)</f>
        <v>0</v>
      </c>
      <c r="W43" s="397" t="n">
        <f aca="false">MAX(0,$V43-$U43)</f>
        <v>0</v>
      </c>
      <c r="X43" s="398" t="n">
        <f aca="false">IF($B43&lt;&gt;"",$B43,100+$H43)</f>
        <v>162</v>
      </c>
      <c r="Y43" s="397" t="n">
        <f aca="false">$S43*MAX(0,MIN($W43,$C$7-SUMIFS($W$11:$W$54,$X$11:$X$54,"&lt;"&amp;$X43)))</f>
        <v>0</v>
      </c>
      <c r="Z43" s="397" t="n">
        <f aca="false">$W43-$Y43</f>
        <v>0</v>
      </c>
      <c r="AA43" s="400" t="n">
        <f aca="false">MIN(0,$T43-$U43-$Z43)</f>
        <v>0</v>
      </c>
      <c r="AB43" s="400" t="n">
        <f aca="false">MAX(0,$T43-$U43-$Z43)</f>
        <v>0</v>
      </c>
      <c r="AC43" s="397" t="n">
        <f aca="false">IF(AND($S43=1,$H43&lt;=$C$8),$Z43-N($O43),0)</f>
        <v>0</v>
      </c>
      <c r="AD43" s="401"/>
    </row>
    <row r="44" customFormat="false" ht="15" hidden="false" customHeight="true" outlineLevel="0" collapsed="false">
      <c r="A44" s="402" t="str">
        <f aca="false">Projects!$A$37</f>
        <v>BD-21</v>
      </c>
      <c r="B44" s="394"/>
      <c r="C44" s="403" t="str">
        <f aca="false">Projects!$F$37</f>
        <v>No</v>
      </c>
      <c r="D44" s="403" t="str">
        <f aca="false">Projects!$G$37</f>
        <v>No</v>
      </c>
      <c r="E44" s="396"/>
      <c r="F44" s="404" t="n">
        <f aca="false">IF($E44&lt;&gt;"",$E44,Projects!$B$37)</f>
        <v>15000000</v>
      </c>
      <c r="G44" s="394"/>
      <c r="H44" s="405" t="n">
        <f aca="false">IF($G44&lt;&gt;"",$G44,Projects!$C$37)</f>
        <v>64</v>
      </c>
      <c r="I44" s="399"/>
      <c r="J44" s="396"/>
      <c r="K44" s="394"/>
      <c r="L44" s="396"/>
      <c r="M44" s="394"/>
      <c r="N44" s="399"/>
      <c r="O44" s="396"/>
      <c r="P44" s="394"/>
      <c r="Q44" s="396"/>
      <c r="R44" s="394"/>
      <c r="S44" s="405" t="n">
        <f aca="false">IF(AND($C44="Yes",$D44="Yes"),1,0)</f>
        <v>0</v>
      </c>
      <c r="T44" s="404" t="n">
        <f aca="false">$S44*IF($J44&lt;&gt;"",$J44,$F44*IF($I44&lt;&gt;"",$I44,$C$4)/(1+IF($I44&lt;&gt;"",$I44,$C$4)))</f>
        <v>0</v>
      </c>
      <c r="U44" s="404" t="n">
        <f aca="false">$S44*IF($L44&lt;&gt;"",$L44,$F44*$C$5)</f>
        <v>0</v>
      </c>
      <c r="V44" s="404" t="n">
        <f aca="false">$S44*$F44*IF($N44&lt;&gt;"",$N44,$C$6)</f>
        <v>0</v>
      </c>
      <c r="W44" s="404" t="n">
        <f aca="false">MAX(0,$V44-$U44)</f>
        <v>0</v>
      </c>
      <c r="X44" s="405" t="n">
        <f aca="false">IF($B44&lt;&gt;"",$B44,100+$H44)</f>
        <v>164</v>
      </c>
      <c r="Y44" s="404" t="n">
        <f aca="false">$S44*MAX(0,MIN($W44,$C$7-SUMIFS($W$11:$W$54,$X$11:$X$54,"&lt;"&amp;$X44)))</f>
        <v>0</v>
      </c>
      <c r="Z44" s="404" t="n">
        <f aca="false">$W44-$Y44</f>
        <v>0</v>
      </c>
      <c r="AA44" s="406" t="n">
        <f aca="false">MIN(0,$T44-$U44-$Z44)</f>
        <v>0</v>
      </c>
      <c r="AB44" s="406" t="n">
        <f aca="false">MAX(0,$T44-$U44-$Z44)</f>
        <v>0</v>
      </c>
      <c r="AC44" s="404" t="n">
        <f aca="false">IF(AND($S44=1,$H44&lt;=$C$8),$Z44-N($O44),0)</f>
        <v>0</v>
      </c>
      <c r="AD44" s="407"/>
    </row>
    <row r="45" customFormat="false" ht="15" hidden="false" customHeight="true" outlineLevel="0" collapsed="false">
      <c r="A45" s="393" t="str">
        <f aca="false">Projects!$A$38</f>
        <v>BD-22</v>
      </c>
      <c r="B45" s="394"/>
      <c r="C45" s="395" t="str">
        <f aca="false">Projects!$F$38</f>
        <v>No</v>
      </c>
      <c r="D45" s="395" t="str">
        <f aca="false">Projects!$G$38</f>
        <v>No</v>
      </c>
      <c r="E45" s="396"/>
      <c r="F45" s="397" t="n">
        <f aca="false">IF($E45&lt;&gt;"",$E45,Projects!$B$38)</f>
        <v>15000000</v>
      </c>
      <c r="G45" s="394"/>
      <c r="H45" s="398" t="n">
        <f aca="false">IF($G45&lt;&gt;"",$G45,Projects!$C$38)</f>
        <v>66</v>
      </c>
      <c r="I45" s="399"/>
      <c r="J45" s="396"/>
      <c r="K45" s="394"/>
      <c r="L45" s="396"/>
      <c r="M45" s="394"/>
      <c r="N45" s="399"/>
      <c r="O45" s="396"/>
      <c r="P45" s="394"/>
      <c r="Q45" s="396"/>
      <c r="R45" s="394"/>
      <c r="S45" s="398" t="n">
        <f aca="false">IF(AND($C45="Yes",$D45="Yes"),1,0)</f>
        <v>0</v>
      </c>
      <c r="T45" s="397" t="n">
        <f aca="false">$S45*IF($J45&lt;&gt;"",$J45,$F45*IF($I45&lt;&gt;"",$I45,$C$4)/(1+IF($I45&lt;&gt;"",$I45,$C$4)))</f>
        <v>0</v>
      </c>
      <c r="U45" s="397" t="n">
        <f aca="false">$S45*IF($L45&lt;&gt;"",$L45,$F45*$C$5)</f>
        <v>0</v>
      </c>
      <c r="V45" s="397" t="n">
        <f aca="false">$S45*$F45*IF($N45&lt;&gt;"",$N45,$C$6)</f>
        <v>0</v>
      </c>
      <c r="W45" s="397" t="n">
        <f aca="false">MAX(0,$V45-$U45)</f>
        <v>0</v>
      </c>
      <c r="X45" s="398" t="n">
        <f aca="false">IF($B45&lt;&gt;"",$B45,100+$H45)</f>
        <v>166</v>
      </c>
      <c r="Y45" s="397" t="n">
        <f aca="false">$S45*MAX(0,MIN($W45,$C$7-SUMIFS($W$11:$W$54,$X$11:$X$54,"&lt;"&amp;$X45)))</f>
        <v>0</v>
      </c>
      <c r="Z45" s="397" t="n">
        <f aca="false">$W45-$Y45</f>
        <v>0</v>
      </c>
      <c r="AA45" s="400" t="n">
        <f aca="false">MIN(0,$T45-$U45-$Z45)</f>
        <v>0</v>
      </c>
      <c r="AB45" s="400" t="n">
        <f aca="false">MAX(0,$T45-$U45-$Z45)</f>
        <v>0</v>
      </c>
      <c r="AC45" s="397" t="n">
        <f aca="false">IF(AND($S45=1,$H45&lt;=$C$8),$Z45-N($O45),0)</f>
        <v>0</v>
      </c>
      <c r="AD45" s="401"/>
    </row>
    <row r="46" customFormat="false" ht="15" hidden="false" customHeight="true" outlineLevel="0" collapsed="false">
      <c r="A46" s="402" t="str">
        <f aca="false">Projects!$A$39</f>
        <v>BD-23</v>
      </c>
      <c r="B46" s="394"/>
      <c r="C46" s="403" t="str">
        <f aca="false">Projects!$F$39</f>
        <v>No</v>
      </c>
      <c r="D46" s="403" t="str">
        <f aca="false">Projects!$G$39</f>
        <v>No</v>
      </c>
      <c r="E46" s="396"/>
      <c r="F46" s="404" t="n">
        <f aca="false">IF($E46&lt;&gt;"",$E46,Projects!$B$39)</f>
        <v>18000000</v>
      </c>
      <c r="G46" s="394"/>
      <c r="H46" s="405" t="n">
        <f aca="false">IF($G46&lt;&gt;"",$G46,Projects!$C$39)</f>
        <v>68</v>
      </c>
      <c r="I46" s="399"/>
      <c r="J46" s="396"/>
      <c r="K46" s="394"/>
      <c r="L46" s="396"/>
      <c r="M46" s="394"/>
      <c r="N46" s="399"/>
      <c r="O46" s="396"/>
      <c r="P46" s="394"/>
      <c r="Q46" s="396"/>
      <c r="R46" s="394"/>
      <c r="S46" s="405" t="n">
        <f aca="false">IF(AND($C46="Yes",$D46="Yes"),1,0)</f>
        <v>0</v>
      </c>
      <c r="T46" s="404" t="n">
        <f aca="false">$S46*IF($J46&lt;&gt;"",$J46,$F46*IF($I46&lt;&gt;"",$I46,$C$4)/(1+IF($I46&lt;&gt;"",$I46,$C$4)))</f>
        <v>0</v>
      </c>
      <c r="U46" s="404" t="n">
        <f aca="false">$S46*IF($L46&lt;&gt;"",$L46,$F46*$C$5)</f>
        <v>0</v>
      </c>
      <c r="V46" s="404" t="n">
        <f aca="false">$S46*$F46*IF($N46&lt;&gt;"",$N46,$C$6)</f>
        <v>0</v>
      </c>
      <c r="W46" s="404" t="n">
        <f aca="false">MAX(0,$V46-$U46)</f>
        <v>0</v>
      </c>
      <c r="X46" s="405" t="n">
        <f aca="false">IF($B46&lt;&gt;"",$B46,100+$H46)</f>
        <v>168</v>
      </c>
      <c r="Y46" s="404" t="n">
        <f aca="false">$S46*MAX(0,MIN($W46,$C$7-SUMIFS($W$11:$W$54,$X$11:$X$54,"&lt;"&amp;$X46)))</f>
        <v>0</v>
      </c>
      <c r="Z46" s="404" t="n">
        <f aca="false">$W46-$Y46</f>
        <v>0</v>
      </c>
      <c r="AA46" s="406" t="n">
        <f aca="false">MIN(0,$T46-$U46-$Z46)</f>
        <v>0</v>
      </c>
      <c r="AB46" s="406" t="n">
        <f aca="false">MAX(0,$T46-$U46-$Z46)</f>
        <v>0</v>
      </c>
      <c r="AC46" s="404" t="n">
        <f aca="false">IF(AND($S46=1,$H46&lt;=$C$8),$Z46-N($O46),0)</f>
        <v>0</v>
      </c>
      <c r="AD46" s="407"/>
    </row>
    <row r="47" customFormat="false" ht="15" hidden="false" customHeight="true" outlineLevel="0" collapsed="false">
      <c r="A47" s="393" t="str">
        <f aca="false">Projects!$A$40</f>
        <v>BD-24</v>
      </c>
      <c r="B47" s="394"/>
      <c r="C47" s="395" t="str">
        <f aca="false">Projects!$F$40</f>
        <v>Yes</v>
      </c>
      <c r="D47" s="395" t="str">
        <f aca="false">Projects!$G$40</f>
        <v>No</v>
      </c>
      <c r="E47" s="396"/>
      <c r="F47" s="397" t="n">
        <f aca="false">IF($E47&lt;&gt;"",$E47,Projects!$B$40)</f>
        <v>15000000</v>
      </c>
      <c r="G47" s="394"/>
      <c r="H47" s="398" t="n">
        <f aca="false">IF($G47&lt;&gt;"",$G47,Projects!$C$40)</f>
        <v>70</v>
      </c>
      <c r="I47" s="399"/>
      <c r="J47" s="396"/>
      <c r="K47" s="394"/>
      <c r="L47" s="396"/>
      <c r="M47" s="394"/>
      <c r="N47" s="399"/>
      <c r="O47" s="396"/>
      <c r="P47" s="394"/>
      <c r="Q47" s="396"/>
      <c r="R47" s="394"/>
      <c r="S47" s="398" t="n">
        <f aca="false">IF(AND($C47="Yes",$D47="Yes"),1,0)</f>
        <v>0</v>
      </c>
      <c r="T47" s="397" t="n">
        <f aca="false">$S47*IF($J47&lt;&gt;"",$J47,$F47*IF($I47&lt;&gt;"",$I47,$C$4)/(1+IF($I47&lt;&gt;"",$I47,$C$4)))</f>
        <v>0</v>
      </c>
      <c r="U47" s="397" t="n">
        <f aca="false">$S47*IF($L47&lt;&gt;"",$L47,$F47*$C$5)</f>
        <v>0</v>
      </c>
      <c r="V47" s="397" t="n">
        <f aca="false">$S47*$F47*IF($N47&lt;&gt;"",$N47,$C$6)</f>
        <v>0</v>
      </c>
      <c r="W47" s="397" t="n">
        <f aca="false">MAX(0,$V47-$U47)</f>
        <v>0</v>
      </c>
      <c r="X47" s="398" t="n">
        <f aca="false">IF($B47&lt;&gt;"",$B47,100+$H47)</f>
        <v>170</v>
      </c>
      <c r="Y47" s="397" t="n">
        <f aca="false">$S47*MAX(0,MIN($W47,$C$7-SUMIFS($W$11:$W$54,$X$11:$X$54,"&lt;"&amp;$X47)))</f>
        <v>0</v>
      </c>
      <c r="Z47" s="397" t="n">
        <f aca="false">$W47-$Y47</f>
        <v>0</v>
      </c>
      <c r="AA47" s="400" t="n">
        <f aca="false">MIN(0,$T47-$U47-$Z47)</f>
        <v>0</v>
      </c>
      <c r="AB47" s="400" t="n">
        <f aca="false">MAX(0,$T47-$U47-$Z47)</f>
        <v>0</v>
      </c>
      <c r="AC47" s="397" t="n">
        <f aca="false">IF(AND($S47=1,$H47&lt;=$C$8),$Z47-N($O47),0)</f>
        <v>0</v>
      </c>
      <c r="AD47" s="401"/>
    </row>
    <row r="48" customFormat="false" ht="15" hidden="false" customHeight="true" outlineLevel="0" collapsed="false">
      <c r="A48" s="402" t="str">
        <f aca="false">Projects!$A$41</f>
        <v>BD-25</v>
      </c>
      <c r="B48" s="394"/>
      <c r="C48" s="403" t="str">
        <f aca="false">Projects!$F$41</f>
        <v>No</v>
      </c>
      <c r="D48" s="403" t="str">
        <f aca="false">Projects!$G$41</f>
        <v>No</v>
      </c>
      <c r="E48" s="396"/>
      <c r="F48" s="404" t="n">
        <f aca="false">IF($E48&lt;&gt;"",$E48,Projects!$B$41)</f>
        <v>15000000</v>
      </c>
      <c r="G48" s="394"/>
      <c r="H48" s="405" t="n">
        <f aca="false">IF($G48&lt;&gt;"",$G48,Projects!$C$41)</f>
        <v>72</v>
      </c>
      <c r="I48" s="399"/>
      <c r="J48" s="396"/>
      <c r="K48" s="394"/>
      <c r="L48" s="396"/>
      <c r="M48" s="394"/>
      <c r="N48" s="399"/>
      <c r="O48" s="396"/>
      <c r="P48" s="394"/>
      <c r="Q48" s="396"/>
      <c r="R48" s="394"/>
      <c r="S48" s="405" t="n">
        <f aca="false">IF(AND($C48="Yes",$D48="Yes"),1,0)</f>
        <v>0</v>
      </c>
      <c r="T48" s="404" t="n">
        <f aca="false">$S48*IF($J48&lt;&gt;"",$J48,$F48*IF($I48&lt;&gt;"",$I48,$C$4)/(1+IF($I48&lt;&gt;"",$I48,$C$4)))</f>
        <v>0</v>
      </c>
      <c r="U48" s="404" t="n">
        <f aca="false">$S48*IF($L48&lt;&gt;"",$L48,$F48*$C$5)</f>
        <v>0</v>
      </c>
      <c r="V48" s="404" t="n">
        <f aca="false">$S48*$F48*IF($N48&lt;&gt;"",$N48,$C$6)</f>
        <v>0</v>
      </c>
      <c r="W48" s="404" t="n">
        <f aca="false">MAX(0,$V48-$U48)</f>
        <v>0</v>
      </c>
      <c r="X48" s="405" t="n">
        <f aca="false">IF($B48&lt;&gt;"",$B48,100+$H48)</f>
        <v>172</v>
      </c>
      <c r="Y48" s="404" t="n">
        <f aca="false">$S48*MAX(0,MIN($W48,$C$7-SUMIFS($W$11:$W$54,$X$11:$X$54,"&lt;"&amp;$X48)))</f>
        <v>0</v>
      </c>
      <c r="Z48" s="404" t="n">
        <f aca="false">$W48-$Y48</f>
        <v>0</v>
      </c>
      <c r="AA48" s="406" t="n">
        <f aca="false">MIN(0,$T48-$U48-$Z48)</f>
        <v>0</v>
      </c>
      <c r="AB48" s="406" t="n">
        <f aca="false">MAX(0,$T48-$U48-$Z48)</f>
        <v>0</v>
      </c>
      <c r="AC48" s="404" t="n">
        <f aca="false">IF(AND($S48=1,$H48&lt;=$C$8),$Z48-N($O48),0)</f>
        <v>0</v>
      </c>
      <c r="AD48" s="407"/>
    </row>
    <row r="49" customFormat="false" ht="15" hidden="false" customHeight="true" outlineLevel="0" collapsed="false">
      <c r="A49" s="393" t="str">
        <f aca="false">Projects!$A$42</f>
        <v>BD-26</v>
      </c>
      <c r="B49" s="394"/>
      <c r="C49" s="395" t="str">
        <f aca="false">Projects!$F$42</f>
        <v>No</v>
      </c>
      <c r="D49" s="395" t="str">
        <f aca="false">Projects!$G$42</f>
        <v>No</v>
      </c>
      <c r="E49" s="396"/>
      <c r="F49" s="397" t="n">
        <f aca="false">IF($E49&lt;&gt;"",$E49,Projects!$B$42)</f>
        <v>18000000</v>
      </c>
      <c r="G49" s="394"/>
      <c r="H49" s="398" t="n">
        <f aca="false">IF($G49&lt;&gt;"",$G49,Projects!$C$42)</f>
        <v>74</v>
      </c>
      <c r="I49" s="399"/>
      <c r="J49" s="396"/>
      <c r="K49" s="394"/>
      <c r="L49" s="396"/>
      <c r="M49" s="394"/>
      <c r="N49" s="399"/>
      <c r="O49" s="396"/>
      <c r="P49" s="394"/>
      <c r="Q49" s="396"/>
      <c r="R49" s="394"/>
      <c r="S49" s="398" t="n">
        <f aca="false">IF(AND($C49="Yes",$D49="Yes"),1,0)</f>
        <v>0</v>
      </c>
      <c r="T49" s="397" t="n">
        <f aca="false">$S49*IF($J49&lt;&gt;"",$J49,$F49*IF($I49&lt;&gt;"",$I49,$C$4)/(1+IF($I49&lt;&gt;"",$I49,$C$4)))</f>
        <v>0</v>
      </c>
      <c r="U49" s="397" t="n">
        <f aca="false">$S49*IF($L49&lt;&gt;"",$L49,$F49*$C$5)</f>
        <v>0</v>
      </c>
      <c r="V49" s="397" t="n">
        <f aca="false">$S49*$F49*IF($N49&lt;&gt;"",$N49,$C$6)</f>
        <v>0</v>
      </c>
      <c r="W49" s="397" t="n">
        <f aca="false">MAX(0,$V49-$U49)</f>
        <v>0</v>
      </c>
      <c r="X49" s="398" t="n">
        <f aca="false">IF($B49&lt;&gt;"",$B49,100+$H49)</f>
        <v>174</v>
      </c>
      <c r="Y49" s="397" t="n">
        <f aca="false">$S49*MAX(0,MIN($W49,$C$7-SUMIFS($W$11:$W$54,$X$11:$X$54,"&lt;"&amp;$X49)))</f>
        <v>0</v>
      </c>
      <c r="Z49" s="397" t="n">
        <f aca="false">$W49-$Y49</f>
        <v>0</v>
      </c>
      <c r="AA49" s="400" t="n">
        <f aca="false">MIN(0,$T49-$U49-$Z49)</f>
        <v>0</v>
      </c>
      <c r="AB49" s="400" t="n">
        <f aca="false">MAX(0,$T49-$U49-$Z49)</f>
        <v>0</v>
      </c>
      <c r="AC49" s="397" t="n">
        <f aca="false">IF(AND($S49=1,$H49&lt;=$C$8),$Z49-N($O49),0)</f>
        <v>0</v>
      </c>
      <c r="AD49" s="401"/>
    </row>
    <row r="50" customFormat="false" ht="15" hidden="false" customHeight="true" outlineLevel="0" collapsed="false">
      <c r="A50" s="402" t="str">
        <f aca="false">Projects!$A$43</f>
        <v>BD-27</v>
      </c>
      <c r="B50" s="394"/>
      <c r="C50" s="403" t="str">
        <f aca="false">Projects!$F$43</f>
        <v>No</v>
      </c>
      <c r="D50" s="403" t="str">
        <f aca="false">Projects!$G$43</f>
        <v>No</v>
      </c>
      <c r="E50" s="396"/>
      <c r="F50" s="404" t="n">
        <f aca="false">IF($E50&lt;&gt;"",$E50,Projects!$B$43)</f>
        <v>15000000</v>
      </c>
      <c r="G50" s="394"/>
      <c r="H50" s="405" t="n">
        <f aca="false">IF($G50&lt;&gt;"",$G50,Projects!$C$43)</f>
        <v>76</v>
      </c>
      <c r="I50" s="399"/>
      <c r="J50" s="396"/>
      <c r="K50" s="394"/>
      <c r="L50" s="396"/>
      <c r="M50" s="394"/>
      <c r="N50" s="399"/>
      <c r="O50" s="396"/>
      <c r="P50" s="394"/>
      <c r="Q50" s="396"/>
      <c r="R50" s="394"/>
      <c r="S50" s="405" t="n">
        <f aca="false">IF(AND($C50="Yes",$D50="Yes"),1,0)</f>
        <v>0</v>
      </c>
      <c r="T50" s="404" t="n">
        <f aca="false">$S50*IF($J50&lt;&gt;"",$J50,$F50*IF($I50&lt;&gt;"",$I50,$C$4)/(1+IF($I50&lt;&gt;"",$I50,$C$4)))</f>
        <v>0</v>
      </c>
      <c r="U50" s="404" t="n">
        <f aca="false">$S50*IF($L50&lt;&gt;"",$L50,$F50*$C$5)</f>
        <v>0</v>
      </c>
      <c r="V50" s="404" t="n">
        <f aca="false">$S50*$F50*IF($N50&lt;&gt;"",$N50,$C$6)</f>
        <v>0</v>
      </c>
      <c r="W50" s="404" t="n">
        <f aca="false">MAX(0,$V50-$U50)</f>
        <v>0</v>
      </c>
      <c r="X50" s="405" t="n">
        <f aca="false">IF($B50&lt;&gt;"",$B50,100+$H50)</f>
        <v>176</v>
      </c>
      <c r="Y50" s="404" t="n">
        <f aca="false">$S50*MAX(0,MIN($W50,$C$7-SUMIFS($W$11:$W$54,$X$11:$X$54,"&lt;"&amp;$X50)))</f>
        <v>0</v>
      </c>
      <c r="Z50" s="404" t="n">
        <f aca="false">$W50-$Y50</f>
        <v>0</v>
      </c>
      <c r="AA50" s="406" t="n">
        <f aca="false">MIN(0,$T50-$U50-$Z50)</f>
        <v>0</v>
      </c>
      <c r="AB50" s="406" t="n">
        <f aca="false">MAX(0,$T50-$U50-$Z50)</f>
        <v>0</v>
      </c>
      <c r="AC50" s="404" t="n">
        <f aca="false">IF(AND($S50=1,$H50&lt;=$C$8),$Z50-N($O50),0)</f>
        <v>0</v>
      </c>
      <c r="AD50" s="407"/>
    </row>
    <row r="51" customFormat="false" ht="15" hidden="false" customHeight="true" outlineLevel="0" collapsed="false">
      <c r="A51" s="393" t="str">
        <f aca="false">Projects!$A$44</f>
        <v>BD-28</v>
      </c>
      <c r="B51" s="394"/>
      <c r="C51" s="395" t="str">
        <f aca="false">Projects!$F$44</f>
        <v>No</v>
      </c>
      <c r="D51" s="395" t="str">
        <f aca="false">Projects!$G$44</f>
        <v>No</v>
      </c>
      <c r="E51" s="396"/>
      <c r="F51" s="397" t="n">
        <f aca="false">IF($E51&lt;&gt;"",$E51,Projects!$B$44)</f>
        <v>15000000</v>
      </c>
      <c r="G51" s="394"/>
      <c r="H51" s="398" t="n">
        <f aca="false">IF($G51&lt;&gt;"",$G51,Projects!$C$44)</f>
        <v>78</v>
      </c>
      <c r="I51" s="399"/>
      <c r="J51" s="396"/>
      <c r="K51" s="394"/>
      <c r="L51" s="396"/>
      <c r="M51" s="394"/>
      <c r="N51" s="399"/>
      <c r="O51" s="396"/>
      <c r="P51" s="394"/>
      <c r="Q51" s="396"/>
      <c r="R51" s="394"/>
      <c r="S51" s="398" t="n">
        <f aca="false">IF(AND($C51="Yes",$D51="Yes"),1,0)</f>
        <v>0</v>
      </c>
      <c r="T51" s="397" t="n">
        <f aca="false">$S51*IF($J51&lt;&gt;"",$J51,$F51*IF($I51&lt;&gt;"",$I51,$C$4)/(1+IF($I51&lt;&gt;"",$I51,$C$4)))</f>
        <v>0</v>
      </c>
      <c r="U51" s="397" t="n">
        <f aca="false">$S51*IF($L51&lt;&gt;"",$L51,$F51*$C$5)</f>
        <v>0</v>
      </c>
      <c r="V51" s="397" t="n">
        <f aca="false">$S51*$F51*IF($N51&lt;&gt;"",$N51,$C$6)</f>
        <v>0</v>
      </c>
      <c r="W51" s="397" t="n">
        <f aca="false">MAX(0,$V51-$U51)</f>
        <v>0</v>
      </c>
      <c r="X51" s="398" t="n">
        <f aca="false">IF($B51&lt;&gt;"",$B51,100+$H51)</f>
        <v>178</v>
      </c>
      <c r="Y51" s="397" t="n">
        <f aca="false">$S51*MAX(0,MIN($W51,$C$7-SUMIFS($W$11:$W$54,$X$11:$X$54,"&lt;"&amp;$X51)))</f>
        <v>0</v>
      </c>
      <c r="Z51" s="397" t="n">
        <f aca="false">$W51-$Y51</f>
        <v>0</v>
      </c>
      <c r="AA51" s="400" t="n">
        <f aca="false">MIN(0,$T51-$U51-$Z51)</f>
        <v>0</v>
      </c>
      <c r="AB51" s="400" t="n">
        <f aca="false">MAX(0,$T51-$U51-$Z51)</f>
        <v>0</v>
      </c>
      <c r="AC51" s="397" t="n">
        <f aca="false">IF(AND($S51=1,$H51&lt;=$C$8),$Z51-N($O51),0)</f>
        <v>0</v>
      </c>
      <c r="AD51" s="401"/>
    </row>
    <row r="52" customFormat="false" ht="15" hidden="false" customHeight="true" outlineLevel="0" collapsed="false">
      <c r="A52" s="402" t="str">
        <f aca="false">Projects!$A$45</f>
        <v>BD-29</v>
      </c>
      <c r="B52" s="394"/>
      <c r="C52" s="403" t="str">
        <f aca="false">Projects!$F$45</f>
        <v>No</v>
      </c>
      <c r="D52" s="403" t="str">
        <f aca="false">Projects!$G$45</f>
        <v>No</v>
      </c>
      <c r="E52" s="396"/>
      <c r="F52" s="404" t="n">
        <f aca="false">IF($E52&lt;&gt;"",$E52,Projects!$B$45)</f>
        <v>18000000</v>
      </c>
      <c r="G52" s="394"/>
      <c r="H52" s="405" t="n">
        <f aca="false">IF($G52&lt;&gt;"",$G52,Projects!$C$45)</f>
        <v>80</v>
      </c>
      <c r="I52" s="399"/>
      <c r="J52" s="396"/>
      <c r="K52" s="394"/>
      <c r="L52" s="396"/>
      <c r="M52" s="394"/>
      <c r="N52" s="399"/>
      <c r="O52" s="396"/>
      <c r="P52" s="394"/>
      <c r="Q52" s="396"/>
      <c r="R52" s="394"/>
      <c r="S52" s="405" t="n">
        <f aca="false">IF(AND($C52="Yes",$D52="Yes"),1,0)</f>
        <v>0</v>
      </c>
      <c r="T52" s="404" t="n">
        <f aca="false">$S52*IF($J52&lt;&gt;"",$J52,$F52*IF($I52&lt;&gt;"",$I52,$C$4)/(1+IF($I52&lt;&gt;"",$I52,$C$4)))</f>
        <v>0</v>
      </c>
      <c r="U52" s="404" t="n">
        <f aca="false">$S52*IF($L52&lt;&gt;"",$L52,$F52*$C$5)</f>
        <v>0</v>
      </c>
      <c r="V52" s="404" t="n">
        <f aca="false">$S52*$F52*IF($N52&lt;&gt;"",$N52,$C$6)</f>
        <v>0</v>
      </c>
      <c r="W52" s="404" t="n">
        <f aca="false">MAX(0,$V52-$U52)</f>
        <v>0</v>
      </c>
      <c r="X52" s="405" t="n">
        <f aca="false">IF($B52&lt;&gt;"",$B52,100+$H52)</f>
        <v>180</v>
      </c>
      <c r="Y52" s="404" t="n">
        <f aca="false">$S52*MAX(0,MIN($W52,$C$7-SUMIFS($W$11:$W$54,$X$11:$X$54,"&lt;"&amp;$X52)))</f>
        <v>0</v>
      </c>
      <c r="Z52" s="404" t="n">
        <f aca="false">$W52-$Y52</f>
        <v>0</v>
      </c>
      <c r="AA52" s="406" t="n">
        <f aca="false">MIN(0,$T52-$U52-$Z52)</f>
        <v>0</v>
      </c>
      <c r="AB52" s="406" t="n">
        <f aca="false">MAX(0,$T52-$U52-$Z52)</f>
        <v>0</v>
      </c>
      <c r="AC52" s="404" t="n">
        <f aca="false">IF(AND($S52=1,$H52&lt;=$C$8),$Z52-N($O52),0)</f>
        <v>0</v>
      </c>
      <c r="AD52" s="407"/>
    </row>
    <row r="53" customFormat="false" ht="15" hidden="false" customHeight="true" outlineLevel="0" collapsed="false">
      <c r="A53" s="393" t="str">
        <f aca="false">Projects!$A$46</f>
        <v>BD-30</v>
      </c>
      <c r="B53" s="394"/>
      <c r="C53" s="395" t="str">
        <f aca="false">Projects!$F$46</f>
        <v>Yes</v>
      </c>
      <c r="D53" s="395" t="str">
        <f aca="false">Projects!$G$46</f>
        <v>No</v>
      </c>
      <c r="E53" s="396"/>
      <c r="F53" s="397" t="n">
        <f aca="false">IF($E53&lt;&gt;"",$E53,Projects!$B$46)</f>
        <v>15000000</v>
      </c>
      <c r="G53" s="394"/>
      <c r="H53" s="398" t="n">
        <f aca="false">IF($G53&lt;&gt;"",$G53,Projects!$C$46)</f>
        <v>82</v>
      </c>
      <c r="I53" s="399"/>
      <c r="J53" s="396"/>
      <c r="K53" s="394"/>
      <c r="L53" s="396"/>
      <c r="M53" s="394"/>
      <c r="N53" s="399"/>
      <c r="O53" s="396"/>
      <c r="P53" s="394"/>
      <c r="Q53" s="396"/>
      <c r="R53" s="394"/>
      <c r="S53" s="398" t="n">
        <f aca="false">IF(AND($C53="Yes",$D53="Yes"),1,0)</f>
        <v>0</v>
      </c>
      <c r="T53" s="397" t="n">
        <f aca="false">$S53*IF($J53&lt;&gt;"",$J53,$F53*IF($I53&lt;&gt;"",$I53,$C$4)/(1+IF($I53&lt;&gt;"",$I53,$C$4)))</f>
        <v>0</v>
      </c>
      <c r="U53" s="397" t="n">
        <f aca="false">$S53*IF($L53&lt;&gt;"",$L53,$F53*$C$5)</f>
        <v>0</v>
      </c>
      <c r="V53" s="397" t="n">
        <f aca="false">$S53*$F53*IF($N53&lt;&gt;"",$N53,$C$6)</f>
        <v>0</v>
      </c>
      <c r="W53" s="397" t="n">
        <f aca="false">MAX(0,$V53-$U53)</f>
        <v>0</v>
      </c>
      <c r="X53" s="398" t="n">
        <f aca="false">IF($B53&lt;&gt;"",$B53,100+$H53)</f>
        <v>182</v>
      </c>
      <c r="Y53" s="397" t="n">
        <f aca="false">$S53*MAX(0,MIN($W53,$C$7-SUMIFS($W$11:$W$54,$X$11:$X$54,"&lt;"&amp;$X53)))</f>
        <v>0</v>
      </c>
      <c r="Z53" s="397" t="n">
        <f aca="false">$W53-$Y53</f>
        <v>0</v>
      </c>
      <c r="AA53" s="400" t="n">
        <f aca="false">MIN(0,$T53-$U53-$Z53)</f>
        <v>0</v>
      </c>
      <c r="AB53" s="400" t="n">
        <f aca="false">MAX(0,$T53-$U53-$Z53)</f>
        <v>0</v>
      </c>
      <c r="AC53" s="397" t="n">
        <f aca="false">IF(AND($S53=1,$H53&lt;=$C$8),$Z53-N($O53),0)</f>
        <v>0</v>
      </c>
      <c r="AD53" s="401"/>
    </row>
    <row r="54" customFormat="false" ht="15" hidden="false" customHeight="true" outlineLevel="0" collapsed="false">
      <c r="A54" s="402" t="s">
        <v>50</v>
      </c>
      <c r="B54" s="394"/>
      <c r="C54" s="403" t="s">
        <v>567</v>
      </c>
      <c r="D54" s="403" t="s">
        <v>567</v>
      </c>
      <c r="E54" s="396"/>
      <c r="F54" s="404" t="n">
        <v>0</v>
      </c>
      <c r="G54" s="394"/>
      <c r="H54" s="405" t="n">
        <v>0</v>
      </c>
      <c r="I54" s="399"/>
      <c r="J54" s="396"/>
      <c r="K54" s="394"/>
      <c r="L54" s="396"/>
      <c r="M54" s="394"/>
      <c r="N54" s="399"/>
      <c r="O54" s="396"/>
      <c r="P54" s="394"/>
      <c r="Q54" s="396"/>
      <c r="R54" s="394"/>
      <c r="S54" s="405" t="n">
        <f aca="false">IF(AND($C54="Yes",$D54="Yes"),1,0)</f>
        <v>0</v>
      </c>
      <c r="T54" s="404" t="n">
        <f aca="false">$S54*IF($J54&lt;&gt;"",$J54,$F54*IF($I54&lt;&gt;"",$I54,$C$4)/(1+IF($I54&lt;&gt;"",$I54,$C$4)))</f>
        <v>0</v>
      </c>
      <c r="U54" s="404" t="n">
        <f aca="false">$S54*IF($L54&lt;&gt;"",$L54,$F54*$C$5)</f>
        <v>0</v>
      </c>
      <c r="V54" s="404" t="n">
        <f aca="false">$S54*$F54*IF($N54&lt;&gt;"",$N54,$C$6)</f>
        <v>0</v>
      </c>
      <c r="W54" s="404" t="n">
        <f aca="false">MAX(0,$V54-$U54)</f>
        <v>0</v>
      </c>
      <c r="X54" s="405" t="n">
        <f aca="false">IF($B54&lt;&gt;"",$B54,100+$H54)</f>
        <v>100</v>
      </c>
      <c r="Y54" s="404" t="n">
        <f aca="false">$S54*MAX(0,MIN($W54,$C$7-SUMIFS($W$11:$W$54,$X$11:$X$54,"&lt;"&amp;$X54)))</f>
        <v>0</v>
      </c>
      <c r="Z54" s="404" t="n">
        <f aca="false">$W54-$Y54</f>
        <v>0</v>
      </c>
      <c r="AA54" s="406" t="n">
        <f aca="false">MIN(0,$T54-$U54-$Z54)</f>
        <v>0</v>
      </c>
      <c r="AB54" s="406" t="n">
        <f aca="false">MAX(0,$T54-$U54-$Z54)</f>
        <v>0</v>
      </c>
      <c r="AC54" s="404" t="n">
        <f aca="false">IF(AND($S54=1,$H54&lt;=$C$8),$Z54-N($O54),0)</f>
        <v>0</v>
      </c>
      <c r="AD54" s="407"/>
    </row>
    <row r="56" customFormat="false" ht="15.75" hidden="false" customHeight="true" outlineLevel="0" collapsed="false">
      <c r="A56" s="408" t="s">
        <v>472</v>
      </c>
      <c r="B56" s="409"/>
      <c r="C56" s="409"/>
      <c r="D56" s="409"/>
      <c r="E56" s="409"/>
      <c r="F56" s="409"/>
      <c r="G56" s="409"/>
      <c r="H56" s="409"/>
      <c r="I56" s="409"/>
      <c r="J56" s="409"/>
      <c r="K56" s="409"/>
      <c r="L56" s="409"/>
      <c r="M56" s="409"/>
      <c r="N56" s="409"/>
      <c r="O56" s="409"/>
      <c r="P56" s="409"/>
      <c r="Q56" s="409"/>
      <c r="R56" s="409"/>
      <c r="S56" s="409"/>
      <c r="T56" s="409" t="n">
        <f aca="false">SUM(T11:T54)</f>
        <v>3928739.28448276</v>
      </c>
      <c r="U56" s="409" t="n">
        <f aca="false">SUM(U11:U54)</f>
        <v>1840052.40743319</v>
      </c>
      <c r="V56" s="409" t="n">
        <f aca="false">SUM(V11:V54)</f>
        <v>8185433.615125</v>
      </c>
      <c r="W56" s="409" t="n">
        <f aca="false">SUM(W11:W54)</f>
        <v>6345381.20769181</v>
      </c>
      <c r="X56" s="409"/>
      <c r="Y56" s="409" t="n">
        <f aca="false">SUM(Y11:Y54)</f>
        <v>1800000</v>
      </c>
      <c r="Z56" s="410" t="n">
        <f aca="false">SUM(Z11:Z54)</f>
        <v>4545381.20769181</v>
      </c>
      <c r="AA56" s="410" t="n">
        <f aca="false">SUM(AA11:AA54)</f>
        <v>-2940996.15714224</v>
      </c>
      <c r="AB56" s="410" t="n">
        <f aca="false">SUM(AB11:AB54)</f>
        <v>484301.8265</v>
      </c>
      <c r="AC56" s="410" t="n">
        <f aca="false">SUM(AC11:AC54)</f>
        <v>692876.895125</v>
      </c>
      <c r="AD56" s="409"/>
    </row>
    <row r="57" customFormat="false" ht="15" hidden="false" customHeight="true" outlineLevel="0" collapsed="false">
      <c r="A57" s="120" t="s">
        <v>1468</v>
      </c>
      <c r="C57" s="411" t="str">
        <f aca="false">IF(Y56&lt;=$C$7+0.5,"OK","OVER CAP")</f>
        <v>OK</v>
      </c>
      <c r="D57" s="388" t="s">
        <v>1469</v>
      </c>
    </row>
    <row r="58" customFormat="false" ht="15" hidden="false" customHeight="true" outlineLevel="0" collapsed="false">
      <c r="A58" s="120" t="s">
        <v>1468</v>
      </c>
      <c r="C58" s="411" t="str">
        <f aca="false">IF(ABS(SUM(Model!$B$150:$DE$150)-SUMPRODUCT((H11:H54&gt;=-2)*(H11:H54&lt;=105)*T11:T54))&lt;1,"OK","CHECK")</f>
        <v>OK</v>
      </c>
      <c r="D58" s="388" t="s">
        <v>1470</v>
      </c>
    </row>
    <row r="60" customFormat="false" ht="15" hidden="false" customHeight="true" outlineLevel="0" collapsed="false">
      <c r="A60" s="412" t="s">
        <v>1471</v>
      </c>
    </row>
    <row r="61" customFormat="false" ht="15" hidden="false" customHeight="true" outlineLevel="0" collapsed="false">
      <c r="A61" s="388" t="s">
        <v>1472</v>
      </c>
    </row>
    <row r="62" customFormat="false" ht="15" hidden="false" customHeight="true" outlineLevel="0" collapsed="false">
      <c r="A62" s="388" t="s">
        <v>1473</v>
      </c>
    </row>
    <row r="63" customFormat="false" ht="15" hidden="false" customHeight="true" outlineLevel="0" collapsed="false">
      <c r="A63" s="388" t="s">
        <v>1474</v>
      </c>
    </row>
    <row r="64" customFormat="false" ht="15" hidden="false" customHeight="true" outlineLevel="0" collapsed="false">
      <c r="A64" s="388" t="s">
        <v>1475</v>
      </c>
    </row>
    <row r="65" customFormat="false" ht="15" hidden="false" customHeight="true" outlineLevel="0" collapsed="false">
      <c r="A65" s="388" t="s">
        <v>1476</v>
      </c>
    </row>
    <row r="66" customFormat="false" ht="15" hidden="false" customHeight="true" outlineLevel="0" collapsed="false">
      <c r="A66" s="388" t="s">
        <v>1477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2026-09-28T12:22:07Z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